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tables/table8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7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Scorecard" sheetId="2" state="visible" r:id="rId4"/>
    <sheet name="Portfolio Summary" sheetId="3" state="visible" r:id="rId5"/>
    <sheet name="Contracts" sheetId="4" state="visible" r:id="rId6"/>
    <sheet name="Targets" sheetId="5" state="visible" r:id="rId7"/>
    <sheet name="Measures" sheetId="6" state="visible" r:id="rId8"/>
    <sheet name="Annual Results" sheetId="7" state="visible" r:id="rId9"/>
    <sheet name="Invoices" sheetId="8" state="visible" r:id="rId10"/>
    <sheet name="Deliverables" sheetId="9" state="visible" r:id="rId11"/>
    <sheet name="Site Visits" sheetId="10" state="visible" r:id="rId12"/>
    <sheet name="Corrective Actions" sheetId="11" state="visible" r:id="rId13"/>
    <sheet name="List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Input. Date used to decide whether deliverables and corrective action items are overdue.</t>
        </r>
      </text>
    </comment>
  </commentList>
</comments>
</file>

<file path=xl/sharedStrings.xml><?xml version="1.0" encoding="utf-8"?>
<sst xmlns="http://schemas.openxmlformats.org/spreadsheetml/2006/main" count="1032" uniqueCount="208">
  <si>
    <t xml:space="preserve">Employment and Training Contract Monitoring Tracker</t>
  </si>
  <si>
    <t xml:space="preserve">State fiscal year 2026 (July 1, 2025, to June 30, 2026). Sample data. All names, organizations, and figures are fictional.</t>
  </si>
  <si>
    <t xml:space="preserve">Sheet</t>
  </si>
  <si>
    <t xml:space="preserve">What it holds</t>
  </si>
  <si>
    <t xml:space="preserve">Scorecard</t>
  </si>
  <si>
    <t xml:space="preserve">Pick a contractor in the yellow cell to see its measures by quarter, spending, deliverables, site visit results, corrective action status, and overall rating. The chart updates with the selection.</t>
  </si>
  <si>
    <t xml:space="preserve">Portfolio Summary</t>
  </si>
  <si>
    <t xml:space="preserve">One row per contract with spending, results against targets, compliance counts, and the overall rating. The as-of date used for overdue calculations is set here.</t>
  </si>
  <si>
    <t xml:space="preserve">Contracts</t>
  </si>
  <si>
    <t xml:space="preserve">Contract register: provider, program, service area, amount, term, and assigned monitor.</t>
  </si>
  <si>
    <t xml:space="preserve">Targets</t>
  </si>
  <si>
    <t xml:space="preserve">Annual targets for each contract and measure.</t>
  </si>
  <si>
    <t xml:space="preserve">Measures</t>
  </si>
  <si>
    <t xml:space="preserve">Quarterly results reported by each contractor, as a numerator and denominator, with the actual value, quarterly target, percent of target, and status calculated.</t>
  </si>
  <si>
    <t xml:space="preserve">Annual Results</t>
  </si>
  <si>
    <t xml:space="preserve">Year-to-date results by contract and measure, calculated from the Measures sheet.</t>
  </si>
  <si>
    <t xml:space="preserve">Invoices</t>
  </si>
  <si>
    <t xml:space="preserve">Quarterly invoices with the amount approved and any disallowed costs.</t>
  </si>
  <si>
    <t xml:space="preserve">Deliverables</t>
  </si>
  <si>
    <t xml:space="preserve">Required reports and plans with due and submitted dates. Status and days late calculate from the as-of date.</t>
  </si>
  <si>
    <t xml:space="preserve">Site Visits</t>
  </si>
  <si>
    <t xml:space="preserve">Findings and observations from monitoring visits, including file review results.</t>
  </si>
  <si>
    <t xml:space="preserve">Corrective Actions</t>
  </si>
  <si>
    <t xml:space="preserve">Corrective action plan items with due dates and status. Days overdue calculate from the as-of date.</t>
  </si>
  <si>
    <t xml:space="preserve">Status rule</t>
  </si>
  <si>
    <t xml:space="preserve">A measure is Met at 100 percent of target or more, Near at 90 to 99 percent, and Not met below 90 percent.</t>
  </si>
  <si>
    <t xml:space="preserve">Rating rule</t>
  </si>
  <si>
    <t xml:space="preserve">Corrective action required: fewer than 4 of 8 measures met or near, any overdue corrective action item, or disallowed costs above 1 percent of approved costs. Needs improvement: fewer than 6 measures met or near, or any open corrective action item. Otherwise Meets expectations.</t>
  </si>
  <si>
    <t xml:space="preserve">Cell colors</t>
  </si>
  <si>
    <t xml:space="preserve">Yellow cells are inputs. Blue text is entered data. Black text is calculated.</t>
  </si>
  <si>
    <t xml:space="preserve">Contractor Scorecard</t>
  </si>
  <si>
    <t xml:space="preserve">Choose a provider in the yellow cell. Every figure on this sheet recalculates from the data sheets. Sample data. All names, organizations, and figures are fictional.</t>
  </si>
  <si>
    <t xml:space="preserve">Provider</t>
  </si>
  <si>
    <t xml:space="preserve">Kestrel Employment Services</t>
  </si>
  <si>
    <t xml:space="preserve">Contract ID</t>
  </si>
  <si>
    <t xml:space="preserve">Program</t>
  </si>
  <si>
    <t xml:space="preserve">Service area</t>
  </si>
  <si>
    <t xml:space="preserve">Contract amount</t>
  </si>
  <si>
    <t xml:space="preserve">Overall rating</t>
  </si>
  <si>
    <t xml:space="preserve">Performance measures</t>
  </si>
  <si>
    <t xml:space="preserve">Measure ID</t>
  </si>
  <si>
    <t xml:space="preserve">Measure</t>
  </si>
  <si>
    <t xml:space="preserve">Q1</t>
  </si>
  <si>
    <t xml:space="preserve">Q2</t>
  </si>
  <si>
    <t xml:space="preserve">Q3</t>
  </si>
  <si>
    <t xml:space="preserve">Q4</t>
  </si>
  <si>
    <t xml:space="preserve">Year</t>
  </si>
  <si>
    <t xml:space="preserve">Annual target</t>
  </si>
  <si>
    <t xml:space="preserve">Percent of target</t>
  </si>
  <si>
    <t xml:space="preserve">Status</t>
  </si>
  <si>
    <t xml:space="preserve">M1</t>
  </si>
  <si>
    <t xml:space="preserve">Participants enrolled</t>
  </si>
  <si>
    <t xml:space="preserve">M2</t>
  </si>
  <si>
    <t xml:space="preserve">Assessed within 30 days of referral</t>
  </si>
  <si>
    <t xml:space="preserve">M3</t>
  </si>
  <si>
    <t xml:space="preserve">Engaged in a work activity each month</t>
  </si>
  <si>
    <t xml:space="preserve">M4</t>
  </si>
  <si>
    <t xml:space="preserve">Job placements</t>
  </si>
  <si>
    <t xml:space="preserve">M5</t>
  </si>
  <si>
    <t xml:space="preserve">Average starting wage</t>
  </si>
  <si>
    <t xml:space="preserve">M6</t>
  </si>
  <si>
    <t xml:space="preserve">Employed 90 days after placement</t>
  </si>
  <si>
    <t xml:space="preserve">M7</t>
  </si>
  <si>
    <t xml:space="preserve">Credential earned by training completers</t>
  </si>
  <si>
    <t xml:space="preserve">M8</t>
  </si>
  <si>
    <t xml:space="preserve">Monthly reports submitted on time</t>
  </si>
  <si>
    <t xml:space="preserve">Spending</t>
  </si>
  <si>
    <t xml:space="preserve">Compliance</t>
  </si>
  <si>
    <t xml:space="preserve">Amount invoiced</t>
  </si>
  <si>
    <t xml:space="preserve">Deliverables on time</t>
  </si>
  <si>
    <t xml:space="preserve">Amount approved</t>
  </si>
  <si>
    <t xml:space="preserve">Deliverables late</t>
  </si>
  <si>
    <t xml:space="preserve">Disallowed costs</t>
  </si>
  <si>
    <t xml:space="preserve">Deliverables overdue</t>
  </si>
  <si>
    <t xml:space="preserve">Percent of contract paid</t>
  </si>
  <si>
    <t xml:space="preserve">Site visit findings</t>
  </si>
  <si>
    <t xml:space="preserve">Cost per job placement</t>
  </si>
  <si>
    <t xml:space="preserve">Open corrective action items</t>
  </si>
  <si>
    <t xml:space="preserve">Percent of placement target reached</t>
  </si>
  <si>
    <t xml:space="preserve">Overdue corrective action items</t>
  </si>
  <si>
    <t xml:space="preserve">Measures met or near</t>
  </si>
  <si>
    <t xml:space="preserve">Chart data</t>
  </si>
  <si>
    <t xml:space="preserve">Quarter</t>
  </si>
  <si>
    <t xml:space="preserve">Quarterly target</t>
  </si>
  <si>
    <t xml:space="preserve">Portfolio Summary: Employment and Training Contracts, SFY 2026</t>
  </si>
  <si>
    <t xml:space="preserve">Sample data. All names, organizations, and figures are fictional.</t>
  </si>
  <si>
    <t xml:space="preserve">As-of date</t>
  </si>
  <si>
    <t xml:space="preserve">Input: used for overdue calculations on the Deliverables and Corrective Actions sheets</t>
  </si>
  <si>
    <t xml:space="preserve">Approved to date</t>
  </si>
  <si>
    <t xml:space="preserve">Percent paid</t>
  </si>
  <si>
    <t xml:space="preserve">Placement target</t>
  </si>
  <si>
    <t xml:space="preserve">Percent of placement target</t>
  </si>
  <si>
    <t xml:space="preserve">Measures met</t>
  </si>
  <si>
    <t xml:space="preserve">Measures near</t>
  </si>
  <si>
    <t xml:space="preserve">Deliverables late or overdue</t>
  </si>
  <si>
    <t xml:space="preserve">Open CAP items</t>
  </si>
  <si>
    <t xml:space="preserve">Overdue CAP items</t>
  </si>
  <si>
    <t xml:space="preserve">Rating</t>
  </si>
  <si>
    <t xml:space="preserve">All contracts</t>
  </si>
  <si>
    <t xml:space="preserve">Contract Register</t>
  </si>
  <si>
    <t xml:space="preserve">Start date</t>
  </si>
  <si>
    <t xml:space="preserve">End date</t>
  </si>
  <si>
    <t xml:space="preserve">Monitor ID</t>
  </si>
  <si>
    <t xml:space="preserve">LDHS-ET-26-011</t>
  </si>
  <si>
    <t xml:space="preserve">Ridgeline Career Partners</t>
  </si>
  <si>
    <t xml:space="preserve">TANF employment services</t>
  </si>
  <si>
    <t xml:space="preserve">Bramwell and Northgate counties</t>
  </si>
  <si>
    <t xml:space="preserve">CM-02</t>
  </si>
  <si>
    <t xml:space="preserve">LDHS-ET-26-014</t>
  </si>
  <si>
    <t xml:space="preserve">Larch Valley Community Action</t>
  </si>
  <si>
    <t xml:space="preserve">SNAP Employment and Training</t>
  </si>
  <si>
    <t xml:space="preserve">Ashgrove, Whitlow, Glenrock, and Fenwick counties</t>
  </si>
  <si>
    <t xml:space="preserve">CM-01</t>
  </si>
  <si>
    <t xml:space="preserve">LDHS-ET-26-017</t>
  </si>
  <si>
    <t xml:space="preserve">TANF and SNAP Employment and Training</t>
  </si>
  <si>
    <t xml:space="preserve">Port Calder and Redfern counties</t>
  </si>
  <si>
    <t xml:space="preserve">CM-03</t>
  </si>
  <si>
    <t xml:space="preserve">LDHS-ET-26-022</t>
  </si>
  <si>
    <t xml:space="preserve">Fenwick Adult Learning Center</t>
  </si>
  <si>
    <t xml:space="preserve">SNAP Employment and Training (education and training)</t>
  </si>
  <si>
    <t xml:space="preserve">Millbrook, Oakhurst, and Kessler counties</t>
  </si>
  <si>
    <t xml:space="preserve">Annual Targets</t>
  </si>
  <si>
    <t xml:space="preserve">Count targets are annual; quarterly targets are one quarter of the annual target. Sample data. All names, organizations, and figures are fictional.</t>
  </si>
  <si>
    <t xml:space="preserve">Type</t>
  </si>
  <si>
    <t xml:space="preserve">Count</t>
  </si>
  <si>
    <t xml:space="preserve">Percent</t>
  </si>
  <si>
    <t xml:space="preserve">Dollar</t>
  </si>
  <si>
    <t xml:space="preserve">Quarterly Performance Measures</t>
  </si>
  <si>
    <t xml:space="preserve">Contractors report a numerator and denominator for each rate. Counts have no denominator. Sample data. All names, organizations, and figures are fictional.</t>
  </si>
  <si>
    <t xml:space="preserve">Numerator</t>
  </si>
  <si>
    <t xml:space="preserve">Denominator</t>
  </si>
  <si>
    <t xml:space="preserve">Actual</t>
  </si>
  <si>
    <t xml:space="preserve">Annual Results by Contract and Measure</t>
  </si>
  <si>
    <t xml:space="preserve">Year-to-date results through Quarter 4, calculated from the Measures sheet. Sample data. All names, organizations, and figures are fictional.</t>
  </si>
  <si>
    <t xml:space="preserve">Year to date</t>
  </si>
  <si>
    <t xml:space="preserve">Quarterly Invoices</t>
  </si>
  <si>
    <t xml:space="preserve">Disallowed costs are the difference between the amount invoiced and the amount approved. Sample data. All names, organizations, and figures are fictional.</t>
  </si>
  <si>
    <t xml:space="preserve">Date submitted</t>
  </si>
  <si>
    <t xml:space="preserve">Disallowed</t>
  </si>
  <si>
    <t xml:space="preserve">Note</t>
  </si>
  <si>
    <t xml:space="preserve">Staff time charged to another program</t>
  </si>
  <si>
    <t xml:space="preserve">Supportive service payments without receipts</t>
  </si>
  <si>
    <t xml:space="preserve">Contract Deliverables</t>
  </si>
  <si>
    <t xml:space="preserve">Status and days late use the as-of date on the Portfolio Summary sheet. Sample data. All names, organizations, and figures are fictional.</t>
  </si>
  <si>
    <t xml:space="preserve">Deliverable</t>
  </si>
  <si>
    <t xml:space="preserve">Due date</t>
  </si>
  <si>
    <t xml:space="preserve">Days late</t>
  </si>
  <si>
    <t xml:space="preserve">Staffing plan update</t>
  </si>
  <si>
    <t xml:space="preserve">Quarter 1 program report</t>
  </si>
  <si>
    <t xml:space="preserve">Quarter 2 program report</t>
  </si>
  <si>
    <t xml:space="preserve">Quarter 3 program report</t>
  </si>
  <si>
    <t xml:space="preserve">Participant survey summary</t>
  </si>
  <si>
    <t xml:space="preserve">Quarter 4 program report</t>
  </si>
  <si>
    <t xml:space="preserve">Site Visit Findings</t>
  </si>
  <si>
    <t xml:space="preserve">File reviews use a random sample of participant files at each visit. Sample data. All names, organizations, and figures are fictional.</t>
  </si>
  <si>
    <t xml:space="preserve">Visit date</t>
  </si>
  <si>
    <t xml:space="preserve">Files reviewed</t>
  </si>
  <si>
    <t xml:space="preserve">Area</t>
  </si>
  <si>
    <t xml:space="preserve">Finding or observation</t>
  </si>
  <si>
    <t xml:space="preserve">Corrective action required</t>
  </si>
  <si>
    <t xml:space="preserve">Employment plan</t>
  </si>
  <si>
    <t xml:space="preserve">Employment plans in 2 of 20 files were signed but not dated.</t>
  </si>
  <si>
    <t xml:space="preserve">Observation</t>
  </si>
  <si>
    <t xml:space="preserve">No</t>
  </si>
  <si>
    <t xml:space="preserve">Attendance verification</t>
  </si>
  <si>
    <t xml:space="preserve">Training attendance was not verified against sign-in sheets in 5 of 20 files.</t>
  </si>
  <si>
    <t xml:space="preserve">Finding</t>
  </si>
  <si>
    <t xml:space="preserve">Yes</t>
  </si>
  <si>
    <t xml:space="preserve">Assessment timeliness</t>
  </si>
  <si>
    <t xml:space="preserve">Initial assessment was completed after 30 days in 4 of 20 files.</t>
  </si>
  <si>
    <t xml:space="preserve">Eligibility documentation</t>
  </si>
  <si>
    <t xml:space="preserve">Referral and eligibility documents were missing in 6 of 20 files.</t>
  </si>
  <si>
    <t xml:space="preserve">Supportive services</t>
  </si>
  <si>
    <t xml:space="preserve">Supportive service payments of $18,400 had no receipts or approvals on file.</t>
  </si>
  <si>
    <t xml:space="preserve">Employment plans were not signed by the participant in 4 of 20 files.</t>
  </si>
  <si>
    <t xml:space="preserve">Follow-up visit: eligibility documents were complete in 9 of 10 new files.</t>
  </si>
  <si>
    <t xml:space="preserve">Credential documentation</t>
  </si>
  <si>
    <t xml:space="preserve">Credential copies were kept in instructor files instead of the participant file.</t>
  </si>
  <si>
    <t xml:space="preserve">Corrective Action Plan Items</t>
  </si>
  <si>
    <t xml:space="preserve">Days overdue use the as-of date on the Portfolio Summary sheet. Sample data. All names, organizations, and figures are fictional.</t>
  </si>
  <si>
    <t xml:space="preserve">CAP ID</t>
  </si>
  <si>
    <t xml:space="preserve">Required action</t>
  </si>
  <si>
    <t xml:space="preserve">Date closed</t>
  </si>
  <si>
    <t xml:space="preserve">Days overdue</t>
  </si>
  <si>
    <t xml:space="preserve">Overdue</t>
  </si>
  <si>
    <t xml:space="preserve">CAP-26-03</t>
  </si>
  <si>
    <t xml:space="preserve">Verify training hours against sign-in sheets before reporting participation.</t>
  </si>
  <si>
    <t xml:space="preserve">Closed</t>
  </si>
  <si>
    <t xml:space="preserve">CAP-26-04</t>
  </si>
  <si>
    <t xml:space="preserve">Complete initial assessments within 30 days and track them on a weekly log.</t>
  </si>
  <si>
    <t xml:space="preserve">In progress</t>
  </si>
  <si>
    <t xml:space="preserve">CAP-26-01</t>
  </si>
  <si>
    <t xml:space="preserve">Obtain missing referral and eligibility documents and add an intake checklist.</t>
  </si>
  <si>
    <t xml:space="preserve">CAP-26-02</t>
  </si>
  <si>
    <t xml:space="preserve">Repay or document $18,400 in supportive service payments and adopt a receipt policy.</t>
  </si>
  <si>
    <t xml:space="preserve">Open</t>
  </si>
  <si>
    <t xml:space="preserve">CAP-26-05</t>
  </si>
  <si>
    <t xml:space="preserve">Train case managers on participant signatures for employment plans.</t>
  </si>
  <si>
    <t xml:space="preserve">Counted as</t>
  </si>
  <si>
    <t xml:space="preserve">CAP status</t>
  </si>
  <si>
    <t xml:space="preserve">participants</t>
  </si>
  <si>
    <t xml:space="preserve">of new enrollees</t>
  </si>
  <si>
    <t xml:space="preserve">of active participants</t>
  </si>
  <si>
    <t xml:space="preserve">placements</t>
  </si>
  <si>
    <t xml:space="preserve">per hour</t>
  </si>
  <si>
    <t xml:space="preserve">of placements due for follow-up</t>
  </si>
  <si>
    <t xml:space="preserve">of training completers</t>
  </si>
  <si>
    <t xml:space="preserve">of monthly reports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</si>
</sst>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"/>
    <numFmt numFmtId="166" formatCode="#,##0"/>
    <numFmt numFmtId="167" formatCode="0%"/>
    <numFmt numFmtId="168" formatCode="\$#,##0.00"/>
    <numFmt numFmtId="169" formatCode="General"/>
    <numFmt numFmtId="170" formatCode="\$#,##0;&quot;($&quot;#,##0\);\-"/>
    <numFmt numFmtId="171" formatCode="mmmm\ d&quot;, &quot;yyyy"/>
    <numFmt numFmtId="172" formatCode="mmm\ d&quot;, &quot;yyyy"/>
    <numFmt numFmtId="173" formatCode="#,##0.00"/>
    <numFmt numFmtId="174" formatCode="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A2734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sz val="10"/>
      <color rgb="FF1111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7A27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9"/>
      <color rgb="FF6B7280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414F"/>
        <bgColor rgb="FF333399"/>
      </patternFill>
    </fill>
    <fill>
      <patternFill patternType="solid">
        <fgColor rgb="FFFFF7D6"/>
        <bgColor rgb="FFFCEBC7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>
          <bgColor rgb="FFDDEFE3"/>
        </patternFill>
      </fill>
    </dxf>
    <dxf>
      <fill>
        <patternFill>
          <bgColor rgb="FFFCEBC7"/>
        </patternFill>
      </fill>
    </dxf>
    <dxf>
      <fill>
        <patternFill>
          <bgColor rgb="FFF6D5D1"/>
        </patternFill>
      </fill>
    </dxf>
    <dxf>
      <fill>
        <patternFill patternType="solid">
          <fgColor rgb="FF33414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DEFE3"/>
          <bgColor rgb="FF000000"/>
        </patternFill>
      </fill>
    </dxf>
    <dxf>
      <fill>
        <patternFill patternType="solid">
          <fgColor rgb="FFF6D5D1"/>
          <bgColor rgb="FF000000"/>
        </patternFill>
      </fill>
    </dxf>
    <dxf>
      <fill>
        <patternFill patternType="solid">
          <fgColor rgb="FFFCEBC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C9D0"/>
      <rgbColor rgb="FF878787"/>
      <rgbColor rgb="FF9999FF"/>
      <rgbColor rgb="FF7A2734"/>
      <rgbColor rgb="FFFFF7D6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DE2"/>
      <rgbColor rgb="FFDDEFE3"/>
      <rgbColor rgb="FFFCEBC7"/>
      <rgbColor rgb="FF99CCFF"/>
      <rgbColor rgb="FFFF99CC"/>
      <rgbColor rgb="FFCC99FF"/>
      <rgbColor rgb="FFF6D5D1"/>
      <rgbColor rgb="FF3366FF"/>
      <rgbColor rgb="FF33CCCC"/>
      <rgbColor rgb="FF99CC00"/>
      <rgbColor rgb="FFFFCC00"/>
      <rgbColor rgb="FFFF9900"/>
      <rgbColor rgb="FFFF6600"/>
      <rgbColor rgb="FF6B7280"/>
      <rgbColor rgb="FF8A96A3"/>
      <rgbColor rgb="FF003366"/>
      <rgbColor rgb="FF339966"/>
      <rgbColor rgb="FF111111"/>
      <rgbColor rgb="FF333300"/>
      <rgbColor rgb="FF993300"/>
      <rgbColor rgb="FF993366"/>
      <rgbColor rgb="FF333399"/>
      <rgbColor rgb="FF3341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Job placements by quarter compared with target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Scorecard!B35</c:f>
              <c:strCache>
                <c:ptCount val="1"/>
                <c:pt idx="0">
                  <c:v>Job placements</c:v>
                </c:pt>
              </c:strCache>
            </c:strRef>
          </c:tx>
          <c:spPr>
            <a:solidFill>
              <a:srgbClr val="7a273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Scorecard!$A$36:$A$39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Scorecard!$B$36:$B$39</c:f>
              <c:numCache>
                <c:formatCode>#,##0</c:formatCode>
                <c:ptCount val="4"/>
                <c:pt idx="0">
                  <c:v>73</c:v>
                </c:pt>
                <c:pt idx="1">
                  <c:v>72</c:v>
                </c:pt>
                <c:pt idx="2">
                  <c:v>71</c:v>
                </c:pt>
                <c:pt idx="3">
                  <c:v>78</c:v>
                </c:pt>
              </c:numCache>
            </c:numRef>
          </c:val>
        </c:ser>
        <c:ser>
          <c:idx val="1"/>
          <c:order val="1"/>
          <c:tx>
            <c:strRef>
              <c:f>Scorecard!C35</c:f>
              <c:strCache>
                <c:ptCount val="1"/>
                <c:pt idx="0">
                  <c:v>Quarterly target</c:v>
                </c:pt>
              </c:strCache>
            </c:strRef>
          </c:tx>
          <c:spPr>
            <a:solidFill>
              <a:srgbClr val="c3c9d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Scorecard!$A$36:$A$39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Scorecard!$C$36:$C$39</c:f>
              <c:numCache>
                <c:formatCode>General</c:formatCode>
                <c:ptCount val="4"/>
                <c:pt idx="0">
                  <c:v>82.5</c:v>
                </c:pt>
                <c:pt idx="1">
                  <c:v>82.5</c:v>
                </c:pt>
                <c:pt idx="2">
                  <c:v>82.5</c:v>
                </c:pt>
                <c:pt idx="3">
                  <c:v>82.5</c:v>
                </c:pt>
              </c:numCache>
            </c:numRef>
          </c:val>
        </c:ser>
        <c:gapWidth val="150"/>
        <c:overlap val="0"/>
        <c:axId val="14370307"/>
        <c:axId val="55217439"/>
      </c:barChart>
      <c:catAx>
        <c:axId val="143703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217439"/>
        <c:crosses val="autoZero"/>
        <c:auto val="1"/>
        <c:lblAlgn val="ctr"/>
        <c:lblOffset val="100"/>
        <c:noMultiLvlLbl val="0"/>
      </c:catAx>
      <c:valAx>
        <c:axId val="552174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37030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Share of contract paid compared with share of placement target reached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'Portfolio Summary'!E7</c:f>
              <c:strCache>
                <c:ptCount val="1"/>
                <c:pt idx="0">
                  <c:v>Percent paid</c:v>
                </c:pt>
              </c:strCache>
            </c:strRef>
          </c:tx>
          <c:spPr>
            <a:solidFill>
              <a:srgbClr val="8a96a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'Portfolio Summary'!$A$8:$A$11</c:f>
              <c:strCache>
                <c:ptCount val="4"/>
                <c:pt idx="0">
                  <c:v>Ridgeline Career Partners</c:v>
                </c:pt>
                <c:pt idx="1">
                  <c:v>Larch Valley Community Action</c:v>
                </c:pt>
                <c:pt idx="2">
                  <c:v>Kestrel Employment Services</c:v>
                </c:pt>
                <c:pt idx="3">
                  <c:v>Fenwick Adult Learning Center</c:v>
                </c:pt>
              </c:strCache>
            </c:strRef>
          </c:cat>
          <c:val>
            <c:numRef>
              <c:f>'Portfolio Summary'!$E$8:$E$11</c:f>
              <c:numCache>
                <c:formatCode>0%</c:formatCode>
                <c:ptCount val="4"/>
                <c:pt idx="0">
                  <c:v>0.935021276595745</c:v>
                </c:pt>
                <c:pt idx="1">
                  <c:v>0.937109375</c:v>
                </c:pt>
                <c:pt idx="2">
                  <c:v>0.962676767676768</c:v>
                </c:pt>
                <c:pt idx="3">
                  <c:v>0.86</c:v>
                </c:pt>
              </c:numCache>
            </c:numRef>
          </c:val>
        </c:ser>
        <c:ser>
          <c:idx val="1"/>
          <c:order val="1"/>
          <c:tx>
            <c:strRef>
              <c:f>'Portfolio Summary'!H7</c:f>
              <c:strCache>
                <c:ptCount val="1"/>
                <c:pt idx="0">
                  <c:v>Percent of placement target</c:v>
                </c:pt>
              </c:strCache>
            </c:strRef>
          </c:tx>
          <c:spPr>
            <a:solidFill>
              <a:srgbClr val="7a273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'Portfolio Summary'!$A$8:$A$11</c:f>
              <c:strCache>
                <c:ptCount val="4"/>
                <c:pt idx="0">
                  <c:v>Ridgeline Career Partners</c:v>
                </c:pt>
                <c:pt idx="1">
                  <c:v>Larch Valley Community Action</c:v>
                </c:pt>
                <c:pt idx="2">
                  <c:v>Kestrel Employment Services</c:v>
                </c:pt>
                <c:pt idx="3">
                  <c:v>Fenwick Adult Learning Center</c:v>
                </c:pt>
              </c:strCache>
            </c:strRef>
          </c:cat>
          <c:val>
            <c:numRef>
              <c:f>'Portfolio Summary'!$H$8:$H$11</c:f>
              <c:numCache>
                <c:formatCode>0%</c:formatCode>
                <c:ptCount val="4"/>
                <c:pt idx="0">
                  <c:v>1.08095238095238</c:v>
                </c:pt>
                <c:pt idx="1">
                  <c:v>0.706666666666667</c:v>
                </c:pt>
                <c:pt idx="2">
                  <c:v>0.890909090909091</c:v>
                </c:pt>
                <c:pt idx="3">
                  <c:v>0.981818181818182</c:v>
                </c:pt>
              </c:numCache>
            </c:numRef>
          </c:val>
        </c:ser>
        <c:gapWidth val="150"/>
        <c:overlap val="0"/>
        <c:axId val="78507490"/>
        <c:axId val="94847130"/>
      </c:barChart>
      <c:catAx>
        <c:axId val="7850749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847130"/>
        <c:crosses val="autoZero"/>
        <c:auto val="1"/>
        <c:lblAlgn val="ctr"/>
        <c:lblOffset val="100"/>
        <c:noMultiLvlLbl val="0"/>
      </c:catAx>
      <c:valAx>
        <c:axId val="94847130"/>
        <c:scaling>
          <c:orientation val="minMax"/>
          <c:max val="1.2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50749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9</xdr:row>
      <xdr:rowOff>160920</xdr:rowOff>
    </xdr:from>
    <xdr:to>
      <xdr:col>19</xdr:col>
      <xdr:colOff>147600</xdr:colOff>
      <xdr:row>24</xdr:row>
      <xdr:rowOff>70560</xdr:rowOff>
    </xdr:to>
    <xdr:graphicFrame>
      <xdr:nvGraphicFramePr>
        <xdr:cNvPr id="0" name="Chart 1"/>
        <xdr:cNvGraphicFramePr/>
      </xdr:nvGraphicFramePr>
      <xdr:xfrm>
        <a:off x="10831680" y="190512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160920</xdr:rowOff>
    </xdr:from>
    <xdr:to>
      <xdr:col>7</xdr:col>
      <xdr:colOff>518760</xdr:colOff>
      <xdr:row>30</xdr:row>
      <xdr:rowOff>162000</xdr:rowOff>
    </xdr:to>
    <xdr:graphicFrame>
      <xdr:nvGraphicFramePr>
        <xdr:cNvPr id="1" name="Chart 1"/>
        <xdr:cNvGraphicFramePr/>
      </xdr:nvGraphicFramePr>
      <xdr:xfrm>
        <a:off x="0" y="302904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AnnualResults" displayName="AnnualResults" ref="A4:H36" headerRowCount="1" totalsRowCount="0" totalsRowShown="0">
  <autoFilter ref="A4:H36"/>
  <tableColumns count="8">
    <tableColumn id="1" name="Contract ID"/>
    <tableColumn id="2" name="Measure ID"/>
    <tableColumn id="3" name="Measure"/>
    <tableColumn id="4" name="Type"/>
    <tableColumn id="5" name="Year to date"/>
    <tableColumn id="6" name="Annual target"/>
    <tableColumn id="7" name="Percent of target"/>
    <tableColumn id="8" name="Status"/>
  </tableColumns>
</table>
</file>

<file path=xl/tables/table2.xml><?xml version="1.0" encoding="utf-8"?>
<table xmlns="http://schemas.openxmlformats.org/spreadsheetml/2006/main" id="2" name="Contracts" displayName="Contracts" ref="A4:H8" headerRowCount="1" totalsRowCount="0" totalsRowShown="0">
  <autoFilter ref="A4:H8"/>
  <tableColumns count="8">
    <tableColumn id="1" name="Contract ID"/>
    <tableColumn id="2" name="Provider"/>
    <tableColumn id="3" name="Program"/>
    <tableColumn id="4" name="Service area"/>
    <tableColumn id="5" name="Contract amount"/>
    <tableColumn id="6" name="Start date"/>
    <tableColumn id="7" name="End date"/>
    <tableColumn id="8" name="Monitor ID"/>
  </tableColumns>
</table>
</file>

<file path=xl/tables/table3.xml><?xml version="1.0" encoding="utf-8"?>
<table xmlns="http://schemas.openxmlformats.org/spreadsheetml/2006/main" id="3" name="CorrectiveActions" displayName="CorrectiveActions" ref="A4:H9" headerRowCount="1" totalsRowCount="0" totalsRowShown="0">
  <autoFilter ref="A4:H9"/>
  <tableColumns count="8">
    <tableColumn id="1" name="CAP ID"/>
    <tableColumn id="2" name="Contract ID"/>
    <tableColumn id="3" name="Required action"/>
    <tableColumn id="4" name="Due date"/>
    <tableColumn id="5" name="Status"/>
    <tableColumn id="6" name="Date closed"/>
    <tableColumn id="7" name="Days overdue"/>
    <tableColumn id="8" name="Overdue"/>
  </tableColumns>
</table>
</file>

<file path=xl/tables/table4.xml><?xml version="1.0" encoding="utf-8"?>
<table xmlns="http://schemas.openxmlformats.org/spreadsheetml/2006/main" id="4" name="Deliverables" displayName="Deliverables" ref="A4:F28" headerRowCount="1" totalsRowCount="0" totalsRowShown="0">
  <autoFilter ref="A4:F28"/>
  <tableColumns count="6">
    <tableColumn id="1" name="Contract ID"/>
    <tableColumn id="2" name="Deliverable"/>
    <tableColumn id="3" name="Due date"/>
    <tableColumn id="4" name="Date submitted"/>
    <tableColumn id="5" name="Status"/>
    <tableColumn id="6" name="Days late"/>
  </tableColumns>
</table>
</file>

<file path=xl/tables/table5.xml><?xml version="1.0" encoding="utf-8"?>
<table xmlns="http://schemas.openxmlformats.org/spreadsheetml/2006/main" id="5" name="Invoices" displayName="Invoices" ref="A4:G20" headerRowCount="1" totalsRowCount="0" totalsRowShown="0">
  <autoFilter ref="A4:G20"/>
  <tableColumns count="7">
    <tableColumn id="1" name="Contract ID"/>
    <tableColumn id="2" name="Quarter"/>
    <tableColumn id="3" name="Date submitted"/>
    <tableColumn id="4" name="Amount invoiced"/>
    <tableColumn id="5" name="Amount approved"/>
    <tableColumn id="6" name="Disallowed"/>
    <tableColumn id="7" name="Note"/>
  </tableColumns>
</table>
</file>

<file path=xl/tables/table6.xml><?xml version="1.0" encoding="utf-8"?>
<table xmlns="http://schemas.openxmlformats.org/spreadsheetml/2006/main" id="6" name="Measures" displayName="Measures" ref="A4:J132" headerRowCount="1" totalsRowCount="0" totalsRowShown="0">
  <autoFilter ref="A4:J132"/>
  <tableColumns count="10">
    <tableColumn id="1" name="Contract ID"/>
    <tableColumn id="2" name="Measure ID"/>
    <tableColumn id="3" name="Measure"/>
    <tableColumn id="4" name="Quarter"/>
    <tableColumn id="5" name="Numerator"/>
    <tableColumn id="6" name="Denominator"/>
    <tableColumn id="7" name="Actual"/>
    <tableColumn id="8" name="Quarterly target"/>
    <tableColumn id="9" name="Percent of target"/>
    <tableColumn id="10" name="Status"/>
  </tableColumns>
</table>
</file>

<file path=xl/tables/table7.xml><?xml version="1.0" encoding="utf-8"?>
<table xmlns="http://schemas.openxmlformats.org/spreadsheetml/2006/main" id="7" name="SiteVisits" displayName="SiteVisits" ref="A4:G12" headerRowCount="1" totalsRowCount="0" totalsRowShown="0">
  <autoFilter ref="A4:G12"/>
  <tableColumns count="7">
    <tableColumn id="1" name="Contract ID"/>
    <tableColumn id="2" name="Visit date"/>
    <tableColumn id="3" name="Files reviewed"/>
    <tableColumn id="4" name="Area"/>
    <tableColumn id="5" name="Finding or observation"/>
    <tableColumn id="6" name="Type"/>
    <tableColumn id="7" name="Corrective action required"/>
  </tableColumns>
</table>
</file>

<file path=xl/tables/table8.xml><?xml version="1.0" encoding="utf-8"?>
<table xmlns="http://schemas.openxmlformats.org/spreadsheetml/2006/main" id="8" name="Targets" displayName="Targets" ref="A4:E36" headerRowCount="1" totalsRowCount="0" totalsRowShown="0">
  <autoFilter ref="A4:E36"/>
  <tableColumns count="5">
    <tableColumn id="1" name="Contract ID"/>
    <tableColumn id="2" name="Measure ID"/>
    <tableColumn id="3" name="Measure"/>
    <tableColumn id="4" name="Type"/>
    <tableColumn id="5" name="Annual targe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8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7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23.85" hidden="false" customHeight="false" outlineLevel="0" collapsed="false">
      <c r="A5" s="5" t="s">
        <v>4</v>
      </c>
      <c r="B5" s="6" t="s">
        <v>5</v>
      </c>
    </row>
    <row r="6" customFormat="false" ht="23.85" hidden="false" customHeight="false" outlineLevel="0" collapsed="false">
      <c r="A6" s="5" t="s">
        <v>6</v>
      </c>
      <c r="B6" s="6" t="s">
        <v>7</v>
      </c>
    </row>
    <row r="7" customFormat="false" ht="15" hidden="false" customHeight="false" outlineLevel="0" collapsed="false">
      <c r="A7" s="5" t="s">
        <v>8</v>
      </c>
      <c r="B7" s="6" t="s">
        <v>9</v>
      </c>
    </row>
    <row r="8" customFormat="false" ht="15" hidden="false" customHeight="false" outlineLevel="0" collapsed="false">
      <c r="A8" s="5" t="s">
        <v>10</v>
      </c>
      <c r="B8" s="6" t="s">
        <v>11</v>
      </c>
    </row>
    <row r="9" customFormat="false" ht="23.85" hidden="false" customHeight="false" outlineLevel="0" collapsed="false">
      <c r="A9" s="5" t="s">
        <v>12</v>
      </c>
      <c r="B9" s="6" t="s">
        <v>13</v>
      </c>
    </row>
    <row r="10" customFormat="false" ht="15" hidden="false" customHeight="false" outlineLevel="0" collapsed="false">
      <c r="A10" s="5" t="s">
        <v>14</v>
      </c>
      <c r="B10" s="6" t="s">
        <v>15</v>
      </c>
    </row>
    <row r="11" customFormat="false" ht="15" hidden="false" customHeight="false" outlineLevel="0" collapsed="false">
      <c r="A11" s="5" t="s">
        <v>16</v>
      </c>
      <c r="B11" s="6" t="s">
        <v>17</v>
      </c>
    </row>
    <row r="12" customFormat="false" ht="15" hidden="false" customHeight="false" outlineLevel="0" collapsed="false">
      <c r="A12" s="5" t="s">
        <v>18</v>
      </c>
      <c r="B12" s="6" t="s">
        <v>19</v>
      </c>
    </row>
    <row r="13" customFormat="false" ht="15" hidden="false" customHeight="false" outlineLevel="0" collapsed="false">
      <c r="A13" s="5" t="s">
        <v>20</v>
      </c>
      <c r="B13" s="6" t="s">
        <v>21</v>
      </c>
    </row>
    <row r="14" customFormat="false" ht="15" hidden="false" customHeight="false" outlineLevel="0" collapsed="false">
      <c r="A14" s="5" t="s">
        <v>22</v>
      </c>
      <c r="B14" s="6" t="s">
        <v>23</v>
      </c>
    </row>
    <row r="15" customFormat="false" ht="15" hidden="false" customHeight="false" outlineLevel="0" collapsed="false">
      <c r="A15" s="5"/>
      <c r="B15" s="6"/>
    </row>
    <row r="16" customFormat="false" ht="15" hidden="false" customHeight="false" outlineLevel="0" collapsed="false">
      <c r="A16" s="5" t="s">
        <v>24</v>
      </c>
      <c r="B16" s="6" t="s">
        <v>25</v>
      </c>
    </row>
    <row r="17" customFormat="false" ht="35.05" hidden="false" customHeight="false" outlineLevel="0" collapsed="false">
      <c r="A17" s="5" t="s">
        <v>26</v>
      </c>
      <c r="B17" s="6" t="s">
        <v>27</v>
      </c>
    </row>
    <row r="18" customFormat="false" ht="15" hidden="false" customHeight="false" outlineLevel="0" collapsed="false">
      <c r="A18" s="5" t="s">
        <v>28</v>
      </c>
      <c r="B18" s="6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8"/>
    <col collapsed="false" customWidth="true" hidden="false" outlineLevel="0" max="6" min="3" style="0" width="10"/>
    <col collapsed="false" customWidth="true" hidden="false" outlineLevel="0" max="7" min="7" style="0" width="11"/>
    <col collapsed="false" customWidth="true" hidden="false" outlineLevel="0" max="8" min="8" style="0" width="12"/>
    <col collapsed="false" customWidth="true" hidden="false" outlineLevel="0" max="10" min="9" style="0" width="11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15" hidden="false" customHeight="false" outlineLevel="0" collapsed="false">
      <c r="A4" s="7" t="s">
        <v>32</v>
      </c>
      <c r="C4" s="8" t="s">
        <v>33</v>
      </c>
    </row>
    <row r="5" customFormat="false" ht="15" hidden="false" customHeight="false" outlineLevel="0" collapsed="false">
      <c r="A5" s="9" t="s">
        <v>34</v>
      </c>
      <c r="C5" s="10" t="str">
        <f aca="false">INDEX(Contracts!$A$5:$A$8,MATCH($C$4,Contracts!$B$5:$B$8,0))</f>
        <v>LDHS-ET-26-017</v>
      </c>
    </row>
    <row r="6" customFormat="false" ht="15" hidden="false" customHeight="false" outlineLevel="0" collapsed="false">
      <c r="A6" s="9" t="s">
        <v>35</v>
      </c>
      <c r="C6" s="10" t="str">
        <f aca="false">INDEX(Contracts!$C$5:$C$8,MATCH($C$4,Contracts!$B$5:$B$8,0))</f>
        <v>TANF and SNAP Employment and Training</v>
      </c>
    </row>
    <row r="7" customFormat="false" ht="15" hidden="false" customHeight="false" outlineLevel="0" collapsed="false">
      <c r="A7" s="9" t="s">
        <v>36</v>
      </c>
      <c r="C7" s="10" t="str">
        <f aca="false">INDEX(Contracts!$D$5:$D$8,MATCH($C$4,Contracts!$B$5:$B$8,0))</f>
        <v>Port Calder and Redfern counties</v>
      </c>
    </row>
    <row r="8" customFormat="false" ht="15" hidden="false" customHeight="false" outlineLevel="0" collapsed="false">
      <c r="A8" s="9" t="s">
        <v>37</v>
      </c>
      <c r="C8" s="11" t="n">
        <f aca="false">INDEX(Contracts!$E$5:$E$8,MATCH($C$4,Contracts!$B$5:$B$8,0))</f>
        <v>1980000</v>
      </c>
    </row>
    <row r="9" customFormat="false" ht="15" hidden="false" customHeight="false" outlineLevel="0" collapsed="false">
      <c r="A9" s="9" t="s">
        <v>38</v>
      </c>
      <c r="C9" s="12" t="str">
        <f aca="false">IF(OR(C31&lt;4,I29&gt;0,C26&gt;0.01*C25),"Corrective action required",IF(OR(C31&lt;6,I28&gt;0),"Needs improvement","Meets expectations"))</f>
        <v>Corrective action required</v>
      </c>
    </row>
    <row r="11" customFormat="false" ht="15" hidden="false" customHeight="false" outlineLevel="0" collapsed="false">
      <c r="A11" s="13" t="s">
        <v>39</v>
      </c>
    </row>
    <row r="12" customFormat="false" ht="23.85" hidden="false" customHeight="false" outlineLevel="0" collapsed="false">
      <c r="A12" s="14" t="s">
        <v>40</v>
      </c>
      <c r="B12" s="14" t="s">
        <v>41</v>
      </c>
      <c r="C12" s="14" t="s">
        <v>42</v>
      </c>
      <c r="D12" s="14" t="s">
        <v>43</v>
      </c>
      <c r="E12" s="14" t="s">
        <v>44</v>
      </c>
      <c r="F12" s="14" t="s">
        <v>45</v>
      </c>
      <c r="G12" s="14" t="s">
        <v>46</v>
      </c>
      <c r="H12" s="14" t="s">
        <v>47</v>
      </c>
      <c r="I12" s="14" t="s">
        <v>48</v>
      </c>
      <c r="J12" s="14" t="s">
        <v>49</v>
      </c>
    </row>
    <row r="13" customFormat="false" ht="15" hidden="false" customHeight="false" outlineLevel="0" collapsed="false">
      <c r="A13" s="15" t="s">
        <v>50</v>
      </c>
      <c r="B13" s="15" t="s">
        <v>51</v>
      </c>
      <c r="C13" s="16" t="n">
        <f aca="false">SUMIFS(Measures!$E$5:$E$132,Measures!$A$5:$A$132,$C$5,Measures!$B$5:$B$132,$A13,Measures!$D$5:$D$132,"Q1")</f>
        <v>184</v>
      </c>
      <c r="D13" s="16" t="n">
        <f aca="false">SUMIFS(Measures!$E$5:$E$132,Measures!$A$5:$A$132,$C$5,Measures!$B$5:$B$132,$A13,Measures!$D$5:$D$132,"Q2")</f>
        <v>174</v>
      </c>
      <c r="E13" s="16" t="n">
        <f aca="false">SUMIFS(Measures!$E$5:$E$132,Measures!$A$5:$A$132,$C$5,Measures!$B$5:$B$132,$A13,Measures!$D$5:$D$132,"Q3")</f>
        <v>193</v>
      </c>
      <c r="F13" s="16" t="n">
        <f aca="false">SUMIFS(Measures!$E$5:$E$132,Measures!$A$5:$A$132,$C$5,Measures!$B$5:$B$132,$A13,Measures!$D$5:$D$132,"Q4")</f>
        <v>206</v>
      </c>
      <c r="G13" s="16" t="n">
        <f aca="false">SUMIFS('Annual Results'!$E$5:$E$36,'Annual Results'!$A$5:$A$36,$C$5,'Annual Results'!$B$5:$B$36,$A13)</f>
        <v>757</v>
      </c>
      <c r="H13" s="16" t="n">
        <f aca="false">SUMIFS(Targets!$E$5:$E$36,Targets!$A$5:$A$36,$C$5,Targets!$B$5:$B$36,$A13)</f>
        <v>780</v>
      </c>
      <c r="I13" s="17" t="n">
        <f aca="false">IFERROR(G13/H13,"")</f>
        <v>0.970512820512821</v>
      </c>
      <c r="J13" s="18" t="str">
        <f aca="false">IF(I13="","",IF(I13&gt;=1,"Met",IF(I13&gt;=0.9,"Near","Not met")))</f>
        <v>Near</v>
      </c>
    </row>
    <row r="14" customFormat="false" ht="15" hidden="false" customHeight="false" outlineLevel="0" collapsed="false">
      <c r="A14" s="15" t="s">
        <v>52</v>
      </c>
      <c r="B14" s="15" t="s">
        <v>53</v>
      </c>
      <c r="C14" s="17" t="n">
        <f aca="false">IFERROR(SUMIFS(Measures!$E$5:$E$132,Measures!$A$5:$A$132,$C$5,Measures!$B$5:$B$132,$A14,Measures!$D$5:$D$132,"Q1")/SUMIFS(Measures!$F$5:$F$132,Measures!$A$5:$A$132,$C$5,Measures!$B$5:$B$132,$A14,Measures!$D$5:$D$132,"Q1"),"")</f>
        <v>0.804347826086957</v>
      </c>
      <c r="D14" s="17" t="n">
        <f aca="false">IFERROR(SUMIFS(Measures!$E$5:$E$132,Measures!$A$5:$A$132,$C$5,Measures!$B$5:$B$132,$A14,Measures!$D$5:$D$132,"Q2")/SUMIFS(Measures!$F$5:$F$132,Measures!$A$5:$A$132,$C$5,Measures!$B$5:$B$132,$A14,Measures!$D$5:$D$132,"Q2"),"")</f>
        <v>0.798850574712644</v>
      </c>
      <c r="E14" s="17" t="n">
        <f aca="false">IFERROR(SUMIFS(Measures!$E$5:$E$132,Measures!$A$5:$A$132,$C$5,Measures!$B$5:$B$132,$A14,Measures!$D$5:$D$132,"Q3")/SUMIFS(Measures!$F$5:$F$132,Measures!$A$5:$A$132,$C$5,Measures!$B$5:$B$132,$A14,Measures!$D$5:$D$132,"Q3"),"")</f>
        <v>0.808290155440415</v>
      </c>
      <c r="F14" s="17" t="n">
        <f aca="false">IFERROR(SUMIFS(Measures!$E$5:$E$132,Measures!$A$5:$A$132,$C$5,Measures!$B$5:$B$132,$A14,Measures!$D$5:$D$132,"Q4")/SUMIFS(Measures!$F$5:$F$132,Measures!$A$5:$A$132,$C$5,Measures!$B$5:$B$132,$A14,Measures!$D$5:$D$132,"Q4"),"")</f>
        <v>0.762135922330097</v>
      </c>
      <c r="G14" s="17" t="n">
        <f aca="false">SUMIFS('Annual Results'!$E$5:$E$36,'Annual Results'!$A$5:$A$36,$C$5,'Annual Results'!$B$5:$B$36,$A14)</f>
        <v>0.792602377807133</v>
      </c>
      <c r="H14" s="17" t="n">
        <f aca="false">SUMIFS(Targets!$E$5:$E$36,Targets!$A$5:$A$36,$C$5,Targets!$B$5:$B$36,$A14)</f>
        <v>0.9</v>
      </c>
      <c r="I14" s="17" t="n">
        <f aca="false">IFERROR(G14/H14,"")</f>
        <v>0.880669308674593</v>
      </c>
      <c r="J14" s="18" t="str">
        <f aca="false">IF(I14="","",IF(I14&gt;=1,"Met",IF(I14&gt;=0.9,"Near","Not met")))</f>
        <v>Not met</v>
      </c>
    </row>
    <row r="15" customFormat="false" ht="15" hidden="false" customHeight="false" outlineLevel="0" collapsed="false">
      <c r="A15" s="15" t="s">
        <v>54</v>
      </c>
      <c r="B15" s="15" t="s">
        <v>55</v>
      </c>
      <c r="C15" s="17" t="n">
        <f aca="false">IFERROR(SUMIFS(Measures!$E$5:$E$132,Measures!$A$5:$A$132,$C$5,Measures!$B$5:$B$132,$A15,Measures!$D$5:$D$132,"Q1")/SUMIFS(Measures!$F$5:$F$132,Measures!$A$5:$A$132,$C$5,Measures!$B$5:$B$132,$A15,Measures!$D$5:$D$132,"Q1"),"")</f>
        <v>0.705426356589147</v>
      </c>
      <c r="D15" s="17" t="n">
        <f aca="false">IFERROR(SUMIFS(Measures!$E$5:$E$132,Measures!$A$5:$A$132,$C$5,Measures!$B$5:$B$132,$A15,Measures!$D$5:$D$132,"Q2")/SUMIFS(Measures!$F$5:$F$132,Measures!$A$5:$A$132,$C$5,Measures!$B$5:$B$132,$A15,Measures!$D$5:$D$132,"Q2"),"")</f>
        <v>0.667605633802817</v>
      </c>
      <c r="E15" s="17" t="n">
        <f aca="false">IFERROR(SUMIFS(Measures!$E$5:$E$132,Measures!$A$5:$A$132,$C$5,Measures!$B$5:$B$132,$A15,Measures!$D$5:$D$132,"Q3")/SUMIFS(Measures!$F$5:$F$132,Measures!$A$5:$A$132,$C$5,Measures!$B$5:$B$132,$A15,Measures!$D$5:$D$132,"Q3"),"")</f>
        <v>0.645238095238095</v>
      </c>
      <c r="F15" s="17" t="n">
        <f aca="false">IFERROR(SUMIFS(Measures!$E$5:$E$132,Measures!$A$5:$A$132,$C$5,Measures!$B$5:$B$132,$A15,Measures!$D$5:$D$132,"Q4")/SUMIFS(Measures!$F$5:$F$132,Measures!$A$5:$A$132,$C$5,Measures!$B$5:$B$132,$A15,Measures!$D$5:$D$132,"Q4"),"")</f>
        <v>0.598152424942263</v>
      </c>
      <c r="G15" s="17" t="n">
        <f aca="false">SUMIFS('Annual Results'!$E$5:$E$36,'Annual Results'!$A$5:$A$36,$C$5,'Annual Results'!$B$5:$B$36,$A15)</f>
        <v>0.652037617554859</v>
      </c>
      <c r="H15" s="17" t="n">
        <f aca="false">SUMIFS(Targets!$E$5:$E$36,Targets!$A$5:$A$36,$C$5,Targets!$B$5:$B$36,$A15)</f>
        <v>0.7</v>
      </c>
      <c r="I15" s="17" t="n">
        <f aca="false">IFERROR(G15/H15,"")</f>
        <v>0.931482310792656</v>
      </c>
      <c r="J15" s="18" t="str">
        <f aca="false">IF(I15="","",IF(I15&gt;=1,"Met",IF(I15&gt;=0.9,"Near","Not met")))</f>
        <v>Near</v>
      </c>
    </row>
    <row r="16" customFormat="false" ht="15" hidden="false" customHeight="false" outlineLevel="0" collapsed="false">
      <c r="A16" s="15" t="s">
        <v>56</v>
      </c>
      <c r="B16" s="15" t="s">
        <v>57</v>
      </c>
      <c r="C16" s="16" t="n">
        <f aca="false">SUMIFS(Measures!$E$5:$E$132,Measures!$A$5:$A$132,$C$5,Measures!$B$5:$B$132,$A16,Measures!$D$5:$D$132,"Q1")</f>
        <v>73</v>
      </c>
      <c r="D16" s="16" t="n">
        <f aca="false">SUMIFS(Measures!$E$5:$E$132,Measures!$A$5:$A$132,$C$5,Measures!$B$5:$B$132,$A16,Measures!$D$5:$D$132,"Q2")</f>
        <v>72</v>
      </c>
      <c r="E16" s="16" t="n">
        <f aca="false">SUMIFS(Measures!$E$5:$E$132,Measures!$A$5:$A$132,$C$5,Measures!$B$5:$B$132,$A16,Measures!$D$5:$D$132,"Q3")</f>
        <v>71</v>
      </c>
      <c r="F16" s="16" t="n">
        <f aca="false">SUMIFS(Measures!$E$5:$E$132,Measures!$A$5:$A$132,$C$5,Measures!$B$5:$B$132,$A16,Measures!$D$5:$D$132,"Q4")</f>
        <v>78</v>
      </c>
      <c r="G16" s="16" t="n">
        <f aca="false">SUMIFS('Annual Results'!$E$5:$E$36,'Annual Results'!$A$5:$A$36,$C$5,'Annual Results'!$B$5:$B$36,$A16)</f>
        <v>294</v>
      </c>
      <c r="H16" s="16" t="n">
        <f aca="false">SUMIFS(Targets!$E$5:$E$36,Targets!$A$5:$A$36,$C$5,Targets!$B$5:$B$36,$A16)</f>
        <v>330</v>
      </c>
      <c r="I16" s="17" t="n">
        <f aca="false">IFERROR(G16/H16,"")</f>
        <v>0.890909090909091</v>
      </c>
      <c r="J16" s="18" t="str">
        <f aca="false">IF(I16="","",IF(I16&gt;=1,"Met",IF(I16&gt;=0.9,"Near","Not met")))</f>
        <v>Not met</v>
      </c>
    </row>
    <row r="17" customFormat="false" ht="15" hidden="false" customHeight="false" outlineLevel="0" collapsed="false">
      <c r="A17" s="15" t="s">
        <v>58</v>
      </c>
      <c r="B17" s="15" t="s">
        <v>59</v>
      </c>
      <c r="C17" s="19" t="n">
        <f aca="false">IFERROR(SUMIFS(Measures!$E$5:$E$132,Measures!$A$5:$A$132,$C$5,Measures!$B$5:$B$132,$A17,Measures!$D$5:$D$132,"Q1")/SUMIFS(Measures!$F$5:$F$132,Measures!$A$5:$A$132,$C$5,Measures!$B$5:$B$132,$A17,Measures!$D$5:$D$132,"Q1"),"")</f>
        <v>14.843698630137</v>
      </c>
      <c r="D17" s="19" t="n">
        <f aca="false">IFERROR(SUMIFS(Measures!$E$5:$E$132,Measures!$A$5:$A$132,$C$5,Measures!$B$5:$B$132,$A17,Measures!$D$5:$D$132,"Q2")/SUMIFS(Measures!$F$5:$F$132,Measures!$A$5:$A$132,$C$5,Measures!$B$5:$B$132,$A17,Measures!$D$5:$D$132,"Q2"),"")</f>
        <v>14.9645833333333</v>
      </c>
      <c r="E17" s="19" t="n">
        <f aca="false">IFERROR(SUMIFS(Measures!$E$5:$E$132,Measures!$A$5:$A$132,$C$5,Measures!$B$5:$B$132,$A17,Measures!$D$5:$D$132,"Q3")/SUMIFS(Measures!$F$5:$F$132,Measures!$A$5:$A$132,$C$5,Measures!$B$5:$B$132,$A17,Measures!$D$5:$D$132,"Q3"),"")</f>
        <v>14.7457746478873</v>
      </c>
      <c r="F17" s="19" t="n">
        <f aca="false">IFERROR(SUMIFS(Measures!$E$5:$E$132,Measures!$A$5:$A$132,$C$5,Measures!$B$5:$B$132,$A17,Measures!$D$5:$D$132,"Q4")/SUMIFS(Measures!$F$5:$F$132,Measures!$A$5:$A$132,$C$5,Measures!$B$5:$B$132,$A17,Measures!$D$5:$D$132,"Q4"),"")</f>
        <v>15.0820512820513</v>
      </c>
      <c r="G17" s="19" t="n">
        <f aca="false">SUMIFS('Annual Results'!$E$5:$E$36,'Annual Results'!$A$5:$A$36,$C$5,'Annual Results'!$B$5:$B$36,$A17)</f>
        <v>14.9128911564626</v>
      </c>
      <c r="H17" s="19" t="n">
        <f aca="false">SUMIFS(Targets!$E$5:$E$36,Targets!$A$5:$A$36,$C$5,Targets!$B$5:$B$36,$A17)</f>
        <v>14.5</v>
      </c>
      <c r="I17" s="17" t="n">
        <f aca="false">IFERROR(G17/H17,"")</f>
        <v>1.02847525216983</v>
      </c>
      <c r="J17" s="18" t="str">
        <f aca="false">IF(I17="","",IF(I17&gt;=1,"Met",IF(I17&gt;=0.9,"Near","Not met")))</f>
        <v>Met</v>
      </c>
    </row>
    <row r="18" customFormat="false" ht="15" hidden="false" customHeight="false" outlineLevel="0" collapsed="false">
      <c r="A18" s="15" t="s">
        <v>60</v>
      </c>
      <c r="B18" s="15" t="s">
        <v>61</v>
      </c>
      <c r="C18" s="17" t="n">
        <f aca="false">IFERROR(SUMIFS(Measures!$E$5:$E$132,Measures!$A$5:$A$132,$C$5,Measures!$B$5:$B$132,$A18,Measures!$D$5:$D$132,"Q1")/SUMIFS(Measures!$F$5:$F$132,Measures!$A$5:$A$132,$C$5,Measures!$B$5:$B$132,$A18,Measures!$D$5:$D$132,"Q1"),"")</f>
        <v>0.724137931034483</v>
      </c>
      <c r="D18" s="17" t="n">
        <f aca="false">IFERROR(SUMIFS(Measures!$E$5:$E$132,Measures!$A$5:$A$132,$C$5,Measures!$B$5:$B$132,$A18,Measures!$D$5:$D$132,"Q2")/SUMIFS(Measures!$F$5:$F$132,Measures!$A$5:$A$132,$C$5,Measures!$B$5:$B$132,$A18,Measures!$D$5:$D$132,"Q2"),"")</f>
        <v>0.768115942028986</v>
      </c>
      <c r="E18" s="17" t="n">
        <f aca="false">IFERROR(SUMIFS(Measures!$E$5:$E$132,Measures!$A$5:$A$132,$C$5,Measures!$B$5:$B$132,$A18,Measures!$D$5:$D$132,"Q3")/SUMIFS(Measures!$F$5:$F$132,Measures!$A$5:$A$132,$C$5,Measures!$B$5:$B$132,$A18,Measures!$D$5:$D$132,"Q3"),"")</f>
        <v>0.823529411764706</v>
      </c>
      <c r="F18" s="17" t="n">
        <f aca="false">IFERROR(SUMIFS(Measures!$E$5:$E$132,Measures!$A$5:$A$132,$C$5,Measures!$B$5:$B$132,$A18,Measures!$D$5:$D$132,"Q4")/SUMIFS(Measures!$F$5:$F$132,Measures!$A$5:$A$132,$C$5,Measures!$B$5:$B$132,$A18,Measures!$D$5:$D$132,"Q4"),"")</f>
        <v>0.746268656716418</v>
      </c>
      <c r="G18" s="17" t="n">
        <f aca="false">SUMIFS('Annual Results'!$E$5:$E$36,'Annual Results'!$A$5:$A$36,$C$5,'Annual Results'!$B$5:$B$36,$A18)</f>
        <v>0.767175572519084</v>
      </c>
      <c r="H18" s="17" t="n">
        <f aca="false">SUMIFS(Targets!$E$5:$E$36,Targets!$A$5:$A$36,$C$5,Targets!$B$5:$B$36,$A18)</f>
        <v>0.75</v>
      </c>
      <c r="I18" s="17" t="n">
        <f aca="false">IFERROR(G18/H18,"")</f>
        <v>1.02290076335878</v>
      </c>
      <c r="J18" s="18" t="str">
        <f aca="false">IF(I18="","",IF(I18&gt;=1,"Met",IF(I18&gt;=0.9,"Near","Not met")))</f>
        <v>Met</v>
      </c>
    </row>
    <row r="19" customFormat="false" ht="15" hidden="false" customHeight="false" outlineLevel="0" collapsed="false">
      <c r="A19" s="15" t="s">
        <v>62</v>
      </c>
      <c r="B19" s="15" t="s">
        <v>63</v>
      </c>
      <c r="C19" s="17" t="n">
        <f aca="false">IFERROR(SUMIFS(Measures!$E$5:$E$132,Measures!$A$5:$A$132,$C$5,Measures!$B$5:$B$132,$A19,Measures!$D$5:$D$132,"Q1")/SUMIFS(Measures!$F$5:$F$132,Measures!$A$5:$A$132,$C$5,Measures!$B$5:$B$132,$A19,Measures!$D$5:$D$132,"Q1"),"")</f>
        <v>0.6</v>
      </c>
      <c r="D19" s="17" t="n">
        <f aca="false">IFERROR(SUMIFS(Measures!$E$5:$E$132,Measures!$A$5:$A$132,$C$5,Measures!$B$5:$B$132,$A19,Measures!$D$5:$D$132,"Q2")/SUMIFS(Measures!$F$5:$F$132,Measures!$A$5:$A$132,$C$5,Measures!$B$5:$B$132,$A19,Measures!$D$5:$D$132,"Q2"),"")</f>
        <v>0.605263157894737</v>
      </c>
      <c r="E19" s="17" t="n">
        <f aca="false">IFERROR(SUMIFS(Measures!$E$5:$E$132,Measures!$A$5:$A$132,$C$5,Measures!$B$5:$B$132,$A19,Measures!$D$5:$D$132,"Q3")/SUMIFS(Measures!$F$5:$F$132,Measures!$A$5:$A$132,$C$5,Measures!$B$5:$B$132,$A19,Measures!$D$5:$D$132,"Q3"),"")</f>
        <v>0.619047619047619</v>
      </c>
      <c r="F19" s="17" t="n">
        <f aca="false">IFERROR(SUMIFS(Measures!$E$5:$E$132,Measures!$A$5:$A$132,$C$5,Measures!$B$5:$B$132,$A19,Measures!$D$5:$D$132,"Q4")/SUMIFS(Measures!$F$5:$F$132,Measures!$A$5:$A$132,$C$5,Measures!$B$5:$B$132,$A19,Measures!$D$5:$D$132,"Q4"),"")</f>
        <v>0.6</v>
      </c>
      <c r="G19" s="17" t="n">
        <f aca="false">SUMIFS('Annual Results'!$E$5:$E$36,'Annual Results'!$A$5:$A$36,$C$5,'Annual Results'!$B$5:$B$36,$A19)</f>
        <v>0.606060606060606</v>
      </c>
      <c r="H19" s="17" t="n">
        <f aca="false">SUMIFS(Targets!$E$5:$E$36,Targets!$A$5:$A$36,$C$5,Targets!$B$5:$B$36,$A19)</f>
        <v>0.6</v>
      </c>
      <c r="I19" s="17" t="n">
        <f aca="false">IFERROR(G19/H19,"")</f>
        <v>1.01010101010101</v>
      </c>
      <c r="J19" s="18" t="str">
        <f aca="false">IF(I19="","",IF(I19&gt;=1,"Met",IF(I19&gt;=0.9,"Near","Not met")))</f>
        <v>Met</v>
      </c>
    </row>
    <row r="20" customFormat="false" ht="15" hidden="false" customHeight="false" outlineLevel="0" collapsed="false">
      <c r="A20" s="15" t="s">
        <v>64</v>
      </c>
      <c r="B20" s="15" t="s">
        <v>65</v>
      </c>
      <c r="C20" s="17" t="n">
        <f aca="false">IFERROR(SUMIFS(Measures!$E$5:$E$132,Measures!$A$5:$A$132,$C$5,Measures!$B$5:$B$132,$A20,Measures!$D$5:$D$132,"Q1")/SUMIFS(Measures!$F$5:$F$132,Measures!$A$5:$A$132,$C$5,Measures!$B$5:$B$132,$A20,Measures!$D$5:$D$132,"Q1"),"")</f>
        <v>1</v>
      </c>
      <c r="D20" s="17" t="n">
        <f aca="false">IFERROR(SUMIFS(Measures!$E$5:$E$132,Measures!$A$5:$A$132,$C$5,Measures!$B$5:$B$132,$A20,Measures!$D$5:$D$132,"Q2")/SUMIFS(Measures!$F$5:$F$132,Measures!$A$5:$A$132,$C$5,Measures!$B$5:$B$132,$A20,Measures!$D$5:$D$132,"Q2"),"")</f>
        <v>1</v>
      </c>
      <c r="E20" s="17" t="n">
        <f aca="false">IFERROR(SUMIFS(Measures!$E$5:$E$132,Measures!$A$5:$A$132,$C$5,Measures!$B$5:$B$132,$A20,Measures!$D$5:$D$132,"Q3")/SUMIFS(Measures!$F$5:$F$132,Measures!$A$5:$A$132,$C$5,Measures!$B$5:$B$132,$A20,Measures!$D$5:$D$132,"Q3"),"")</f>
        <v>1</v>
      </c>
      <c r="F20" s="17" t="n">
        <f aca="false">IFERROR(SUMIFS(Measures!$E$5:$E$132,Measures!$A$5:$A$132,$C$5,Measures!$B$5:$B$132,$A20,Measures!$D$5:$D$132,"Q4")/SUMIFS(Measures!$F$5:$F$132,Measures!$A$5:$A$132,$C$5,Measures!$B$5:$B$132,$A20,Measures!$D$5:$D$132,"Q4"),"")</f>
        <v>0.666666666666667</v>
      </c>
      <c r="G20" s="17" t="n">
        <f aca="false">SUMIFS('Annual Results'!$E$5:$E$36,'Annual Results'!$A$5:$A$36,$C$5,'Annual Results'!$B$5:$B$36,$A20)</f>
        <v>0.916666666666667</v>
      </c>
      <c r="H20" s="17" t="n">
        <f aca="false">SUMIFS(Targets!$E$5:$E$36,Targets!$A$5:$A$36,$C$5,Targets!$B$5:$B$36,$A20)</f>
        <v>1</v>
      </c>
      <c r="I20" s="17" t="n">
        <f aca="false">IFERROR(G20/H20,"")</f>
        <v>0.916666666666667</v>
      </c>
      <c r="J20" s="18" t="str">
        <f aca="false">IF(I20="","",IF(I20&gt;=1,"Met",IF(I20&gt;=0.9,"Near","Not met")))</f>
        <v>Near</v>
      </c>
    </row>
    <row r="23" customFormat="false" ht="15" hidden="false" customHeight="false" outlineLevel="0" collapsed="false">
      <c r="A23" s="13" t="s">
        <v>66</v>
      </c>
      <c r="F23" s="13" t="s">
        <v>67</v>
      </c>
    </row>
    <row r="24" customFormat="false" ht="15" hidden="false" customHeight="false" outlineLevel="0" collapsed="false">
      <c r="A24" s="20" t="s">
        <v>68</v>
      </c>
      <c r="C24" s="11" t="n">
        <f aca="false">SUMIFS(Invoices!$D$5:$D$20,Invoices!$A$5:$A$20,$C$5)</f>
        <v>1924500</v>
      </c>
      <c r="F24" s="20" t="s">
        <v>69</v>
      </c>
      <c r="I24" s="21" t="n">
        <f aca="false">COUNTIFS(Deliverables!$A$5:$A$28,$C$5,Deliverables!$E$5:$E$28,"On time")</f>
        <v>3</v>
      </c>
    </row>
    <row r="25" customFormat="false" ht="15" hidden="false" customHeight="false" outlineLevel="0" collapsed="false">
      <c r="A25" s="20" t="s">
        <v>70</v>
      </c>
      <c r="C25" s="11" t="n">
        <f aca="false">SUMIFS(Invoices!$E$5:$E$20,Invoices!$A$5:$A$20,$C$5)</f>
        <v>1906100</v>
      </c>
      <c r="F25" s="20" t="s">
        <v>71</v>
      </c>
      <c r="I25" s="21" t="n">
        <f aca="false">COUNTIFS(Deliverables!$A$5:$A$28,$C$5,Deliverables!$E$5:$E$28,"Late")</f>
        <v>2</v>
      </c>
    </row>
    <row r="26" customFormat="false" ht="15" hidden="false" customHeight="false" outlineLevel="0" collapsed="false">
      <c r="A26" s="20" t="s">
        <v>72</v>
      </c>
      <c r="C26" s="22" t="n">
        <f aca="false">SUMIFS(Invoices!$F$5:$F$20,Invoices!$A$5:$A$20,$C$5)</f>
        <v>18400</v>
      </c>
      <c r="F26" s="20" t="s">
        <v>73</v>
      </c>
      <c r="I26" s="21" t="n">
        <f aca="false">COUNTIFS(Deliverables!$A$5:$A$28,$C$5,Deliverables!$E$5:$E$28,"Overdue")</f>
        <v>1</v>
      </c>
    </row>
    <row r="27" customFormat="false" ht="15" hidden="false" customHeight="false" outlineLevel="0" collapsed="false">
      <c r="A27" s="20" t="s">
        <v>74</v>
      </c>
      <c r="C27" s="23" t="n">
        <f aca="false">IFERROR(C25/C8,"")</f>
        <v>0.962676767676768</v>
      </c>
      <c r="F27" s="20" t="s">
        <v>75</v>
      </c>
      <c r="I27" s="21" t="n">
        <f aca="false">COUNTIFS('Site Visits'!$A$5:$A$12,$C$5,'Site Visits'!$F$5:$F$12,"Finding")</f>
        <v>3</v>
      </c>
    </row>
    <row r="28" customFormat="false" ht="15" hidden="false" customHeight="false" outlineLevel="0" collapsed="false">
      <c r="A28" s="20" t="s">
        <v>76</v>
      </c>
      <c r="C28" s="11" t="n">
        <f aca="false">IFERROR(C25/G16,"")</f>
        <v>6483.33333333333</v>
      </c>
      <c r="F28" s="20" t="s">
        <v>77</v>
      </c>
      <c r="I28" s="21" t="n">
        <f aca="false">COUNTIFS('Corrective Actions'!$B$5:$B$9,$C$5,'Corrective Actions'!$E$5:$E$9,"&lt;&gt;Closed")</f>
        <v>2</v>
      </c>
    </row>
    <row r="29" customFormat="false" ht="15" hidden="false" customHeight="false" outlineLevel="0" collapsed="false">
      <c r="A29" s="20" t="s">
        <v>78</v>
      </c>
      <c r="C29" s="23" t="n">
        <f aca="false">I16</f>
        <v>0.890909090909091</v>
      </c>
      <c r="F29" s="20" t="s">
        <v>79</v>
      </c>
      <c r="I29" s="21" t="n">
        <f aca="false">COUNTIFS('Corrective Actions'!$B$5:$B$9,$C$5,'Corrective Actions'!$H$5:$H$9,"Yes")</f>
        <v>1</v>
      </c>
    </row>
    <row r="31" customFormat="false" ht="15" hidden="false" customHeight="false" outlineLevel="0" collapsed="false">
      <c r="A31" s="20" t="s">
        <v>80</v>
      </c>
      <c r="C31" s="24" t="n">
        <f aca="false">COUNTIF(J13:J20,"Met")+COUNTIF(J13:J20,"Near")</f>
        <v>6</v>
      </c>
    </row>
    <row r="34" customFormat="false" ht="15" hidden="false" customHeight="false" outlineLevel="0" collapsed="false">
      <c r="A34" s="25" t="s">
        <v>81</v>
      </c>
    </row>
    <row r="35" customFormat="false" ht="15" hidden="false" customHeight="false" outlineLevel="0" collapsed="false">
      <c r="A35" s="26" t="s">
        <v>82</v>
      </c>
      <c r="B35" s="26" t="s">
        <v>57</v>
      </c>
      <c r="C35" s="26" t="s">
        <v>83</v>
      </c>
    </row>
    <row r="36" customFormat="false" ht="15" hidden="false" customHeight="false" outlineLevel="0" collapsed="false">
      <c r="A36" s="27" t="s">
        <v>42</v>
      </c>
      <c r="B36" s="28" t="n">
        <f aca="false">C16</f>
        <v>73</v>
      </c>
      <c r="C36" s="27" t="n">
        <f aca="false">$H$16/4</f>
        <v>82.5</v>
      </c>
    </row>
    <row r="37" customFormat="false" ht="15" hidden="false" customHeight="false" outlineLevel="0" collapsed="false">
      <c r="A37" s="27" t="s">
        <v>43</v>
      </c>
      <c r="B37" s="28" t="n">
        <f aca="false">D16</f>
        <v>72</v>
      </c>
      <c r="C37" s="27" t="n">
        <f aca="false">$H$16/4</f>
        <v>82.5</v>
      </c>
    </row>
    <row r="38" customFormat="false" ht="15" hidden="false" customHeight="false" outlineLevel="0" collapsed="false">
      <c r="A38" s="27" t="s">
        <v>44</v>
      </c>
      <c r="B38" s="28" t="n">
        <f aca="false">E16</f>
        <v>71</v>
      </c>
      <c r="C38" s="27" t="n">
        <f aca="false">$H$16/4</f>
        <v>82.5</v>
      </c>
    </row>
    <row r="39" customFormat="false" ht="15" hidden="false" customHeight="false" outlineLevel="0" collapsed="false">
      <c r="A39" s="27" t="s">
        <v>45</v>
      </c>
      <c r="B39" s="28" t="n">
        <f aca="false">F16</f>
        <v>78</v>
      </c>
      <c r="C39" s="27" t="n">
        <f aca="false">$H$16/4</f>
        <v>82.5</v>
      </c>
    </row>
  </sheetData>
  <conditionalFormatting sqref="J13:J20">
    <cfRule type="cellIs" priority="2" operator="equal" aboveAverage="0" equalAverage="0" bottom="0" percent="0" rank="0" text="" dxfId="0">
      <formula>"Met"</formula>
    </cfRule>
    <cfRule type="cellIs" priority="3" operator="equal" aboveAverage="0" equalAverage="0" bottom="0" percent="0" rank="0" text="" dxfId="1">
      <formula>"Near"</formula>
    </cfRule>
    <cfRule type="cellIs" priority="4" operator="equal" aboveAverage="0" equalAverage="0" bottom="0" percent="0" rank="0" text="" dxfId="2">
      <formula>"Not met"</formula>
    </cfRule>
  </conditionalFormatting>
  <conditionalFormatting sqref="C9">
    <cfRule type="cellIs" priority="5" operator="equal" aboveAverage="0" equalAverage="0" bottom="0" percent="0" rank="0" text="" dxfId="0">
      <formula>"Meets expectations"</formula>
    </cfRule>
    <cfRule type="cellIs" priority="6" operator="equal" aboveAverage="0" equalAverage="0" bottom="0" percent="0" rank="0" text="" dxfId="1">
      <formula>"Needs improvement"</formula>
    </cfRule>
    <cfRule type="cellIs" priority="7" operator="equal" aboveAverage="0" equalAverage="0" bottom="0" percent="0" rank="0" text="" dxfId="2">
      <formula>"Corrective action required"</formula>
    </cfRule>
  </conditionalFormatting>
  <dataValidations count="1">
    <dataValidation allowBlank="false" errorStyle="stop" operator="between" showDropDown="false" showErrorMessage="false" showInputMessage="false" sqref="C4" type="list">
      <formula1>Contracts!$B$5:$B$8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9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10" min="9" style="0" width="10"/>
    <col collapsed="false" customWidth="true" hidden="false" outlineLevel="0" max="11" min="11" style="0" width="13"/>
    <col collapsed="false" customWidth="true" hidden="false" outlineLevel="0" max="13" min="12" style="0" width="10"/>
    <col collapsed="false" customWidth="true" hidden="false" outlineLevel="0" max="14" min="14" style="0" width="12"/>
    <col collapsed="false" customWidth="true" hidden="false" outlineLevel="0" max="15" min="15" style="0" width="26"/>
  </cols>
  <sheetData>
    <row r="1" customFormat="false" ht="17.35" hidden="false" customHeight="false" outlineLevel="0" collapsed="false">
      <c r="A1" s="1" t="s">
        <v>84</v>
      </c>
    </row>
    <row r="2" customFormat="false" ht="15" hidden="false" customHeight="false" outlineLevel="0" collapsed="false">
      <c r="A2" s="2" t="s">
        <v>85</v>
      </c>
    </row>
    <row r="4" customFormat="false" ht="15" hidden="false" customHeight="false" outlineLevel="0" collapsed="false">
      <c r="A4" s="9" t="s">
        <v>86</v>
      </c>
      <c r="C4" s="29" t="n">
        <v>46249</v>
      </c>
      <c r="D4" s="27" t="s">
        <v>87</v>
      </c>
    </row>
    <row r="7" customFormat="false" ht="43.5" hidden="false" customHeight="true" outlineLevel="0" collapsed="false">
      <c r="A7" s="14" t="s">
        <v>32</v>
      </c>
      <c r="B7" s="14" t="s">
        <v>34</v>
      </c>
      <c r="C7" s="14" t="s">
        <v>37</v>
      </c>
      <c r="D7" s="14" t="s">
        <v>88</v>
      </c>
      <c r="E7" s="14" t="s">
        <v>89</v>
      </c>
      <c r="F7" s="14" t="s">
        <v>57</v>
      </c>
      <c r="G7" s="14" t="s">
        <v>90</v>
      </c>
      <c r="H7" s="14" t="s">
        <v>91</v>
      </c>
      <c r="I7" s="14" t="s">
        <v>92</v>
      </c>
      <c r="J7" s="14" t="s">
        <v>93</v>
      </c>
      <c r="K7" s="14" t="s">
        <v>94</v>
      </c>
      <c r="L7" s="14" t="s">
        <v>95</v>
      </c>
      <c r="M7" s="14" t="s">
        <v>96</v>
      </c>
      <c r="N7" s="14" t="s">
        <v>72</v>
      </c>
      <c r="O7" s="14" t="s">
        <v>97</v>
      </c>
    </row>
    <row r="8" customFormat="false" ht="15" hidden="false" customHeight="false" outlineLevel="0" collapsed="false">
      <c r="A8" s="15" t="str">
        <f aca="false">INDEX(Contracts!$B$5:$B$8,1)</f>
        <v>Ridgeline Career Partners</v>
      </c>
      <c r="B8" s="15" t="str">
        <f aca="false">INDEX(Contracts!$A$5:$A$8,1)</f>
        <v>LDHS-ET-26-011</v>
      </c>
      <c r="C8" s="30" t="n">
        <f aca="false">INDEX(Contracts!$E$5:$E$8,1)</f>
        <v>2350000</v>
      </c>
      <c r="D8" s="30" t="n">
        <f aca="false">SUMIFS(Invoices!$E$5:$E$20,Invoices!$A$5:$A$20,B8)</f>
        <v>2197300</v>
      </c>
      <c r="E8" s="17" t="n">
        <f aca="false">IFERROR(D8/C8,"")</f>
        <v>0.935021276595745</v>
      </c>
      <c r="F8" s="16" t="n">
        <f aca="false">SUMIFS('Annual Results'!$E$5:$E$36,'Annual Results'!$A$5:$A$36,B8,'Annual Results'!$B$5:$B$36,"M4")</f>
        <v>454</v>
      </c>
      <c r="G8" s="16" t="n">
        <f aca="false">SUMIFS('Annual Results'!$F$5:$F$36,'Annual Results'!$A$5:$A$36,B8,'Annual Results'!$B$5:$B$36,"M4")</f>
        <v>420</v>
      </c>
      <c r="H8" s="17" t="n">
        <f aca="false">IFERROR(F8/G8,"")</f>
        <v>1.08095238095238</v>
      </c>
      <c r="I8" s="31" t="n">
        <f aca="false">COUNTIFS('Annual Results'!$A$5:$A$36,B8,'Annual Results'!$H$5:$H$36,"Met")</f>
        <v>6</v>
      </c>
      <c r="J8" s="31" t="n">
        <f aca="false">COUNTIFS('Annual Results'!$A$5:$A$36,B8,'Annual Results'!$H$5:$H$36,"Near")</f>
        <v>2</v>
      </c>
      <c r="K8" s="31" t="n">
        <f aca="false">COUNTIFS(Deliverables!$A$5:$A$28,B8,Deliverables!$E$5:$E$28,"Late")+COUNTIFS(Deliverables!$A$5:$A$28,B8,Deliverables!$E$5:$E$28,"Overdue")</f>
        <v>0</v>
      </c>
      <c r="L8" s="31" t="n">
        <f aca="false">COUNTIFS('Corrective Actions'!$B$5:$B$9,B8,'Corrective Actions'!$E$5:$E$9,"&lt;&gt;Closed")</f>
        <v>0</v>
      </c>
      <c r="M8" s="31" t="n">
        <f aca="false">COUNTIFS('Corrective Actions'!$B$5:$B$9,B8,'Corrective Actions'!$H$5:$H$9,"Yes")</f>
        <v>0</v>
      </c>
      <c r="N8" s="32" t="n">
        <f aca="false">SUMIFS(Invoices!$F$5:$F$20,Invoices!$A$5:$A$20,B8)</f>
        <v>0</v>
      </c>
      <c r="O8" s="18" t="str">
        <f aca="false">IF(OR(I8+J8&lt;4,M8&gt;0,N8&gt;0.01*D8),"Corrective action required",IF(OR(I8+J8&lt;6,L8&gt;0),"Needs improvement","Meets expectations"))</f>
        <v>Meets expectations</v>
      </c>
    </row>
    <row r="9" customFormat="false" ht="15" hidden="false" customHeight="false" outlineLevel="0" collapsed="false">
      <c r="A9" s="15" t="str">
        <f aca="false">INDEX(Contracts!$B$5:$B$8,2)</f>
        <v>Larch Valley Community Action</v>
      </c>
      <c r="B9" s="15" t="str">
        <f aca="false">INDEX(Contracts!$A$5:$A$8,2)</f>
        <v>LDHS-ET-26-014</v>
      </c>
      <c r="C9" s="30" t="n">
        <f aca="false">INDEX(Contracts!$E$5:$E$8,2)</f>
        <v>640000</v>
      </c>
      <c r="D9" s="30" t="n">
        <f aca="false">SUMIFS(Invoices!$E$5:$E$20,Invoices!$A$5:$A$20,B9)</f>
        <v>599750</v>
      </c>
      <c r="E9" s="17" t="n">
        <f aca="false">IFERROR(D9/C9,"")</f>
        <v>0.937109375</v>
      </c>
      <c r="F9" s="16" t="n">
        <f aca="false">SUMIFS('Annual Results'!$E$5:$E$36,'Annual Results'!$A$5:$A$36,B9,'Annual Results'!$B$5:$B$36,"M4")</f>
        <v>106</v>
      </c>
      <c r="G9" s="16" t="n">
        <f aca="false">SUMIFS('Annual Results'!$F$5:$F$36,'Annual Results'!$A$5:$A$36,B9,'Annual Results'!$B$5:$B$36,"M4")</f>
        <v>150</v>
      </c>
      <c r="H9" s="17" t="n">
        <f aca="false">IFERROR(F9/G9,"")</f>
        <v>0.706666666666667</v>
      </c>
      <c r="I9" s="31" t="n">
        <f aca="false">COUNTIFS('Annual Results'!$A$5:$A$36,B9,'Annual Results'!$H$5:$H$36,"Met")</f>
        <v>0</v>
      </c>
      <c r="J9" s="31" t="n">
        <f aca="false">COUNTIFS('Annual Results'!$A$5:$A$36,B9,'Annual Results'!$H$5:$H$36,"Near")</f>
        <v>5</v>
      </c>
      <c r="K9" s="31" t="n">
        <f aca="false">COUNTIFS(Deliverables!$A$5:$A$28,B9,Deliverables!$E$5:$E$28,"Late")+COUNTIFS(Deliverables!$A$5:$A$28,B9,Deliverables!$E$5:$E$28,"Overdue")</f>
        <v>3</v>
      </c>
      <c r="L9" s="31" t="n">
        <f aca="false">COUNTIFS('Corrective Actions'!$B$5:$B$9,B9,'Corrective Actions'!$E$5:$E$9,"&lt;&gt;Closed")</f>
        <v>1</v>
      </c>
      <c r="M9" s="31" t="n">
        <f aca="false">COUNTIFS('Corrective Actions'!$B$5:$B$9,B9,'Corrective Actions'!$H$5:$H$9,"Yes")</f>
        <v>0</v>
      </c>
      <c r="N9" s="32" t="n">
        <f aca="false">SUMIFS(Invoices!$F$5:$F$20,Invoices!$A$5:$A$20,B9)</f>
        <v>1850</v>
      </c>
      <c r="O9" s="18" t="str">
        <f aca="false">IF(OR(I9+J9&lt;4,M9&gt;0,N9&gt;0.01*D9),"Corrective action required",IF(OR(I9+J9&lt;6,L9&gt;0),"Needs improvement","Meets expectations"))</f>
        <v>Needs improvement</v>
      </c>
    </row>
    <row r="10" customFormat="false" ht="15" hidden="false" customHeight="false" outlineLevel="0" collapsed="false">
      <c r="A10" s="15" t="str">
        <f aca="false">INDEX(Contracts!$B$5:$B$8,3)</f>
        <v>Kestrel Employment Services</v>
      </c>
      <c r="B10" s="15" t="str">
        <f aca="false">INDEX(Contracts!$A$5:$A$8,3)</f>
        <v>LDHS-ET-26-017</v>
      </c>
      <c r="C10" s="30" t="n">
        <f aca="false">INDEX(Contracts!$E$5:$E$8,3)</f>
        <v>1980000</v>
      </c>
      <c r="D10" s="30" t="n">
        <f aca="false">SUMIFS(Invoices!$E$5:$E$20,Invoices!$A$5:$A$20,B10)</f>
        <v>1906100</v>
      </c>
      <c r="E10" s="17" t="n">
        <f aca="false">IFERROR(D10/C10,"")</f>
        <v>0.962676767676768</v>
      </c>
      <c r="F10" s="16" t="n">
        <f aca="false">SUMIFS('Annual Results'!$E$5:$E$36,'Annual Results'!$A$5:$A$36,B10,'Annual Results'!$B$5:$B$36,"M4")</f>
        <v>294</v>
      </c>
      <c r="G10" s="16" t="n">
        <f aca="false">SUMIFS('Annual Results'!$F$5:$F$36,'Annual Results'!$A$5:$A$36,B10,'Annual Results'!$B$5:$B$36,"M4")</f>
        <v>330</v>
      </c>
      <c r="H10" s="17" t="n">
        <f aca="false">IFERROR(F10/G10,"")</f>
        <v>0.890909090909091</v>
      </c>
      <c r="I10" s="31" t="n">
        <f aca="false">COUNTIFS('Annual Results'!$A$5:$A$36,B10,'Annual Results'!$H$5:$H$36,"Met")</f>
        <v>3</v>
      </c>
      <c r="J10" s="31" t="n">
        <f aca="false">COUNTIFS('Annual Results'!$A$5:$A$36,B10,'Annual Results'!$H$5:$H$36,"Near")</f>
        <v>3</v>
      </c>
      <c r="K10" s="31" t="n">
        <f aca="false">COUNTIFS(Deliverables!$A$5:$A$28,B10,Deliverables!$E$5:$E$28,"Late")+COUNTIFS(Deliverables!$A$5:$A$28,B10,Deliverables!$E$5:$E$28,"Overdue")</f>
        <v>3</v>
      </c>
      <c r="L10" s="31" t="n">
        <f aca="false">COUNTIFS('Corrective Actions'!$B$5:$B$9,B10,'Corrective Actions'!$E$5:$E$9,"&lt;&gt;Closed")</f>
        <v>2</v>
      </c>
      <c r="M10" s="31" t="n">
        <f aca="false">COUNTIFS('Corrective Actions'!$B$5:$B$9,B10,'Corrective Actions'!$H$5:$H$9,"Yes")</f>
        <v>1</v>
      </c>
      <c r="N10" s="32" t="n">
        <f aca="false">SUMIFS(Invoices!$F$5:$F$20,Invoices!$A$5:$A$20,B10)</f>
        <v>18400</v>
      </c>
      <c r="O10" s="18" t="str">
        <f aca="false">IF(OR(I10+J10&lt;4,M10&gt;0,N10&gt;0.01*D10),"Corrective action required",IF(OR(I10+J10&lt;6,L10&gt;0),"Needs improvement","Meets expectations"))</f>
        <v>Corrective action required</v>
      </c>
    </row>
    <row r="11" customFormat="false" ht="15" hidden="false" customHeight="false" outlineLevel="0" collapsed="false">
      <c r="A11" s="15" t="str">
        <f aca="false">INDEX(Contracts!$B$5:$B$8,4)</f>
        <v>Fenwick Adult Learning Center</v>
      </c>
      <c r="B11" s="15" t="str">
        <f aca="false">INDEX(Contracts!$A$5:$A$8,4)</f>
        <v>LDHS-ET-26-022</v>
      </c>
      <c r="C11" s="30" t="n">
        <f aca="false">INDEX(Contracts!$E$5:$E$8,4)</f>
        <v>720000</v>
      </c>
      <c r="D11" s="30" t="n">
        <f aca="false">SUMIFS(Invoices!$E$5:$E$20,Invoices!$A$5:$A$20,B11)</f>
        <v>619200</v>
      </c>
      <c r="E11" s="17" t="n">
        <f aca="false">IFERROR(D11/C11,"")</f>
        <v>0.86</v>
      </c>
      <c r="F11" s="16" t="n">
        <f aca="false">SUMIFS('Annual Results'!$E$5:$E$36,'Annual Results'!$A$5:$A$36,B11,'Annual Results'!$B$5:$B$36,"M4")</f>
        <v>108</v>
      </c>
      <c r="G11" s="16" t="n">
        <f aca="false">SUMIFS('Annual Results'!$F$5:$F$36,'Annual Results'!$A$5:$A$36,B11,'Annual Results'!$B$5:$B$36,"M4")</f>
        <v>110</v>
      </c>
      <c r="H11" s="17" t="n">
        <f aca="false">IFERROR(F11/G11,"")</f>
        <v>0.981818181818182</v>
      </c>
      <c r="I11" s="31" t="n">
        <f aca="false">COUNTIFS('Annual Results'!$A$5:$A$36,B11,'Annual Results'!$H$5:$H$36,"Met")</f>
        <v>6</v>
      </c>
      <c r="J11" s="31" t="n">
        <f aca="false">COUNTIFS('Annual Results'!$A$5:$A$36,B11,'Annual Results'!$H$5:$H$36,"Near")</f>
        <v>2</v>
      </c>
      <c r="K11" s="31" t="n">
        <f aca="false">COUNTIFS(Deliverables!$A$5:$A$28,B11,Deliverables!$E$5:$E$28,"Late")+COUNTIFS(Deliverables!$A$5:$A$28,B11,Deliverables!$E$5:$E$28,"Overdue")</f>
        <v>0</v>
      </c>
      <c r="L11" s="31" t="n">
        <f aca="false">COUNTIFS('Corrective Actions'!$B$5:$B$9,B11,'Corrective Actions'!$E$5:$E$9,"&lt;&gt;Closed")</f>
        <v>0</v>
      </c>
      <c r="M11" s="31" t="n">
        <f aca="false">COUNTIFS('Corrective Actions'!$B$5:$B$9,B11,'Corrective Actions'!$H$5:$H$9,"Yes")</f>
        <v>0</v>
      </c>
      <c r="N11" s="32" t="n">
        <f aca="false">SUMIFS(Invoices!$F$5:$F$20,Invoices!$A$5:$A$20,B11)</f>
        <v>0</v>
      </c>
      <c r="O11" s="18" t="str">
        <f aca="false">IF(OR(I11+J11&lt;4,M11&gt;0,N11&gt;0.01*D11),"Corrective action required",IF(OR(I11+J11&lt;6,L11&gt;0),"Needs improvement","Meets expectations"))</f>
        <v>Meets expectations</v>
      </c>
    </row>
    <row r="12" customFormat="false" ht="15" hidden="false" customHeight="false" outlineLevel="0" collapsed="false">
      <c r="A12" s="9" t="s">
        <v>98</v>
      </c>
      <c r="C12" s="33" t="n">
        <f aca="false">SUM(C8:C11)</f>
        <v>5690000</v>
      </c>
      <c r="D12" s="33" t="n">
        <f aca="false">SUM(D8:D11)</f>
        <v>5322350</v>
      </c>
      <c r="E12" s="34" t="n">
        <f aca="false">IFERROR(D12/C12,"")</f>
        <v>0.935386643233743</v>
      </c>
      <c r="F12" s="35" t="n">
        <f aca="false">SUM(F8:F11)</f>
        <v>962</v>
      </c>
      <c r="G12" s="35" t="n">
        <f aca="false">SUM(G8:G11)</f>
        <v>1010</v>
      </c>
      <c r="H12" s="34" t="n">
        <f aca="false">IFERROR(F12/G12,"")</f>
        <v>0.952475247524752</v>
      </c>
      <c r="K12" s="36" t="n">
        <f aca="false">SUM(K8:K11)</f>
        <v>6</v>
      </c>
      <c r="L12" s="36" t="n">
        <f aca="false">SUM(L8:L11)</f>
        <v>3</v>
      </c>
      <c r="M12" s="36" t="n">
        <f aca="false">SUM(M8:M11)</f>
        <v>1</v>
      </c>
      <c r="N12" s="37" t="n">
        <f aca="false">SUM(N8:N11)</f>
        <v>20250</v>
      </c>
    </row>
  </sheetData>
  <conditionalFormatting sqref="O8:O11">
    <cfRule type="cellIs" priority="2" operator="equal" aboveAverage="0" equalAverage="0" bottom="0" percent="0" rank="0" text="" dxfId="0">
      <formula>"Meets expectations"</formula>
    </cfRule>
    <cfRule type="cellIs" priority="3" operator="equal" aboveAverage="0" equalAverage="0" bottom="0" percent="0" rank="0" text="" dxfId="1">
      <formula>"Needs improvement"</formula>
    </cfRule>
    <cfRule type="cellIs" priority="4" operator="equal" aboveAverage="0" equalAverage="0" bottom="0" percent="0" rank="0" text="" dxfId="2">
      <formula>"Corrective action required"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1"/>
    <col collapsed="false" customWidth="true" hidden="false" outlineLevel="0" max="4" min="3" style="0" width="44"/>
    <col collapsed="false" customWidth="true" hidden="false" outlineLevel="0" max="5" min="5" style="0" width="16"/>
    <col collapsed="false" customWidth="true" hidden="false" outlineLevel="0" max="7" min="6" style="0" width="12"/>
    <col collapsed="false" customWidth="true" hidden="false" outlineLevel="0" max="8" min="8" style="0" width="11"/>
  </cols>
  <sheetData>
    <row r="1" customFormat="false" ht="17.35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85</v>
      </c>
    </row>
    <row r="4" customFormat="false" ht="30" hidden="false" customHeight="true" outlineLevel="0" collapsed="false">
      <c r="A4" s="38" t="s">
        <v>34</v>
      </c>
      <c r="B4" s="38" t="s">
        <v>32</v>
      </c>
      <c r="C4" s="38" t="s">
        <v>35</v>
      </c>
      <c r="D4" s="38" t="s">
        <v>36</v>
      </c>
      <c r="E4" s="38" t="s">
        <v>37</v>
      </c>
      <c r="F4" s="38" t="s">
        <v>100</v>
      </c>
      <c r="G4" s="38" t="s">
        <v>101</v>
      </c>
      <c r="H4" s="38" t="s">
        <v>102</v>
      </c>
    </row>
    <row r="5" customFormat="false" ht="15" hidden="false" customHeight="false" outlineLevel="0" collapsed="false">
      <c r="A5" s="39" t="s">
        <v>103</v>
      </c>
      <c r="B5" s="39" t="s">
        <v>104</v>
      </c>
      <c r="C5" s="39" t="s">
        <v>105</v>
      </c>
      <c r="D5" s="39" t="s">
        <v>106</v>
      </c>
      <c r="E5" s="40" t="n">
        <v>2350000</v>
      </c>
      <c r="F5" s="41" t="n">
        <v>45839</v>
      </c>
      <c r="G5" s="41" t="n">
        <v>46203</v>
      </c>
      <c r="H5" s="39" t="s">
        <v>107</v>
      </c>
    </row>
    <row r="6" customFormat="false" ht="15" hidden="false" customHeight="false" outlineLevel="0" collapsed="false">
      <c r="A6" s="39" t="s">
        <v>108</v>
      </c>
      <c r="B6" s="39" t="s">
        <v>109</v>
      </c>
      <c r="C6" s="39" t="s">
        <v>110</v>
      </c>
      <c r="D6" s="39" t="s">
        <v>111</v>
      </c>
      <c r="E6" s="40" t="n">
        <v>640000</v>
      </c>
      <c r="F6" s="41" t="n">
        <v>45839</v>
      </c>
      <c r="G6" s="41" t="n">
        <v>46203</v>
      </c>
      <c r="H6" s="39" t="s">
        <v>112</v>
      </c>
    </row>
    <row r="7" customFormat="false" ht="15" hidden="false" customHeight="false" outlineLevel="0" collapsed="false">
      <c r="A7" s="39" t="s">
        <v>113</v>
      </c>
      <c r="B7" s="39" t="s">
        <v>33</v>
      </c>
      <c r="C7" s="39" t="s">
        <v>114</v>
      </c>
      <c r="D7" s="39" t="s">
        <v>115</v>
      </c>
      <c r="E7" s="40" t="n">
        <v>1980000</v>
      </c>
      <c r="F7" s="41" t="n">
        <v>45839</v>
      </c>
      <c r="G7" s="41" t="n">
        <v>46203</v>
      </c>
      <c r="H7" s="39" t="s">
        <v>116</v>
      </c>
    </row>
    <row r="8" customFormat="false" ht="15" hidden="false" customHeight="false" outlineLevel="0" collapsed="false">
      <c r="A8" s="39" t="s">
        <v>117</v>
      </c>
      <c r="B8" s="39" t="s">
        <v>118</v>
      </c>
      <c r="C8" s="39" t="s">
        <v>119</v>
      </c>
      <c r="D8" s="39" t="s">
        <v>120</v>
      </c>
      <c r="E8" s="40" t="n">
        <v>720000</v>
      </c>
      <c r="F8" s="41" t="n">
        <v>45839</v>
      </c>
      <c r="G8" s="41" t="n">
        <v>46203</v>
      </c>
      <c r="H8" s="39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1"/>
    <col collapsed="false" customWidth="true" hidden="false" outlineLevel="0" max="3" min="3" style="0" width="40"/>
    <col collapsed="false" customWidth="true" hidden="false" outlineLevel="0" max="4" min="4" style="0" width="10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121</v>
      </c>
    </row>
    <row r="2" customFormat="false" ht="15" hidden="false" customHeight="false" outlineLevel="0" collapsed="false">
      <c r="A2" s="2" t="s">
        <v>122</v>
      </c>
    </row>
    <row r="4" customFormat="false" ht="30" hidden="false" customHeight="true" outlineLevel="0" collapsed="false">
      <c r="A4" s="38" t="s">
        <v>34</v>
      </c>
      <c r="B4" s="38" t="s">
        <v>40</v>
      </c>
      <c r="C4" s="38" t="s">
        <v>41</v>
      </c>
      <c r="D4" s="38" t="s">
        <v>123</v>
      </c>
      <c r="E4" s="38" t="s">
        <v>47</v>
      </c>
    </row>
    <row r="5" customFormat="false" ht="15" hidden="false" customHeight="false" outlineLevel="0" collapsed="false">
      <c r="A5" s="42" t="s">
        <v>103</v>
      </c>
      <c r="B5" s="42" t="s">
        <v>50</v>
      </c>
      <c r="C5" s="42" t="s">
        <v>51</v>
      </c>
      <c r="D5" s="42" t="s">
        <v>124</v>
      </c>
      <c r="E5" s="43" t="n">
        <v>900</v>
      </c>
    </row>
    <row r="6" customFormat="false" ht="15" hidden="false" customHeight="false" outlineLevel="0" collapsed="false">
      <c r="A6" s="42" t="s">
        <v>103</v>
      </c>
      <c r="B6" s="42" t="s">
        <v>52</v>
      </c>
      <c r="C6" s="42" t="s">
        <v>53</v>
      </c>
      <c r="D6" s="42" t="s">
        <v>125</v>
      </c>
      <c r="E6" s="44" t="n">
        <v>0.9</v>
      </c>
    </row>
    <row r="7" customFormat="false" ht="15" hidden="false" customHeight="false" outlineLevel="0" collapsed="false">
      <c r="A7" s="42" t="s">
        <v>103</v>
      </c>
      <c r="B7" s="42" t="s">
        <v>54</v>
      </c>
      <c r="C7" s="42" t="s">
        <v>55</v>
      </c>
      <c r="D7" s="42" t="s">
        <v>125</v>
      </c>
      <c r="E7" s="44" t="n">
        <v>0.7</v>
      </c>
    </row>
    <row r="8" customFormat="false" ht="15" hidden="false" customHeight="false" outlineLevel="0" collapsed="false">
      <c r="A8" s="42" t="s">
        <v>103</v>
      </c>
      <c r="B8" s="42" t="s">
        <v>56</v>
      </c>
      <c r="C8" s="42" t="s">
        <v>57</v>
      </c>
      <c r="D8" s="42" t="s">
        <v>124</v>
      </c>
      <c r="E8" s="43" t="n">
        <v>420</v>
      </c>
    </row>
    <row r="9" customFormat="false" ht="15" hidden="false" customHeight="false" outlineLevel="0" collapsed="false">
      <c r="A9" s="42" t="s">
        <v>103</v>
      </c>
      <c r="B9" s="42" t="s">
        <v>58</v>
      </c>
      <c r="C9" s="42" t="s">
        <v>59</v>
      </c>
      <c r="D9" s="42" t="s">
        <v>126</v>
      </c>
      <c r="E9" s="45" t="n">
        <v>14.5</v>
      </c>
    </row>
    <row r="10" customFormat="false" ht="15" hidden="false" customHeight="false" outlineLevel="0" collapsed="false">
      <c r="A10" s="42" t="s">
        <v>103</v>
      </c>
      <c r="B10" s="42" t="s">
        <v>60</v>
      </c>
      <c r="C10" s="42" t="s">
        <v>61</v>
      </c>
      <c r="D10" s="42" t="s">
        <v>125</v>
      </c>
      <c r="E10" s="44" t="n">
        <v>0.75</v>
      </c>
    </row>
    <row r="11" customFormat="false" ht="15" hidden="false" customHeight="false" outlineLevel="0" collapsed="false">
      <c r="A11" s="42" t="s">
        <v>103</v>
      </c>
      <c r="B11" s="42" t="s">
        <v>62</v>
      </c>
      <c r="C11" s="42" t="s">
        <v>63</v>
      </c>
      <c r="D11" s="42" t="s">
        <v>125</v>
      </c>
      <c r="E11" s="44" t="n">
        <v>0.6</v>
      </c>
    </row>
    <row r="12" customFormat="false" ht="15" hidden="false" customHeight="false" outlineLevel="0" collapsed="false">
      <c r="A12" s="42" t="s">
        <v>103</v>
      </c>
      <c r="B12" s="42" t="s">
        <v>64</v>
      </c>
      <c r="C12" s="42" t="s">
        <v>65</v>
      </c>
      <c r="D12" s="42" t="s">
        <v>125</v>
      </c>
      <c r="E12" s="44" t="n">
        <v>1</v>
      </c>
    </row>
    <row r="13" customFormat="false" ht="15" hidden="false" customHeight="false" outlineLevel="0" collapsed="false">
      <c r="A13" s="42" t="s">
        <v>108</v>
      </c>
      <c r="B13" s="42" t="s">
        <v>50</v>
      </c>
      <c r="C13" s="42" t="s">
        <v>51</v>
      </c>
      <c r="D13" s="42" t="s">
        <v>124</v>
      </c>
      <c r="E13" s="43" t="n">
        <v>360</v>
      </c>
    </row>
    <row r="14" customFormat="false" ht="15" hidden="false" customHeight="false" outlineLevel="0" collapsed="false">
      <c r="A14" s="42" t="s">
        <v>108</v>
      </c>
      <c r="B14" s="42" t="s">
        <v>52</v>
      </c>
      <c r="C14" s="42" t="s">
        <v>53</v>
      </c>
      <c r="D14" s="42" t="s">
        <v>125</v>
      </c>
      <c r="E14" s="44" t="n">
        <v>0.9</v>
      </c>
    </row>
    <row r="15" customFormat="false" ht="15" hidden="false" customHeight="false" outlineLevel="0" collapsed="false">
      <c r="A15" s="42" t="s">
        <v>108</v>
      </c>
      <c r="B15" s="42" t="s">
        <v>54</v>
      </c>
      <c r="C15" s="42" t="s">
        <v>55</v>
      </c>
      <c r="D15" s="42" t="s">
        <v>125</v>
      </c>
      <c r="E15" s="44" t="n">
        <v>0.7</v>
      </c>
    </row>
    <row r="16" customFormat="false" ht="15" hidden="false" customHeight="false" outlineLevel="0" collapsed="false">
      <c r="A16" s="42" t="s">
        <v>108</v>
      </c>
      <c r="B16" s="42" t="s">
        <v>56</v>
      </c>
      <c r="C16" s="42" t="s">
        <v>57</v>
      </c>
      <c r="D16" s="42" t="s">
        <v>124</v>
      </c>
      <c r="E16" s="43" t="n">
        <v>150</v>
      </c>
    </row>
    <row r="17" customFormat="false" ht="15" hidden="false" customHeight="false" outlineLevel="0" collapsed="false">
      <c r="A17" s="42" t="s">
        <v>108</v>
      </c>
      <c r="B17" s="42" t="s">
        <v>58</v>
      </c>
      <c r="C17" s="42" t="s">
        <v>59</v>
      </c>
      <c r="D17" s="42" t="s">
        <v>126</v>
      </c>
      <c r="E17" s="45" t="n">
        <v>14.5</v>
      </c>
    </row>
    <row r="18" customFormat="false" ht="15" hidden="false" customHeight="false" outlineLevel="0" collapsed="false">
      <c r="A18" s="42" t="s">
        <v>108</v>
      </c>
      <c r="B18" s="42" t="s">
        <v>60</v>
      </c>
      <c r="C18" s="42" t="s">
        <v>61</v>
      </c>
      <c r="D18" s="42" t="s">
        <v>125</v>
      </c>
      <c r="E18" s="44" t="n">
        <v>0.75</v>
      </c>
    </row>
    <row r="19" customFormat="false" ht="15" hidden="false" customHeight="false" outlineLevel="0" collapsed="false">
      <c r="A19" s="42" t="s">
        <v>108</v>
      </c>
      <c r="B19" s="42" t="s">
        <v>62</v>
      </c>
      <c r="C19" s="42" t="s">
        <v>63</v>
      </c>
      <c r="D19" s="42" t="s">
        <v>125</v>
      </c>
      <c r="E19" s="44" t="n">
        <v>0.6</v>
      </c>
    </row>
    <row r="20" customFormat="false" ht="15" hidden="false" customHeight="false" outlineLevel="0" collapsed="false">
      <c r="A20" s="42" t="s">
        <v>108</v>
      </c>
      <c r="B20" s="42" t="s">
        <v>64</v>
      </c>
      <c r="C20" s="42" t="s">
        <v>65</v>
      </c>
      <c r="D20" s="42" t="s">
        <v>125</v>
      </c>
      <c r="E20" s="44" t="n">
        <v>1</v>
      </c>
    </row>
    <row r="21" customFormat="false" ht="15" hidden="false" customHeight="false" outlineLevel="0" collapsed="false">
      <c r="A21" s="42" t="s">
        <v>113</v>
      </c>
      <c r="B21" s="42" t="s">
        <v>50</v>
      </c>
      <c r="C21" s="42" t="s">
        <v>51</v>
      </c>
      <c r="D21" s="42" t="s">
        <v>124</v>
      </c>
      <c r="E21" s="43" t="n">
        <v>780</v>
      </c>
    </row>
    <row r="22" customFormat="false" ht="15" hidden="false" customHeight="false" outlineLevel="0" collapsed="false">
      <c r="A22" s="42" t="s">
        <v>113</v>
      </c>
      <c r="B22" s="42" t="s">
        <v>52</v>
      </c>
      <c r="C22" s="42" t="s">
        <v>53</v>
      </c>
      <c r="D22" s="42" t="s">
        <v>125</v>
      </c>
      <c r="E22" s="44" t="n">
        <v>0.9</v>
      </c>
    </row>
    <row r="23" customFormat="false" ht="15" hidden="false" customHeight="false" outlineLevel="0" collapsed="false">
      <c r="A23" s="42" t="s">
        <v>113</v>
      </c>
      <c r="B23" s="42" t="s">
        <v>54</v>
      </c>
      <c r="C23" s="42" t="s">
        <v>55</v>
      </c>
      <c r="D23" s="42" t="s">
        <v>125</v>
      </c>
      <c r="E23" s="44" t="n">
        <v>0.7</v>
      </c>
    </row>
    <row r="24" customFormat="false" ht="15" hidden="false" customHeight="false" outlineLevel="0" collapsed="false">
      <c r="A24" s="42" t="s">
        <v>113</v>
      </c>
      <c r="B24" s="42" t="s">
        <v>56</v>
      </c>
      <c r="C24" s="42" t="s">
        <v>57</v>
      </c>
      <c r="D24" s="42" t="s">
        <v>124</v>
      </c>
      <c r="E24" s="43" t="n">
        <v>330</v>
      </c>
    </row>
    <row r="25" customFormat="false" ht="15" hidden="false" customHeight="false" outlineLevel="0" collapsed="false">
      <c r="A25" s="42" t="s">
        <v>113</v>
      </c>
      <c r="B25" s="42" t="s">
        <v>58</v>
      </c>
      <c r="C25" s="42" t="s">
        <v>59</v>
      </c>
      <c r="D25" s="42" t="s">
        <v>126</v>
      </c>
      <c r="E25" s="45" t="n">
        <v>14.5</v>
      </c>
    </row>
    <row r="26" customFormat="false" ht="15" hidden="false" customHeight="false" outlineLevel="0" collapsed="false">
      <c r="A26" s="42" t="s">
        <v>113</v>
      </c>
      <c r="B26" s="42" t="s">
        <v>60</v>
      </c>
      <c r="C26" s="42" t="s">
        <v>61</v>
      </c>
      <c r="D26" s="42" t="s">
        <v>125</v>
      </c>
      <c r="E26" s="44" t="n">
        <v>0.75</v>
      </c>
    </row>
    <row r="27" customFormat="false" ht="15" hidden="false" customHeight="false" outlineLevel="0" collapsed="false">
      <c r="A27" s="42" t="s">
        <v>113</v>
      </c>
      <c r="B27" s="42" t="s">
        <v>62</v>
      </c>
      <c r="C27" s="42" t="s">
        <v>63</v>
      </c>
      <c r="D27" s="42" t="s">
        <v>125</v>
      </c>
      <c r="E27" s="44" t="n">
        <v>0.6</v>
      </c>
    </row>
    <row r="28" customFormat="false" ht="15" hidden="false" customHeight="false" outlineLevel="0" collapsed="false">
      <c r="A28" s="42" t="s">
        <v>113</v>
      </c>
      <c r="B28" s="42" t="s">
        <v>64</v>
      </c>
      <c r="C28" s="42" t="s">
        <v>65</v>
      </c>
      <c r="D28" s="42" t="s">
        <v>125</v>
      </c>
      <c r="E28" s="44" t="n">
        <v>1</v>
      </c>
    </row>
    <row r="29" customFormat="false" ht="15" hidden="false" customHeight="false" outlineLevel="0" collapsed="false">
      <c r="A29" s="42" t="s">
        <v>117</v>
      </c>
      <c r="B29" s="42" t="s">
        <v>50</v>
      </c>
      <c r="C29" s="42" t="s">
        <v>51</v>
      </c>
      <c r="D29" s="42" t="s">
        <v>124</v>
      </c>
      <c r="E29" s="43" t="n">
        <v>300</v>
      </c>
    </row>
    <row r="30" customFormat="false" ht="15" hidden="false" customHeight="false" outlineLevel="0" collapsed="false">
      <c r="A30" s="42" t="s">
        <v>117</v>
      </c>
      <c r="B30" s="42" t="s">
        <v>52</v>
      </c>
      <c r="C30" s="42" t="s">
        <v>53</v>
      </c>
      <c r="D30" s="42" t="s">
        <v>125</v>
      </c>
      <c r="E30" s="44" t="n">
        <v>0.9</v>
      </c>
    </row>
    <row r="31" customFormat="false" ht="15" hidden="false" customHeight="false" outlineLevel="0" collapsed="false">
      <c r="A31" s="42" t="s">
        <v>117</v>
      </c>
      <c r="B31" s="42" t="s">
        <v>54</v>
      </c>
      <c r="C31" s="42" t="s">
        <v>55</v>
      </c>
      <c r="D31" s="42" t="s">
        <v>125</v>
      </c>
      <c r="E31" s="44" t="n">
        <v>0.7</v>
      </c>
    </row>
    <row r="32" customFormat="false" ht="15" hidden="false" customHeight="false" outlineLevel="0" collapsed="false">
      <c r="A32" s="42" t="s">
        <v>117</v>
      </c>
      <c r="B32" s="42" t="s">
        <v>56</v>
      </c>
      <c r="C32" s="42" t="s">
        <v>57</v>
      </c>
      <c r="D32" s="42" t="s">
        <v>124</v>
      </c>
      <c r="E32" s="43" t="n">
        <v>110</v>
      </c>
    </row>
    <row r="33" customFormat="false" ht="15" hidden="false" customHeight="false" outlineLevel="0" collapsed="false">
      <c r="A33" s="42" t="s">
        <v>117</v>
      </c>
      <c r="B33" s="42" t="s">
        <v>58</v>
      </c>
      <c r="C33" s="42" t="s">
        <v>59</v>
      </c>
      <c r="D33" s="42" t="s">
        <v>126</v>
      </c>
      <c r="E33" s="45" t="n">
        <v>14.5</v>
      </c>
    </row>
    <row r="34" customFormat="false" ht="15" hidden="false" customHeight="false" outlineLevel="0" collapsed="false">
      <c r="A34" s="42" t="s">
        <v>117</v>
      </c>
      <c r="B34" s="42" t="s">
        <v>60</v>
      </c>
      <c r="C34" s="42" t="s">
        <v>61</v>
      </c>
      <c r="D34" s="42" t="s">
        <v>125</v>
      </c>
      <c r="E34" s="44" t="n">
        <v>0.75</v>
      </c>
    </row>
    <row r="35" customFormat="false" ht="15" hidden="false" customHeight="false" outlineLevel="0" collapsed="false">
      <c r="A35" s="42" t="s">
        <v>117</v>
      </c>
      <c r="B35" s="42" t="s">
        <v>62</v>
      </c>
      <c r="C35" s="42" t="s">
        <v>63</v>
      </c>
      <c r="D35" s="42" t="s">
        <v>125</v>
      </c>
      <c r="E35" s="44" t="n">
        <v>0.6</v>
      </c>
    </row>
    <row r="36" customFormat="false" ht="15" hidden="false" customHeight="false" outlineLevel="0" collapsed="false">
      <c r="A36" s="42" t="s">
        <v>117</v>
      </c>
      <c r="B36" s="42" t="s">
        <v>64</v>
      </c>
      <c r="C36" s="42" t="s">
        <v>65</v>
      </c>
      <c r="D36" s="42" t="s">
        <v>125</v>
      </c>
      <c r="E36" s="44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1"/>
    <col collapsed="false" customWidth="true" hidden="false" outlineLevel="0" max="3" min="3" style="0" width="38"/>
    <col collapsed="false" customWidth="true" hidden="false" outlineLevel="0" max="4" min="4" style="0" width="9"/>
    <col collapsed="false" customWidth="true" hidden="false" outlineLevel="0" max="6" min="5" style="0" width="12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17.35" hidden="false" customHeight="false" outlineLevel="0" collapsed="false">
      <c r="A1" s="1" t="s">
        <v>127</v>
      </c>
    </row>
    <row r="2" customFormat="false" ht="15" hidden="false" customHeight="false" outlineLevel="0" collapsed="false">
      <c r="A2" s="2" t="s">
        <v>128</v>
      </c>
    </row>
    <row r="4" customFormat="false" ht="30" hidden="false" customHeight="true" outlineLevel="0" collapsed="false">
      <c r="A4" s="38" t="s">
        <v>34</v>
      </c>
      <c r="B4" s="38" t="s">
        <v>40</v>
      </c>
      <c r="C4" s="38" t="s">
        <v>41</v>
      </c>
      <c r="D4" s="38" t="s">
        <v>82</v>
      </c>
      <c r="E4" s="38" t="s">
        <v>129</v>
      </c>
      <c r="F4" s="38" t="s">
        <v>130</v>
      </c>
      <c r="G4" s="38" t="s">
        <v>131</v>
      </c>
      <c r="H4" s="38" t="s">
        <v>83</v>
      </c>
      <c r="I4" s="38" t="s">
        <v>48</v>
      </c>
      <c r="J4" s="38" t="s">
        <v>49</v>
      </c>
    </row>
    <row r="5" customFormat="false" ht="15" hidden="false" customHeight="false" outlineLevel="0" collapsed="false">
      <c r="A5" s="39" t="s">
        <v>103</v>
      </c>
      <c r="B5" s="39" t="s">
        <v>50</v>
      </c>
      <c r="C5" s="42" t="str">
        <f aca="false">INDEX(Lists!$B$2:$B$9,MATCH(B5,Lists!$A$2:$A$9,0))</f>
        <v>Participants enrolled</v>
      </c>
      <c r="D5" s="39" t="s">
        <v>42</v>
      </c>
      <c r="E5" s="43" t="n">
        <v>237</v>
      </c>
      <c r="F5" s="39"/>
      <c r="G5" s="46" t="n">
        <f aca="false">IF(F5="",E5,IFERROR(E5/F5,""))</f>
        <v>237</v>
      </c>
      <c r="H5" s="46" t="n">
        <f aca="false">IF(INDEX(Lists!$C$2:$C$9,MATCH(B5,Lists!$A$2:$A$9,0))="Count",SUMIFS(Targets!$E$5:$E$36,Targets!$A$5:$A$36,A5,Targets!$B$5:$B$36,B5)/4,SUMIFS(Targets!$E$5:$E$36,Targets!$A$5:$A$36,A5,Targets!$B$5:$B$36,B5))</f>
        <v>225</v>
      </c>
      <c r="I5" s="47" t="n">
        <f aca="false">IFERROR(G5/H5,"")</f>
        <v>1.05333333333333</v>
      </c>
      <c r="J5" s="42" t="str">
        <f aca="false">IF(I5="","",IF(I5&gt;=1,"Met",IF(I5&gt;=0.9,"Near","Not met")))</f>
        <v>Met</v>
      </c>
    </row>
    <row r="6" customFormat="false" ht="15" hidden="false" customHeight="false" outlineLevel="0" collapsed="false">
      <c r="A6" s="39" t="s">
        <v>103</v>
      </c>
      <c r="B6" s="39" t="s">
        <v>52</v>
      </c>
      <c r="C6" s="42" t="str">
        <f aca="false">INDEX(Lists!$B$2:$B$9,MATCH(B6,Lists!$A$2:$A$9,0))</f>
        <v>Assessed within 30 days of referral</v>
      </c>
      <c r="D6" s="39" t="s">
        <v>42</v>
      </c>
      <c r="E6" s="43" t="n">
        <v>224</v>
      </c>
      <c r="F6" s="39" t="n">
        <v>237</v>
      </c>
      <c r="G6" s="47" t="n">
        <f aca="false">IF(F6="",E6,IFERROR(E6/F6,""))</f>
        <v>0.945147679324895</v>
      </c>
      <c r="H6" s="47" t="n">
        <f aca="false">IF(INDEX(Lists!$C$2:$C$9,MATCH(B6,Lists!$A$2:$A$9,0))="Count",SUMIFS(Targets!$E$5:$E$36,Targets!$A$5:$A$36,A6,Targets!$B$5:$B$36,B6)/4,SUMIFS(Targets!$E$5:$E$36,Targets!$A$5:$A$36,A6,Targets!$B$5:$B$36,B6))</f>
        <v>0.9</v>
      </c>
      <c r="I6" s="47" t="n">
        <f aca="false">IFERROR(G6/H6,"")</f>
        <v>1.05016408813877</v>
      </c>
      <c r="J6" s="42" t="str">
        <f aca="false">IF(I6="","",IF(I6&gt;=1,"Met",IF(I6&gt;=0.9,"Near","Not met")))</f>
        <v>Met</v>
      </c>
    </row>
    <row r="7" customFormat="false" ht="15" hidden="false" customHeight="false" outlineLevel="0" collapsed="false">
      <c r="A7" s="39" t="s">
        <v>103</v>
      </c>
      <c r="B7" s="39" t="s">
        <v>54</v>
      </c>
      <c r="C7" s="42" t="str">
        <f aca="false">INDEX(Lists!$B$2:$B$9,MATCH(B7,Lists!$A$2:$A$9,0))</f>
        <v>Engaged in a work activity each month</v>
      </c>
      <c r="D7" s="39" t="s">
        <v>42</v>
      </c>
      <c r="E7" s="43" t="n">
        <v>361</v>
      </c>
      <c r="F7" s="39" t="n">
        <v>490</v>
      </c>
      <c r="G7" s="47" t="n">
        <f aca="false">IF(F7="",E7,IFERROR(E7/F7,""))</f>
        <v>0.736734693877551</v>
      </c>
      <c r="H7" s="47" t="n">
        <f aca="false">IF(INDEX(Lists!$C$2:$C$9,MATCH(B7,Lists!$A$2:$A$9,0))="Count",SUMIFS(Targets!$E$5:$E$36,Targets!$A$5:$A$36,A7,Targets!$B$5:$B$36,B7)/4,SUMIFS(Targets!$E$5:$E$36,Targets!$A$5:$A$36,A7,Targets!$B$5:$B$36,B7))</f>
        <v>0.7</v>
      </c>
      <c r="I7" s="47" t="n">
        <f aca="false">IFERROR(G7/H7,"")</f>
        <v>1.05247813411079</v>
      </c>
      <c r="J7" s="42" t="str">
        <f aca="false">IF(I7="","",IF(I7&gt;=1,"Met",IF(I7&gt;=0.9,"Near","Not met")))</f>
        <v>Met</v>
      </c>
    </row>
    <row r="8" customFormat="false" ht="15" hidden="false" customHeight="false" outlineLevel="0" collapsed="false">
      <c r="A8" s="39" t="s">
        <v>103</v>
      </c>
      <c r="B8" s="39" t="s">
        <v>56</v>
      </c>
      <c r="C8" s="42" t="str">
        <f aca="false">INDEX(Lists!$B$2:$B$9,MATCH(B8,Lists!$A$2:$A$9,0))</f>
        <v>Job placements</v>
      </c>
      <c r="D8" s="39" t="s">
        <v>42</v>
      </c>
      <c r="E8" s="43" t="n">
        <v>109</v>
      </c>
      <c r="F8" s="39"/>
      <c r="G8" s="46" t="n">
        <f aca="false">IF(F8="",E8,IFERROR(E8/F8,""))</f>
        <v>109</v>
      </c>
      <c r="H8" s="46" t="n">
        <f aca="false">IF(INDEX(Lists!$C$2:$C$9,MATCH(B8,Lists!$A$2:$A$9,0))="Count",SUMIFS(Targets!$E$5:$E$36,Targets!$A$5:$A$36,A8,Targets!$B$5:$B$36,B8)/4,SUMIFS(Targets!$E$5:$E$36,Targets!$A$5:$A$36,A8,Targets!$B$5:$B$36,B8))</f>
        <v>105</v>
      </c>
      <c r="I8" s="47" t="n">
        <f aca="false">IFERROR(G8/H8,"")</f>
        <v>1.03809523809524</v>
      </c>
      <c r="J8" s="42" t="str">
        <f aca="false">IF(I8="","",IF(I8&gt;=1,"Met",IF(I8&gt;=0.9,"Near","Not met")))</f>
        <v>Met</v>
      </c>
    </row>
    <row r="9" customFormat="false" ht="15" hidden="false" customHeight="false" outlineLevel="0" collapsed="false">
      <c r="A9" s="39" t="s">
        <v>103</v>
      </c>
      <c r="B9" s="39" t="s">
        <v>58</v>
      </c>
      <c r="C9" s="42" t="str">
        <f aca="false">INDEX(Lists!$B$2:$B$9,MATCH(B9,Lists!$A$2:$A$9,0))</f>
        <v>Average starting wage</v>
      </c>
      <c r="D9" s="39" t="s">
        <v>42</v>
      </c>
      <c r="E9" s="48" t="n">
        <v>1699.66</v>
      </c>
      <c r="F9" s="39" t="n">
        <v>109</v>
      </c>
      <c r="G9" s="49" t="n">
        <f aca="false">IF(F9="",E9,IFERROR(E9/F9,""))</f>
        <v>15.5932110091743</v>
      </c>
      <c r="H9" s="49" t="n">
        <f aca="false">IF(INDEX(Lists!$C$2:$C$9,MATCH(B9,Lists!$A$2:$A$9,0))="Count",SUMIFS(Targets!$E$5:$E$36,Targets!$A$5:$A$36,A9,Targets!$B$5:$B$36,B9)/4,SUMIFS(Targets!$E$5:$E$36,Targets!$A$5:$A$36,A9,Targets!$B$5:$B$36,B9))</f>
        <v>14.5</v>
      </c>
      <c r="I9" s="47" t="n">
        <f aca="false">IFERROR(G9/H9,"")</f>
        <v>1.07539386270168</v>
      </c>
      <c r="J9" s="42" t="str">
        <f aca="false">IF(I9="","",IF(I9&gt;=1,"Met",IF(I9&gt;=0.9,"Near","Not met")))</f>
        <v>Met</v>
      </c>
    </row>
    <row r="10" customFormat="false" ht="15" hidden="false" customHeight="false" outlineLevel="0" collapsed="false">
      <c r="A10" s="39" t="s">
        <v>103</v>
      </c>
      <c r="B10" s="39" t="s">
        <v>60</v>
      </c>
      <c r="C10" s="42" t="str">
        <f aca="false">INDEX(Lists!$B$2:$B$9,MATCH(B10,Lists!$A$2:$A$9,0))</f>
        <v>Employed 90 days after placement</v>
      </c>
      <c r="D10" s="39" t="s">
        <v>42</v>
      </c>
      <c r="E10" s="43" t="n">
        <v>62</v>
      </c>
      <c r="F10" s="39" t="n">
        <v>87</v>
      </c>
      <c r="G10" s="47" t="n">
        <f aca="false">IF(F10="",E10,IFERROR(E10/F10,""))</f>
        <v>0.71264367816092</v>
      </c>
      <c r="H10" s="47" t="n">
        <f aca="false">IF(INDEX(Lists!$C$2:$C$9,MATCH(B10,Lists!$A$2:$A$9,0))="Count",SUMIFS(Targets!$E$5:$E$36,Targets!$A$5:$A$36,A10,Targets!$B$5:$B$36,B10)/4,SUMIFS(Targets!$E$5:$E$36,Targets!$A$5:$A$36,A10,Targets!$B$5:$B$36,B10))</f>
        <v>0.75</v>
      </c>
      <c r="I10" s="47" t="n">
        <f aca="false">IFERROR(G10/H10,"")</f>
        <v>0.950191570881226</v>
      </c>
      <c r="J10" s="42" t="str">
        <f aca="false">IF(I10="","",IF(I10&gt;=1,"Met",IF(I10&gt;=0.9,"Near","Not met")))</f>
        <v>Near</v>
      </c>
    </row>
    <row r="11" customFormat="false" ht="15" hidden="false" customHeight="false" outlineLevel="0" collapsed="false">
      <c r="A11" s="39" t="s">
        <v>103</v>
      </c>
      <c r="B11" s="39" t="s">
        <v>62</v>
      </c>
      <c r="C11" s="42" t="str">
        <f aca="false">INDEX(Lists!$B$2:$B$9,MATCH(B11,Lists!$A$2:$A$9,0))</f>
        <v>Credential earned by training completers</v>
      </c>
      <c r="D11" s="39" t="s">
        <v>42</v>
      </c>
      <c r="E11" s="43" t="n">
        <v>31</v>
      </c>
      <c r="F11" s="39" t="n">
        <v>52</v>
      </c>
      <c r="G11" s="47" t="n">
        <f aca="false">IF(F11="",E11,IFERROR(E11/F11,""))</f>
        <v>0.596153846153846</v>
      </c>
      <c r="H11" s="47" t="n">
        <f aca="false">IF(INDEX(Lists!$C$2:$C$9,MATCH(B11,Lists!$A$2:$A$9,0))="Count",SUMIFS(Targets!$E$5:$E$36,Targets!$A$5:$A$36,A11,Targets!$B$5:$B$36,B11)/4,SUMIFS(Targets!$E$5:$E$36,Targets!$A$5:$A$36,A11,Targets!$B$5:$B$36,B11))</f>
        <v>0.6</v>
      </c>
      <c r="I11" s="47" t="n">
        <f aca="false">IFERROR(G11/H11,"")</f>
        <v>0.993589743589744</v>
      </c>
      <c r="J11" s="42" t="str">
        <f aca="false">IF(I11="","",IF(I11&gt;=1,"Met",IF(I11&gt;=0.9,"Near","Not met")))</f>
        <v>Near</v>
      </c>
    </row>
    <row r="12" customFormat="false" ht="15" hidden="false" customHeight="false" outlineLevel="0" collapsed="false">
      <c r="A12" s="39" t="s">
        <v>103</v>
      </c>
      <c r="B12" s="39" t="s">
        <v>64</v>
      </c>
      <c r="C12" s="42" t="str">
        <f aca="false">INDEX(Lists!$B$2:$B$9,MATCH(B12,Lists!$A$2:$A$9,0))</f>
        <v>Monthly reports submitted on time</v>
      </c>
      <c r="D12" s="39" t="s">
        <v>42</v>
      </c>
      <c r="E12" s="43" t="n">
        <v>3</v>
      </c>
      <c r="F12" s="39" t="n">
        <v>3</v>
      </c>
      <c r="G12" s="47" t="n">
        <f aca="false">IF(F12="",E12,IFERROR(E12/F12,""))</f>
        <v>1</v>
      </c>
      <c r="H12" s="47" t="n">
        <f aca="false">IF(INDEX(Lists!$C$2:$C$9,MATCH(B12,Lists!$A$2:$A$9,0))="Count",SUMIFS(Targets!$E$5:$E$36,Targets!$A$5:$A$36,A12,Targets!$B$5:$B$36,B12)/4,SUMIFS(Targets!$E$5:$E$36,Targets!$A$5:$A$36,A12,Targets!$B$5:$B$36,B12))</f>
        <v>1</v>
      </c>
      <c r="I12" s="47" t="n">
        <f aca="false">IFERROR(G12/H12,"")</f>
        <v>1</v>
      </c>
      <c r="J12" s="42" t="str">
        <f aca="false">IF(I12="","",IF(I12&gt;=1,"Met",IF(I12&gt;=0.9,"Near","Not met")))</f>
        <v>Met</v>
      </c>
    </row>
    <row r="13" customFormat="false" ht="15" hidden="false" customHeight="false" outlineLevel="0" collapsed="false">
      <c r="A13" s="39" t="s">
        <v>103</v>
      </c>
      <c r="B13" s="39" t="s">
        <v>50</v>
      </c>
      <c r="C13" s="42" t="str">
        <f aca="false">INDEX(Lists!$B$2:$B$9,MATCH(B13,Lists!$A$2:$A$9,0))</f>
        <v>Participants enrolled</v>
      </c>
      <c r="D13" s="39" t="s">
        <v>43</v>
      </c>
      <c r="E13" s="43" t="n">
        <v>207</v>
      </c>
      <c r="F13" s="39"/>
      <c r="G13" s="46" t="n">
        <f aca="false">IF(F13="",E13,IFERROR(E13/F13,""))</f>
        <v>207</v>
      </c>
      <c r="H13" s="46" t="n">
        <f aca="false">IF(INDEX(Lists!$C$2:$C$9,MATCH(B13,Lists!$A$2:$A$9,0))="Count",SUMIFS(Targets!$E$5:$E$36,Targets!$A$5:$A$36,A13,Targets!$B$5:$B$36,B13)/4,SUMIFS(Targets!$E$5:$E$36,Targets!$A$5:$A$36,A13,Targets!$B$5:$B$36,B13))</f>
        <v>225</v>
      </c>
      <c r="I13" s="47" t="n">
        <f aca="false">IFERROR(G13/H13,"")</f>
        <v>0.92</v>
      </c>
      <c r="J13" s="42" t="str">
        <f aca="false">IF(I13="","",IF(I13&gt;=1,"Met",IF(I13&gt;=0.9,"Near","Not met")))</f>
        <v>Near</v>
      </c>
    </row>
    <row r="14" customFormat="false" ht="15" hidden="false" customHeight="false" outlineLevel="0" collapsed="false">
      <c r="A14" s="39" t="s">
        <v>103</v>
      </c>
      <c r="B14" s="39" t="s">
        <v>52</v>
      </c>
      <c r="C14" s="42" t="str">
        <f aca="false">INDEX(Lists!$B$2:$B$9,MATCH(B14,Lists!$A$2:$A$9,0))</f>
        <v>Assessed within 30 days of referral</v>
      </c>
      <c r="D14" s="39" t="s">
        <v>43</v>
      </c>
      <c r="E14" s="43" t="n">
        <v>195</v>
      </c>
      <c r="F14" s="39" t="n">
        <v>207</v>
      </c>
      <c r="G14" s="47" t="n">
        <f aca="false">IF(F14="",E14,IFERROR(E14/F14,""))</f>
        <v>0.942028985507246</v>
      </c>
      <c r="H14" s="47" t="n">
        <f aca="false">IF(INDEX(Lists!$C$2:$C$9,MATCH(B14,Lists!$A$2:$A$9,0))="Count",SUMIFS(Targets!$E$5:$E$36,Targets!$A$5:$A$36,A14,Targets!$B$5:$B$36,B14)/4,SUMIFS(Targets!$E$5:$E$36,Targets!$A$5:$A$36,A14,Targets!$B$5:$B$36,B14))</f>
        <v>0.9</v>
      </c>
      <c r="I14" s="47" t="n">
        <f aca="false">IFERROR(G14/H14,"")</f>
        <v>1.04669887278583</v>
      </c>
      <c r="J14" s="42" t="str">
        <f aca="false">IF(I14="","",IF(I14&gt;=1,"Met",IF(I14&gt;=0.9,"Near","Not met")))</f>
        <v>Met</v>
      </c>
    </row>
    <row r="15" customFormat="false" ht="15" hidden="false" customHeight="false" outlineLevel="0" collapsed="false">
      <c r="A15" s="39" t="s">
        <v>103</v>
      </c>
      <c r="B15" s="39" t="s">
        <v>54</v>
      </c>
      <c r="C15" s="42" t="str">
        <f aca="false">INDEX(Lists!$B$2:$B$9,MATCH(B15,Lists!$A$2:$A$9,0))</f>
        <v>Engaged in a work activity each month</v>
      </c>
      <c r="D15" s="39" t="s">
        <v>43</v>
      </c>
      <c r="E15" s="43" t="n">
        <v>309</v>
      </c>
      <c r="F15" s="39" t="n">
        <v>433</v>
      </c>
      <c r="G15" s="47" t="n">
        <f aca="false">IF(F15="",E15,IFERROR(E15/F15,""))</f>
        <v>0.713625866050808</v>
      </c>
      <c r="H15" s="47" t="n">
        <f aca="false">IF(INDEX(Lists!$C$2:$C$9,MATCH(B15,Lists!$A$2:$A$9,0))="Count",SUMIFS(Targets!$E$5:$E$36,Targets!$A$5:$A$36,A15,Targets!$B$5:$B$36,B15)/4,SUMIFS(Targets!$E$5:$E$36,Targets!$A$5:$A$36,A15,Targets!$B$5:$B$36,B15))</f>
        <v>0.7</v>
      </c>
      <c r="I15" s="47" t="n">
        <f aca="false">IFERROR(G15/H15,"")</f>
        <v>1.01946552292973</v>
      </c>
      <c r="J15" s="42" t="str">
        <f aca="false">IF(I15="","",IF(I15&gt;=1,"Met",IF(I15&gt;=0.9,"Near","Not met")))</f>
        <v>Met</v>
      </c>
    </row>
    <row r="16" customFormat="false" ht="15" hidden="false" customHeight="false" outlineLevel="0" collapsed="false">
      <c r="A16" s="39" t="s">
        <v>103</v>
      </c>
      <c r="B16" s="39" t="s">
        <v>56</v>
      </c>
      <c r="C16" s="42" t="str">
        <f aca="false">INDEX(Lists!$B$2:$B$9,MATCH(B16,Lists!$A$2:$A$9,0))</f>
        <v>Job placements</v>
      </c>
      <c r="D16" s="39" t="s">
        <v>43</v>
      </c>
      <c r="E16" s="43" t="n">
        <v>115</v>
      </c>
      <c r="F16" s="39"/>
      <c r="G16" s="46" t="n">
        <f aca="false">IF(F16="",E16,IFERROR(E16/F16,""))</f>
        <v>115</v>
      </c>
      <c r="H16" s="46" t="n">
        <f aca="false">IF(INDEX(Lists!$C$2:$C$9,MATCH(B16,Lists!$A$2:$A$9,0))="Count",SUMIFS(Targets!$E$5:$E$36,Targets!$A$5:$A$36,A16,Targets!$B$5:$B$36,B16)/4,SUMIFS(Targets!$E$5:$E$36,Targets!$A$5:$A$36,A16,Targets!$B$5:$B$36,B16))</f>
        <v>105</v>
      </c>
      <c r="I16" s="47" t="n">
        <f aca="false">IFERROR(G16/H16,"")</f>
        <v>1.0952380952381</v>
      </c>
      <c r="J16" s="42" t="str">
        <f aca="false">IF(I16="","",IF(I16&gt;=1,"Met",IF(I16&gt;=0.9,"Near","Not met")))</f>
        <v>Met</v>
      </c>
    </row>
    <row r="17" customFormat="false" ht="15" hidden="false" customHeight="false" outlineLevel="0" collapsed="false">
      <c r="A17" s="39" t="s">
        <v>103</v>
      </c>
      <c r="B17" s="39" t="s">
        <v>58</v>
      </c>
      <c r="C17" s="42" t="str">
        <f aca="false">INDEX(Lists!$B$2:$B$9,MATCH(B17,Lists!$A$2:$A$9,0))</f>
        <v>Average starting wage</v>
      </c>
      <c r="D17" s="39" t="s">
        <v>43</v>
      </c>
      <c r="E17" s="48" t="n">
        <v>1800.91</v>
      </c>
      <c r="F17" s="39" t="n">
        <v>115</v>
      </c>
      <c r="G17" s="49" t="n">
        <f aca="false">IF(F17="",E17,IFERROR(E17/F17,""))</f>
        <v>15.6600869565217</v>
      </c>
      <c r="H17" s="49" t="n">
        <f aca="false">IF(INDEX(Lists!$C$2:$C$9,MATCH(B17,Lists!$A$2:$A$9,0))="Count",SUMIFS(Targets!$E$5:$E$36,Targets!$A$5:$A$36,A17,Targets!$B$5:$B$36,B17)/4,SUMIFS(Targets!$E$5:$E$36,Targets!$A$5:$A$36,A17,Targets!$B$5:$B$36,B17))</f>
        <v>14.5</v>
      </c>
      <c r="I17" s="47" t="n">
        <f aca="false">IFERROR(G17/H17,"")</f>
        <v>1.0800059970015</v>
      </c>
      <c r="J17" s="42" t="str">
        <f aca="false">IF(I17="","",IF(I17&gt;=1,"Met",IF(I17&gt;=0.9,"Near","Not met")))</f>
        <v>Met</v>
      </c>
    </row>
    <row r="18" customFormat="false" ht="15" hidden="false" customHeight="false" outlineLevel="0" collapsed="false">
      <c r="A18" s="39" t="s">
        <v>103</v>
      </c>
      <c r="B18" s="39" t="s">
        <v>60</v>
      </c>
      <c r="C18" s="42" t="str">
        <f aca="false">INDEX(Lists!$B$2:$B$9,MATCH(B18,Lists!$A$2:$A$9,0))</f>
        <v>Employed 90 days after placement</v>
      </c>
      <c r="D18" s="39" t="s">
        <v>43</v>
      </c>
      <c r="E18" s="43" t="n">
        <v>79</v>
      </c>
      <c r="F18" s="39" t="n">
        <v>103</v>
      </c>
      <c r="G18" s="47" t="n">
        <f aca="false">IF(F18="",E18,IFERROR(E18/F18,""))</f>
        <v>0.766990291262136</v>
      </c>
      <c r="H18" s="47" t="n">
        <f aca="false">IF(INDEX(Lists!$C$2:$C$9,MATCH(B18,Lists!$A$2:$A$9,0))="Count",SUMIFS(Targets!$E$5:$E$36,Targets!$A$5:$A$36,A18,Targets!$B$5:$B$36,B18)/4,SUMIFS(Targets!$E$5:$E$36,Targets!$A$5:$A$36,A18,Targets!$B$5:$B$36,B18))</f>
        <v>0.75</v>
      </c>
      <c r="I18" s="47" t="n">
        <f aca="false">IFERROR(G18/H18,"")</f>
        <v>1.02265372168285</v>
      </c>
      <c r="J18" s="42" t="str">
        <f aca="false">IF(I18="","",IF(I18&gt;=1,"Met",IF(I18&gt;=0.9,"Near","Not met")))</f>
        <v>Met</v>
      </c>
    </row>
    <row r="19" customFormat="false" ht="15" hidden="false" customHeight="false" outlineLevel="0" collapsed="false">
      <c r="A19" s="39" t="s">
        <v>103</v>
      </c>
      <c r="B19" s="39" t="s">
        <v>62</v>
      </c>
      <c r="C19" s="42" t="str">
        <f aca="false">INDEX(Lists!$B$2:$B$9,MATCH(B19,Lists!$A$2:$A$9,0))</f>
        <v>Credential earned by training completers</v>
      </c>
      <c r="D19" s="39" t="s">
        <v>43</v>
      </c>
      <c r="E19" s="43" t="n">
        <v>27</v>
      </c>
      <c r="F19" s="39" t="n">
        <v>45</v>
      </c>
      <c r="G19" s="47" t="n">
        <f aca="false">IF(F19="",E19,IFERROR(E19/F19,""))</f>
        <v>0.6</v>
      </c>
      <c r="H19" s="47" t="n">
        <f aca="false">IF(INDEX(Lists!$C$2:$C$9,MATCH(B19,Lists!$A$2:$A$9,0))="Count",SUMIFS(Targets!$E$5:$E$36,Targets!$A$5:$A$36,A19,Targets!$B$5:$B$36,B19)/4,SUMIFS(Targets!$E$5:$E$36,Targets!$A$5:$A$36,A19,Targets!$B$5:$B$36,B19))</f>
        <v>0.6</v>
      </c>
      <c r="I19" s="47" t="n">
        <f aca="false">IFERROR(G19/H19,"")</f>
        <v>1</v>
      </c>
      <c r="J19" s="42" t="str">
        <f aca="false">IF(I19="","",IF(I19&gt;=1,"Met",IF(I19&gt;=0.9,"Near","Not met")))</f>
        <v>Met</v>
      </c>
    </row>
    <row r="20" customFormat="false" ht="15" hidden="false" customHeight="false" outlineLevel="0" collapsed="false">
      <c r="A20" s="39" t="s">
        <v>103</v>
      </c>
      <c r="B20" s="39" t="s">
        <v>64</v>
      </c>
      <c r="C20" s="42" t="str">
        <f aca="false">INDEX(Lists!$B$2:$B$9,MATCH(B20,Lists!$A$2:$A$9,0))</f>
        <v>Monthly reports submitted on time</v>
      </c>
      <c r="D20" s="39" t="s">
        <v>43</v>
      </c>
      <c r="E20" s="43" t="n">
        <v>3</v>
      </c>
      <c r="F20" s="39" t="n">
        <v>3</v>
      </c>
      <c r="G20" s="47" t="n">
        <f aca="false">IF(F20="",E20,IFERROR(E20/F20,""))</f>
        <v>1</v>
      </c>
      <c r="H20" s="47" t="n">
        <f aca="false">IF(INDEX(Lists!$C$2:$C$9,MATCH(B20,Lists!$A$2:$A$9,0))="Count",SUMIFS(Targets!$E$5:$E$36,Targets!$A$5:$A$36,A20,Targets!$B$5:$B$36,B20)/4,SUMIFS(Targets!$E$5:$E$36,Targets!$A$5:$A$36,A20,Targets!$B$5:$B$36,B20))</f>
        <v>1</v>
      </c>
      <c r="I20" s="47" t="n">
        <f aca="false">IFERROR(G20/H20,"")</f>
        <v>1</v>
      </c>
      <c r="J20" s="42" t="str">
        <f aca="false">IF(I20="","",IF(I20&gt;=1,"Met",IF(I20&gt;=0.9,"Near","Not met")))</f>
        <v>Met</v>
      </c>
    </row>
    <row r="21" customFormat="false" ht="15" hidden="false" customHeight="false" outlineLevel="0" collapsed="false">
      <c r="A21" s="39" t="s">
        <v>103</v>
      </c>
      <c r="B21" s="39" t="s">
        <v>50</v>
      </c>
      <c r="C21" s="42" t="str">
        <f aca="false">INDEX(Lists!$B$2:$B$9,MATCH(B21,Lists!$A$2:$A$9,0))</f>
        <v>Participants enrolled</v>
      </c>
      <c r="D21" s="39" t="s">
        <v>44</v>
      </c>
      <c r="E21" s="43" t="n">
        <v>240</v>
      </c>
      <c r="F21" s="39"/>
      <c r="G21" s="46" t="n">
        <f aca="false">IF(F21="",E21,IFERROR(E21/F21,""))</f>
        <v>240</v>
      </c>
      <c r="H21" s="46" t="n">
        <f aca="false">IF(INDEX(Lists!$C$2:$C$9,MATCH(B21,Lists!$A$2:$A$9,0))="Count",SUMIFS(Targets!$E$5:$E$36,Targets!$A$5:$A$36,A21,Targets!$B$5:$B$36,B21)/4,SUMIFS(Targets!$E$5:$E$36,Targets!$A$5:$A$36,A21,Targets!$B$5:$B$36,B21))</f>
        <v>225</v>
      </c>
      <c r="I21" s="47" t="n">
        <f aca="false">IFERROR(G21/H21,"")</f>
        <v>1.06666666666667</v>
      </c>
      <c r="J21" s="42" t="str">
        <f aca="false">IF(I21="","",IF(I21&gt;=1,"Met",IF(I21&gt;=0.9,"Near","Not met")))</f>
        <v>Met</v>
      </c>
    </row>
    <row r="22" customFormat="false" ht="15" hidden="false" customHeight="false" outlineLevel="0" collapsed="false">
      <c r="A22" s="39" t="s">
        <v>103</v>
      </c>
      <c r="B22" s="39" t="s">
        <v>52</v>
      </c>
      <c r="C22" s="42" t="str">
        <f aca="false">INDEX(Lists!$B$2:$B$9,MATCH(B22,Lists!$A$2:$A$9,0))</f>
        <v>Assessed within 30 days of referral</v>
      </c>
      <c r="D22" s="39" t="s">
        <v>44</v>
      </c>
      <c r="E22" s="43" t="n">
        <v>229</v>
      </c>
      <c r="F22" s="39" t="n">
        <v>240</v>
      </c>
      <c r="G22" s="47" t="n">
        <f aca="false">IF(F22="",E22,IFERROR(E22/F22,""))</f>
        <v>0.954166666666667</v>
      </c>
      <c r="H22" s="47" t="n">
        <f aca="false">IF(INDEX(Lists!$C$2:$C$9,MATCH(B22,Lists!$A$2:$A$9,0))="Count",SUMIFS(Targets!$E$5:$E$36,Targets!$A$5:$A$36,A22,Targets!$B$5:$B$36,B22)/4,SUMIFS(Targets!$E$5:$E$36,Targets!$A$5:$A$36,A22,Targets!$B$5:$B$36,B22))</f>
        <v>0.9</v>
      </c>
      <c r="I22" s="47" t="n">
        <f aca="false">IFERROR(G22/H22,"")</f>
        <v>1.06018518518519</v>
      </c>
      <c r="J22" s="42" t="str">
        <f aca="false">IF(I22="","",IF(I22&gt;=1,"Met",IF(I22&gt;=0.9,"Near","Not met")))</f>
        <v>Met</v>
      </c>
    </row>
    <row r="23" customFormat="false" ht="15" hidden="false" customHeight="false" outlineLevel="0" collapsed="false">
      <c r="A23" s="39" t="s">
        <v>103</v>
      </c>
      <c r="B23" s="39" t="s">
        <v>54</v>
      </c>
      <c r="C23" s="42" t="str">
        <f aca="false">INDEX(Lists!$B$2:$B$9,MATCH(B23,Lists!$A$2:$A$9,0))</f>
        <v>Engaged in a work activity each month</v>
      </c>
      <c r="D23" s="39" t="s">
        <v>44</v>
      </c>
      <c r="E23" s="43" t="n">
        <v>368</v>
      </c>
      <c r="F23" s="39" t="n">
        <v>514</v>
      </c>
      <c r="G23" s="47" t="n">
        <f aca="false">IF(F23="",E23,IFERROR(E23/F23,""))</f>
        <v>0.715953307392996</v>
      </c>
      <c r="H23" s="47" t="n">
        <f aca="false">IF(INDEX(Lists!$C$2:$C$9,MATCH(B23,Lists!$A$2:$A$9,0))="Count",SUMIFS(Targets!$E$5:$E$36,Targets!$A$5:$A$36,A23,Targets!$B$5:$B$36,B23)/4,SUMIFS(Targets!$E$5:$E$36,Targets!$A$5:$A$36,A23,Targets!$B$5:$B$36,B23))</f>
        <v>0.7</v>
      </c>
      <c r="I23" s="47" t="n">
        <f aca="false">IFERROR(G23/H23,"")</f>
        <v>1.02279043913285</v>
      </c>
      <c r="J23" s="42" t="str">
        <f aca="false">IF(I23="","",IF(I23&gt;=1,"Met",IF(I23&gt;=0.9,"Near","Not met")))</f>
        <v>Met</v>
      </c>
    </row>
    <row r="24" customFormat="false" ht="15" hidden="false" customHeight="false" outlineLevel="0" collapsed="false">
      <c r="A24" s="39" t="s">
        <v>103</v>
      </c>
      <c r="B24" s="39" t="s">
        <v>56</v>
      </c>
      <c r="C24" s="42" t="str">
        <f aca="false">INDEX(Lists!$B$2:$B$9,MATCH(B24,Lists!$A$2:$A$9,0))</f>
        <v>Job placements</v>
      </c>
      <c r="D24" s="39" t="s">
        <v>44</v>
      </c>
      <c r="E24" s="43" t="n">
        <v>108</v>
      </c>
      <c r="F24" s="39"/>
      <c r="G24" s="46" t="n">
        <f aca="false">IF(F24="",E24,IFERROR(E24/F24,""))</f>
        <v>108</v>
      </c>
      <c r="H24" s="46" t="n">
        <f aca="false">IF(INDEX(Lists!$C$2:$C$9,MATCH(B24,Lists!$A$2:$A$9,0))="Count",SUMIFS(Targets!$E$5:$E$36,Targets!$A$5:$A$36,A24,Targets!$B$5:$B$36,B24)/4,SUMIFS(Targets!$E$5:$E$36,Targets!$A$5:$A$36,A24,Targets!$B$5:$B$36,B24))</f>
        <v>105</v>
      </c>
      <c r="I24" s="47" t="n">
        <f aca="false">IFERROR(G24/H24,"")</f>
        <v>1.02857142857143</v>
      </c>
      <c r="J24" s="42" t="str">
        <f aca="false">IF(I24="","",IF(I24&gt;=1,"Met",IF(I24&gt;=0.9,"Near","Not met")))</f>
        <v>Met</v>
      </c>
    </row>
    <row r="25" customFormat="false" ht="15" hidden="false" customHeight="false" outlineLevel="0" collapsed="false">
      <c r="A25" s="39" t="s">
        <v>103</v>
      </c>
      <c r="B25" s="39" t="s">
        <v>58</v>
      </c>
      <c r="C25" s="42" t="str">
        <f aca="false">INDEX(Lists!$B$2:$B$9,MATCH(B25,Lists!$A$2:$A$9,0))</f>
        <v>Average starting wage</v>
      </c>
      <c r="D25" s="39" t="s">
        <v>44</v>
      </c>
      <c r="E25" s="48" t="n">
        <v>1639.04</v>
      </c>
      <c r="F25" s="39" t="n">
        <v>108</v>
      </c>
      <c r="G25" s="49" t="n">
        <f aca="false">IF(F25="",E25,IFERROR(E25/F25,""))</f>
        <v>15.1762962962963</v>
      </c>
      <c r="H25" s="49" t="n">
        <f aca="false">IF(INDEX(Lists!$C$2:$C$9,MATCH(B25,Lists!$A$2:$A$9,0))="Count",SUMIFS(Targets!$E$5:$E$36,Targets!$A$5:$A$36,A25,Targets!$B$5:$B$36,B25)/4,SUMIFS(Targets!$E$5:$E$36,Targets!$A$5:$A$36,A25,Targets!$B$5:$B$36,B25))</f>
        <v>14.5</v>
      </c>
      <c r="I25" s="47" t="n">
        <f aca="false">IFERROR(G25/H25,"")</f>
        <v>1.0466411238825</v>
      </c>
      <c r="J25" s="42" t="str">
        <f aca="false">IF(I25="","",IF(I25&gt;=1,"Met",IF(I25&gt;=0.9,"Near","Not met")))</f>
        <v>Met</v>
      </c>
    </row>
    <row r="26" customFormat="false" ht="15" hidden="false" customHeight="false" outlineLevel="0" collapsed="false">
      <c r="A26" s="39" t="s">
        <v>103</v>
      </c>
      <c r="B26" s="39" t="s">
        <v>60</v>
      </c>
      <c r="C26" s="42" t="str">
        <f aca="false">INDEX(Lists!$B$2:$B$9,MATCH(B26,Lists!$A$2:$A$9,0))</f>
        <v>Employed 90 days after placement</v>
      </c>
      <c r="D26" s="39" t="s">
        <v>44</v>
      </c>
      <c r="E26" s="43" t="n">
        <v>77</v>
      </c>
      <c r="F26" s="39" t="n">
        <v>109</v>
      </c>
      <c r="G26" s="47" t="n">
        <f aca="false">IF(F26="",E26,IFERROR(E26/F26,""))</f>
        <v>0.706422018348624</v>
      </c>
      <c r="H26" s="47" t="n">
        <f aca="false">IF(INDEX(Lists!$C$2:$C$9,MATCH(B26,Lists!$A$2:$A$9,0))="Count",SUMIFS(Targets!$E$5:$E$36,Targets!$A$5:$A$36,A26,Targets!$B$5:$B$36,B26)/4,SUMIFS(Targets!$E$5:$E$36,Targets!$A$5:$A$36,A26,Targets!$B$5:$B$36,B26))</f>
        <v>0.75</v>
      </c>
      <c r="I26" s="47" t="n">
        <f aca="false">IFERROR(G26/H26,"")</f>
        <v>0.941896024464832</v>
      </c>
      <c r="J26" s="42" t="str">
        <f aca="false">IF(I26="","",IF(I26&gt;=1,"Met",IF(I26&gt;=0.9,"Near","Not met")))</f>
        <v>Near</v>
      </c>
    </row>
    <row r="27" customFormat="false" ht="15" hidden="false" customHeight="false" outlineLevel="0" collapsed="false">
      <c r="A27" s="39" t="s">
        <v>103</v>
      </c>
      <c r="B27" s="39" t="s">
        <v>62</v>
      </c>
      <c r="C27" s="42" t="str">
        <f aca="false">INDEX(Lists!$B$2:$B$9,MATCH(B27,Lists!$A$2:$A$9,0))</f>
        <v>Credential earned by training completers</v>
      </c>
      <c r="D27" s="39" t="s">
        <v>44</v>
      </c>
      <c r="E27" s="43" t="n">
        <v>30</v>
      </c>
      <c r="F27" s="39" t="n">
        <v>52</v>
      </c>
      <c r="G27" s="47" t="n">
        <f aca="false">IF(F27="",E27,IFERROR(E27/F27,""))</f>
        <v>0.576923076923077</v>
      </c>
      <c r="H27" s="47" t="n">
        <f aca="false">IF(INDEX(Lists!$C$2:$C$9,MATCH(B27,Lists!$A$2:$A$9,0))="Count",SUMIFS(Targets!$E$5:$E$36,Targets!$A$5:$A$36,A27,Targets!$B$5:$B$36,B27)/4,SUMIFS(Targets!$E$5:$E$36,Targets!$A$5:$A$36,A27,Targets!$B$5:$B$36,B27))</f>
        <v>0.6</v>
      </c>
      <c r="I27" s="47" t="n">
        <f aca="false">IFERROR(G27/H27,"")</f>
        <v>0.961538461538462</v>
      </c>
      <c r="J27" s="42" t="str">
        <f aca="false">IF(I27="","",IF(I27&gt;=1,"Met",IF(I27&gt;=0.9,"Near","Not met")))</f>
        <v>Near</v>
      </c>
    </row>
    <row r="28" customFormat="false" ht="15" hidden="false" customHeight="false" outlineLevel="0" collapsed="false">
      <c r="A28" s="39" t="s">
        <v>103</v>
      </c>
      <c r="B28" s="39" t="s">
        <v>64</v>
      </c>
      <c r="C28" s="42" t="str">
        <f aca="false">INDEX(Lists!$B$2:$B$9,MATCH(B28,Lists!$A$2:$A$9,0))</f>
        <v>Monthly reports submitted on time</v>
      </c>
      <c r="D28" s="39" t="s">
        <v>44</v>
      </c>
      <c r="E28" s="43" t="n">
        <v>3</v>
      </c>
      <c r="F28" s="39" t="n">
        <v>3</v>
      </c>
      <c r="G28" s="47" t="n">
        <f aca="false">IF(F28="",E28,IFERROR(E28/F28,""))</f>
        <v>1</v>
      </c>
      <c r="H28" s="47" t="n">
        <f aca="false">IF(INDEX(Lists!$C$2:$C$9,MATCH(B28,Lists!$A$2:$A$9,0))="Count",SUMIFS(Targets!$E$5:$E$36,Targets!$A$5:$A$36,A28,Targets!$B$5:$B$36,B28)/4,SUMIFS(Targets!$E$5:$E$36,Targets!$A$5:$A$36,A28,Targets!$B$5:$B$36,B28))</f>
        <v>1</v>
      </c>
      <c r="I28" s="47" t="n">
        <f aca="false">IFERROR(G28/H28,"")</f>
        <v>1</v>
      </c>
      <c r="J28" s="42" t="str">
        <f aca="false">IF(I28="","",IF(I28&gt;=1,"Met",IF(I28&gt;=0.9,"Near","Not met")))</f>
        <v>Met</v>
      </c>
    </row>
    <row r="29" customFormat="false" ht="15" hidden="false" customHeight="false" outlineLevel="0" collapsed="false">
      <c r="A29" s="39" t="s">
        <v>103</v>
      </c>
      <c r="B29" s="39" t="s">
        <v>50</v>
      </c>
      <c r="C29" s="42" t="str">
        <f aca="false">INDEX(Lists!$B$2:$B$9,MATCH(B29,Lists!$A$2:$A$9,0))</f>
        <v>Participants enrolled</v>
      </c>
      <c r="D29" s="39" t="s">
        <v>45</v>
      </c>
      <c r="E29" s="43" t="n">
        <v>252</v>
      </c>
      <c r="F29" s="39"/>
      <c r="G29" s="46" t="n">
        <f aca="false">IF(F29="",E29,IFERROR(E29/F29,""))</f>
        <v>252</v>
      </c>
      <c r="H29" s="46" t="n">
        <f aca="false">IF(INDEX(Lists!$C$2:$C$9,MATCH(B29,Lists!$A$2:$A$9,0))="Count",SUMIFS(Targets!$E$5:$E$36,Targets!$A$5:$A$36,A29,Targets!$B$5:$B$36,B29)/4,SUMIFS(Targets!$E$5:$E$36,Targets!$A$5:$A$36,A29,Targets!$B$5:$B$36,B29))</f>
        <v>225</v>
      </c>
      <c r="I29" s="47" t="n">
        <f aca="false">IFERROR(G29/H29,"")</f>
        <v>1.12</v>
      </c>
      <c r="J29" s="42" t="str">
        <f aca="false">IF(I29="","",IF(I29&gt;=1,"Met",IF(I29&gt;=0.9,"Near","Not met")))</f>
        <v>Met</v>
      </c>
    </row>
    <row r="30" customFormat="false" ht="15" hidden="false" customHeight="false" outlineLevel="0" collapsed="false">
      <c r="A30" s="39" t="s">
        <v>103</v>
      </c>
      <c r="B30" s="39" t="s">
        <v>52</v>
      </c>
      <c r="C30" s="42" t="str">
        <f aca="false">INDEX(Lists!$B$2:$B$9,MATCH(B30,Lists!$A$2:$A$9,0))</f>
        <v>Assessed within 30 days of referral</v>
      </c>
      <c r="D30" s="39" t="s">
        <v>45</v>
      </c>
      <c r="E30" s="43" t="n">
        <v>234</v>
      </c>
      <c r="F30" s="39" t="n">
        <v>252</v>
      </c>
      <c r="G30" s="47" t="n">
        <f aca="false">IF(F30="",E30,IFERROR(E30/F30,""))</f>
        <v>0.928571428571429</v>
      </c>
      <c r="H30" s="47" t="n">
        <f aca="false">IF(INDEX(Lists!$C$2:$C$9,MATCH(B30,Lists!$A$2:$A$9,0))="Count",SUMIFS(Targets!$E$5:$E$36,Targets!$A$5:$A$36,A30,Targets!$B$5:$B$36,B30)/4,SUMIFS(Targets!$E$5:$E$36,Targets!$A$5:$A$36,A30,Targets!$B$5:$B$36,B30))</f>
        <v>0.9</v>
      </c>
      <c r="I30" s="47" t="n">
        <f aca="false">IFERROR(G30/H30,"")</f>
        <v>1.03174603174603</v>
      </c>
      <c r="J30" s="42" t="str">
        <f aca="false">IF(I30="","",IF(I30&gt;=1,"Met",IF(I30&gt;=0.9,"Near","Not met")))</f>
        <v>Met</v>
      </c>
    </row>
    <row r="31" customFormat="false" ht="15" hidden="false" customHeight="false" outlineLevel="0" collapsed="false">
      <c r="A31" s="39" t="s">
        <v>103</v>
      </c>
      <c r="B31" s="39" t="s">
        <v>54</v>
      </c>
      <c r="C31" s="42" t="str">
        <f aca="false">INDEX(Lists!$B$2:$B$9,MATCH(B31,Lists!$A$2:$A$9,0))</f>
        <v>Engaged in a work activity each month</v>
      </c>
      <c r="D31" s="39" t="s">
        <v>45</v>
      </c>
      <c r="E31" s="43" t="n">
        <v>347</v>
      </c>
      <c r="F31" s="39" t="n">
        <v>500</v>
      </c>
      <c r="G31" s="47" t="n">
        <f aca="false">IF(F31="",E31,IFERROR(E31/F31,""))</f>
        <v>0.694</v>
      </c>
      <c r="H31" s="47" t="n">
        <f aca="false">IF(INDEX(Lists!$C$2:$C$9,MATCH(B31,Lists!$A$2:$A$9,0))="Count",SUMIFS(Targets!$E$5:$E$36,Targets!$A$5:$A$36,A31,Targets!$B$5:$B$36,B31)/4,SUMIFS(Targets!$E$5:$E$36,Targets!$A$5:$A$36,A31,Targets!$B$5:$B$36,B31))</f>
        <v>0.7</v>
      </c>
      <c r="I31" s="47" t="n">
        <f aca="false">IFERROR(G31/H31,"")</f>
        <v>0.991428571428571</v>
      </c>
      <c r="J31" s="42" t="str">
        <f aca="false">IF(I31="","",IF(I31&gt;=1,"Met",IF(I31&gt;=0.9,"Near","Not met")))</f>
        <v>Near</v>
      </c>
    </row>
    <row r="32" customFormat="false" ht="15" hidden="false" customHeight="false" outlineLevel="0" collapsed="false">
      <c r="A32" s="39" t="s">
        <v>103</v>
      </c>
      <c r="B32" s="39" t="s">
        <v>56</v>
      </c>
      <c r="C32" s="42" t="str">
        <f aca="false">INDEX(Lists!$B$2:$B$9,MATCH(B32,Lists!$A$2:$A$9,0))</f>
        <v>Job placements</v>
      </c>
      <c r="D32" s="39" t="s">
        <v>45</v>
      </c>
      <c r="E32" s="43" t="n">
        <v>122</v>
      </c>
      <c r="F32" s="39"/>
      <c r="G32" s="46" t="n">
        <f aca="false">IF(F32="",E32,IFERROR(E32/F32,""))</f>
        <v>122</v>
      </c>
      <c r="H32" s="46" t="n">
        <f aca="false">IF(INDEX(Lists!$C$2:$C$9,MATCH(B32,Lists!$A$2:$A$9,0))="Count",SUMIFS(Targets!$E$5:$E$36,Targets!$A$5:$A$36,A32,Targets!$B$5:$B$36,B32)/4,SUMIFS(Targets!$E$5:$E$36,Targets!$A$5:$A$36,A32,Targets!$B$5:$B$36,B32))</f>
        <v>105</v>
      </c>
      <c r="I32" s="47" t="n">
        <f aca="false">IFERROR(G32/H32,"")</f>
        <v>1.16190476190476</v>
      </c>
      <c r="J32" s="42" t="str">
        <f aca="false">IF(I32="","",IF(I32&gt;=1,"Met",IF(I32&gt;=0.9,"Near","Not met")))</f>
        <v>Met</v>
      </c>
    </row>
    <row r="33" customFormat="false" ht="15" hidden="false" customHeight="false" outlineLevel="0" collapsed="false">
      <c r="A33" s="39" t="s">
        <v>103</v>
      </c>
      <c r="B33" s="39" t="s">
        <v>58</v>
      </c>
      <c r="C33" s="42" t="str">
        <f aca="false">INDEX(Lists!$B$2:$B$9,MATCH(B33,Lists!$A$2:$A$9,0))</f>
        <v>Average starting wage</v>
      </c>
      <c r="D33" s="39" t="s">
        <v>45</v>
      </c>
      <c r="E33" s="48" t="n">
        <v>1795.94</v>
      </c>
      <c r="F33" s="39" t="n">
        <v>122</v>
      </c>
      <c r="G33" s="49" t="n">
        <f aca="false">IF(F33="",E33,IFERROR(E33/F33,""))</f>
        <v>14.7208196721311</v>
      </c>
      <c r="H33" s="49" t="n">
        <f aca="false">IF(INDEX(Lists!$C$2:$C$9,MATCH(B33,Lists!$A$2:$A$9,0))="Count",SUMIFS(Targets!$E$5:$E$36,Targets!$A$5:$A$36,A33,Targets!$B$5:$B$36,B33)/4,SUMIFS(Targets!$E$5:$E$36,Targets!$A$5:$A$36,A33,Targets!$B$5:$B$36,B33))</f>
        <v>14.5</v>
      </c>
      <c r="I33" s="47" t="n">
        <f aca="false">IFERROR(G33/H33,"")</f>
        <v>1.0152289429056</v>
      </c>
      <c r="J33" s="42" t="str">
        <f aca="false">IF(I33="","",IF(I33&gt;=1,"Met",IF(I33&gt;=0.9,"Near","Not met")))</f>
        <v>Met</v>
      </c>
    </row>
    <row r="34" customFormat="false" ht="15" hidden="false" customHeight="false" outlineLevel="0" collapsed="false">
      <c r="A34" s="39" t="s">
        <v>103</v>
      </c>
      <c r="B34" s="39" t="s">
        <v>60</v>
      </c>
      <c r="C34" s="42" t="str">
        <f aca="false">INDEX(Lists!$B$2:$B$9,MATCH(B34,Lists!$A$2:$A$9,0))</f>
        <v>Employed 90 days after placement</v>
      </c>
      <c r="D34" s="39" t="s">
        <v>45</v>
      </c>
      <c r="E34" s="43" t="n">
        <v>73</v>
      </c>
      <c r="F34" s="39" t="n">
        <v>102</v>
      </c>
      <c r="G34" s="47" t="n">
        <f aca="false">IF(F34="",E34,IFERROR(E34/F34,""))</f>
        <v>0.715686274509804</v>
      </c>
      <c r="H34" s="47" t="n">
        <f aca="false">IF(INDEX(Lists!$C$2:$C$9,MATCH(B34,Lists!$A$2:$A$9,0))="Count",SUMIFS(Targets!$E$5:$E$36,Targets!$A$5:$A$36,A34,Targets!$B$5:$B$36,B34)/4,SUMIFS(Targets!$E$5:$E$36,Targets!$A$5:$A$36,A34,Targets!$B$5:$B$36,B34))</f>
        <v>0.75</v>
      </c>
      <c r="I34" s="47" t="n">
        <f aca="false">IFERROR(G34/H34,"")</f>
        <v>0.954248366013072</v>
      </c>
      <c r="J34" s="42" t="str">
        <f aca="false">IF(I34="","",IF(I34&gt;=1,"Met",IF(I34&gt;=0.9,"Near","Not met")))</f>
        <v>Near</v>
      </c>
    </row>
    <row r="35" customFormat="false" ht="15" hidden="false" customHeight="false" outlineLevel="0" collapsed="false">
      <c r="A35" s="39" t="s">
        <v>103</v>
      </c>
      <c r="B35" s="39" t="s">
        <v>62</v>
      </c>
      <c r="C35" s="42" t="str">
        <f aca="false">INDEX(Lists!$B$2:$B$9,MATCH(B35,Lists!$A$2:$A$9,0))</f>
        <v>Credential earned by training completers</v>
      </c>
      <c r="D35" s="39" t="s">
        <v>45</v>
      </c>
      <c r="E35" s="43" t="n">
        <v>33</v>
      </c>
      <c r="F35" s="39" t="n">
        <v>55</v>
      </c>
      <c r="G35" s="47" t="n">
        <f aca="false">IF(F35="",E35,IFERROR(E35/F35,""))</f>
        <v>0.6</v>
      </c>
      <c r="H35" s="47" t="n">
        <f aca="false">IF(INDEX(Lists!$C$2:$C$9,MATCH(B35,Lists!$A$2:$A$9,0))="Count",SUMIFS(Targets!$E$5:$E$36,Targets!$A$5:$A$36,A35,Targets!$B$5:$B$36,B35)/4,SUMIFS(Targets!$E$5:$E$36,Targets!$A$5:$A$36,A35,Targets!$B$5:$B$36,B35))</f>
        <v>0.6</v>
      </c>
      <c r="I35" s="47" t="n">
        <f aca="false">IFERROR(G35/H35,"")</f>
        <v>1</v>
      </c>
      <c r="J35" s="42" t="str">
        <f aca="false">IF(I35="","",IF(I35&gt;=1,"Met",IF(I35&gt;=0.9,"Near","Not met")))</f>
        <v>Met</v>
      </c>
    </row>
    <row r="36" customFormat="false" ht="15" hidden="false" customHeight="false" outlineLevel="0" collapsed="false">
      <c r="A36" s="39" t="s">
        <v>103</v>
      </c>
      <c r="B36" s="39" t="s">
        <v>64</v>
      </c>
      <c r="C36" s="42" t="str">
        <f aca="false">INDEX(Lists!$B$2:$B$9,MATCH(B36,Lists!$A$2:$A$9,0))</f>
        <v>Monthly reports submitted on time</v>
      </c>
      <c r="D36" s="39" t="s">
        <v>45</v>
      </c>
      <c r="E36" s="43" t="n">
        <v>3</v>
      </c>
      <c r="F36" s="39" t="n">
        <v>3</v>
      </c>
      <c r="G36" s="47" t="n">
        <f aca="false">IF(F36="",E36,IFERROR(E36/F36,""))</f>
        <v>1</v>
      </c>
      <c r="H36" s="47" t="n">
        <f aca="false">IF(INDEX(Lists!$C$2:$C$9,MATCH(B36,Lists!$A$2:$A$9,0))="Count",SUMIFS(Targets!$E$5:$E$36,Targets!$A$5:$A$36,A36,Targets!$B$5:$B$36,B36)/4,SUMIFS(Targets!$E$5:$E$36,Targets!$A$5:$A$36,A36,Targets!$B$5:$B$36,B36))</f>
        <v>1</v>
      </c>
      <c r="I36" s="47" t="n">
        <f aca="false">IFERROR(G36/H36,"")</f>
        <v>1</v>
      </c>
      <c r="J36" s="42" t="str">
        <f aca="false">IF(I36="","",IF(I36&gt;=1,"Met",IF(I36&gt;=0.9,"Near","Not met")))</f>
        <v>Met</v>
      </c>
    </row>
    <row r="37" customFormat="false" ht="15" hidden="false" customHeight="false" outlineLevel="0" collapsed="false">
      <c r="A37" s="39" t="s">
        <v>108</v>
      </c>
      <c r="B37" s="39" t="s">
        <v>50</v>
      </c>
      <c r="C37" s="42" t="str">
        <f aca="false">INDEX(Lists!$B$2:$B$9,MATCH(B37,Lists!$A$2:$A$9,0))</f>
        <v>Participants enrolled</v>
      </c>
      <c r="D37" s="39" t="s">
        <v>42</v>
      </c>
      <c r="E37" s="43" t="n">
        <v>80</v>
      </c>
      <c r="F37" s="39"/>
      <c r="G37" s="46" t="n">
        <f aca="false">IF(F37="",E37,IFERROR(E37/F37,""))</f>
        <v>80</v>
      </c>
      <c r="H37" s="46" t="n">
        <f aca="false">IF(INDEX(Lists!$C$2:$C$9,MATCH(B37,Lists!$A$2:$A$9,0))="Count",SUMIFS(Targets!$E$5:$E$36,Targets!$A$5:$A$36,A37,Targets!$B$5:$B$36,B37)/4,SUMIFS(Targets!$E$5:$E$36,Targets!$A$5:$A$36,A37,Targets!$B$5:$B$36,B37))</f>
        <v>90</v>
      </c>
      <c r="I37" s="47" t="n">
        <f aca="false">IFERROR(G37/H37,"")</f>
        <v>0.888888888888889</v>
      </c>
      <c r="J37" s="42" t="str">
        <f aca="false">IF(I37="","",IF(I37&gt;=1,"Met",IF(I37&gt;=0.9,"Near","Not met")))</f>
        <v>Not met</v>
      </c>
    </row>
    <row r="38" customFormat="false" ht="15" hidden="false" customHeight="false" outlineLevel="0" collapsed="false">
      <c r="A38" s="39" t="s">
        <v>108</v>
      </c>
      <c r="B38" s="39" t="s">
        <v>52</v>
      </c>
      <c r="C38" s="42" t="str">
        <f aca="false">INDEX(Lists!$B$2:$B$9,MATCH(B38,Lists!$A$2:$A$9,0))</f>
        <v>Assessed within 30 days of referral</v>
      </c>
      <c r="D38" s="39" t="s">
        <v>42</v>
      </c>
      <c r="E38" s="43" t="n">
        <v>68</v>
      </c>
      <c r="F38" s="39" t="n">
        <v>80</v>
      </c>
      <c r="G38" s="47" t="n">
        <f aca="false">IF(F38="",E38,IFERROR(E38/F38,""))</f>
        <v>0.85</v>
      </c>
      <c r="H38" s="47" t="n">
        <f aca="false">IF(INDEX(Lists!$C$2:$C$9,MATCH(B38,Lists!$A$2:$A$9,0))="Count",SUMIFS(Targets!$E$5:$E$36,Targets!$A$5:$A$36,A38,Targets!$B$5:$B$36,B38)/4,SUMIFS(Targets!$E$5:$E$36,Targets!$A$5:$A$36,A38,Targets!$B$5:$B$36,B38))</f>
        <v>0.9</v>
      </c>
      <c r="I38" s="47" t="n">
        <f aca="false">IFERROR(G38/H38,"")</f>
        <v>0.944444444444444</v>
      </c>
      <c r="J38" s="42" t="str">
        <f aca="false">IF(I38="","",IF(I38&gt;=1,"Met",IF(I38&gt;=0.9,"Near","Not met")))</f>
        <v>Near</v>
      </c>
    </row>
    <row r="39" customFormat="false" ht="15" hidden="false" customHeight="false" outlineLevel="0" collapsed="false">
      <c r="A39" s="39" t="s">
        <v>108</v>
      </c>
      <c r="B39" s="39" t="s">
        <v>54</v>
      </c>
      <c r="C39" s="42" t="str">
        <f aca="false">INDEX(Lists!$B$2:$B$9,MATCH(B39,Lists!$A$2:$A$9,0))</f>
        <v>Engaged in a work activity each month</v>
      </c>
      <c r="D39" s="39" t="s">
        <v>42</v>
      </c>
      <c r="E39" s="43" t="n">
        <v>122</v>
      </c>
      <c r="F39" s="39" t="n">
        <v>193</v>
      </c>
      <c r="G39" s="47" t="n">
        <f aca="false">IF(F39="",E39,IFERROR(E39/F39,""))</f>
        <v>0.632124352331606</v>
      </c>
      <c r="H39" s="47" t="n">
        <f aca="false">IF(INDEX(Lists!$C$2:$C$9,MATCH(B39,Lists!$A$2:$A$9,0))="Count",SUMIFS(Targets!$E$5:$E$36,Targets!$A$5:$A$36,A39,Targets!$B$5:$B$36,B39)/4,SUMIFS(Targets!$E$5:$E$36,Targets!$A$5:$A$36,A39,Targets!$B$5:$B$36,B39))</f>
        <v>0.7</v>
      </c>
      <c r="I39" s="47" t="n">
        <f aca="false">IFERROR(G39/H39,"")</f>
        <v>0.903034789045152</v>
      </c>
      <c r="J39" s="42" t="str">
        <f aca="false">IF(I39="","",IF(I39&gt;=1,"Met",IF(I39&gt;=0.9,"Near","Not met")))</f>
        <v>Near</v>
      </c>
    </row>
    <row r="40" customFormat="false" ht="15" hidden="false" customHeight="false" outlineLevel="0" collapsed="false">
      <c r="A40" s="39" t="s">
        <v>108</v>
      </c>
      <c r="B40" s="39" t="s">
        <v>56</v>
      </c>
      <c r="C40" s="42" t="str">
        <f aca="false">INDEX(Lists!$B$2:$B$9,MATCH(B40,Lists!$A$2:$A$9,0))</f>
        <v>Job placements</v>
      </c>
      <c r="D40" s="39" t="s">
        <v>42</v>
      </c>
      <c r="E40" s="43" t="n">
        <v>27</v>
      </c>
      <c r="F40" s="39"/>
      <c r="G40" s="46" t="n">
        <f aca="false">IF(F40="",E40,IFERROR(E40/F40,""))</f>
        <v>27</v>
      </c>
      <c r="H40" s="46" t="n">
        <f aca="false">IF(INDEX(Lists!$C$2:$C$9,MATCH(B40,Lists!$A$2:$A$9,0))="Count",SUMIFS(Targets!$E$5:$E$36,Targets!$A$5:$A$36,A40,Targets!$B$5:$B$36,B40)/4,SUMIFS(Targets!$E$5:$E$36,Targets!$A$5:$A$36,A40,Targets!$B$5:$B$36,B40))</f>
        <v>37.5</v>
      </c>
      <c r="I40" s="47" t="n">
        <f aca="false">IFERROR(G40/H40,"")</f>
        <v>0.72</v>
      </c>
      <c r="J40" s="42" t="str">
        <f aca="false">IF(I40="","",IF(I40&gt;=1,"Met",IF(I40&gt;=0.9,"Near","Not met")))</f>
        <v>Not met</v>
      </c>
    </row>
    <row r="41" customFormat="false" ht="15" hidden="false" customHeight="false" outlineLevel="0" collapsed="false">
      <c r="A41" s="39" t="s">
        <v>108</v>
      </c>
      <c r="B41" s="39" t="s">
        <v>58</v>
      </c>
      <c r="C41" s="42" t="str">
        <f aca="false">INDEX(Lists!$B$2:$B$9,MATCH(B41,Lists!$A$2:$A$9,0))</f>
        <v>Average starting wage</v>
      </c>
      <c r="D41" s="39" t="s">
        <v>42</v>
      </c>
      <c r="E41" s="48" t="n">
        <v>353.31</v>
      </c>
      <c r="F41" s="39" t="n">
        <v>27</v>
      </c>
      <c r="G41" s="49" t="n">
        <f aca="false">IF(F41="",E41,IFERROR(E41/F41,""))</f>
        <v>13.0855555555556</v>
      </c>
      <c r="H41" s="49" t="n">
        <f aca="false">IF(INDEX(Lists!$C$2:$C$9,MATCH(B41,Lists!$A$2:$A$9,0))="Count",SUMIFS(Targets!$E$5:$E$36,Targets!$A$5:$A$36,A41,Targets!$B$5:$B$36,B41)/4,SUMIFS(Targets!$E$5:$E$36,Targets!$A$5:$A$36,A41,Targets!$B$5:$B$36,B41))</f>
        <v>14.5</v>
      </c>
      <c r="I41" s="47" t="n">
        <f aca="false">IFERROR(G41/H41,"")</f>
        <v>0.902452107279694</v>
      </c>
      <c r="J41" s="42" t="str">
        <f aca="false">IF(I41="","",IF(I41&gt;=1,"Met",IF(I41&gt;=0.9,"Near","Not met")))</f>
        <v>Near</v>
      </c>
    </row>
    <row r="42" customFormat="false" ht="15" hidden="false" customHeight="false" outlineLevel="0" collapsed="false">
      <c r="A42" s="39" t="s">
        <v>108</v>
      </c>
      <c r="B42" s="39" t="s">
        <v>60</v>
      </c>
      <c r="C42" s="42" t="str">
        <f aca="false">INDEX(Lists!$B$2:$B$9,MATCH(B42,Lists!$A$2:$A$9,0))</f>
        <v>Employed 90 days after placement</v>
      </c>
      <c r="D42" s="39" t="s">
        <v>42</v>
      </c>
      <c r="E42" s="43" t="n">
        <v>14</v>
      </c>
      <c r="F42" s="39" t="n">
        <v>21</v>
      </c>
      <c r="G42" s="47" t="n">
        <f aca="false">IF(F42="",E42,IFERROR(E42/F42,""))</f>
        <v>0.666666666666667</v>
      </c>
      <c r="H42" s="47" t="n">
        <f aca="false">IF(INDEX(Lists!$C$2:$C$9,MATCH(B42,Lists!$A$2:$A$9,0))="Count",SUMIFS(Targets!$E$5:$E$36,Targets!$A$5:$A$36,A42,Targets!$B$5:$B$36,B42)/4,SUMIFS(Targets!$E$5:$E$36,Targets!$A$5:$A$36,A42,Targets!$B$5:$B$36,B42))</f>
        <v>0.75</v>
      </c>
      <c r="I42" s="47" t="n">
        <f aca="false">IFERROR(G42/H42,"")</f>
        <v>0.888888888888889</v>
      </c>
      <c r="J42" s="42" t="str">
        <f aca="false">IF(I42="","",IF(I42&gt;=1,"Met",IF(I42&gt;=0.9,"Near","Not met")))</f>
        <v>Not met</v>
      </c>
    </row>
    <row r="43" customFormat="false" ht="15" hidden="false" customHeight="false" outlineLevel="0" collapsed="false">
      <c r="A43" s="39" t="s">
        <v>108</v>
      </c>
      <c r="B43" s="39" t="s">
        <v>62</v>
      </c>
      <c r="C43" s="42" t="str">
        <f aca="false">INDEX(Lists!$B$2:$B$9,MATCH(B43,Lists!$A$2:$A$9,0))</f>
        <v>Credential earned by training completers</v>
      </c>
      <c r="D43" s="39" t="s">
        <v>42</v>
      </c>
      <c r="E43" s="43" t="n">
        <v>9</v>
      </c>
      <c r="F43" s="39" t="n">
        <v>17</v>
      </c>
      <c r="G43" s="47" t="n">
        <f aca="false">IF(F43="",E43,IFERROR(E43/F43,""))</f>
        <v>0.529411764705882</v>
      </c>
      <c r="H43" s="47" t="n">
        <f aca="false">IF(INDEX(Lists!$C$2:$C$9,MATCH(B43,Lists!$A$2:$A$9,0))="Count",SUMIFS(Targets!$E$5:$E$36,Targets!$A$5:$A$36,A43,Targets!$B$5:$B$36,B43)/4,SUMIFS(Targets!$E$5:$E$36,Targets!$A$5:$A$36,A43,Targets!$B$5:$B$36,B43))</f>
        <v>0.6</v>
      </c>
      <c r="I43" s="47" t="n">
        <f aca="false">IFERROR(G43/H43,"")</f>
        <v>0.882352941176471</v>
      </c>
      <c r="J43" s="42" t="str">
        <f aca="false">IF(I43="","",IF(I43&gt;=1,"Met",IF(I43&gt;=0.9,"Near","Not met")))</f>
        <v>Not met</v>
      </c>
    </row>
    <row r="44" customFormat="false" ht="15" hidden="false" customHeight="false" outlineLevel="0" collapsed="false">
      <c r="A44" s="39" t="s">
        <v>108</v>
      </c>
      <c r="B44" s="39" t="s">
        <v>64</v>
      </c>
      <c r="C44" s="42" t="str">
        <f aca="false">INDEX(Lists!$B$2:$B$9,MATCH(B44,Lists!$A$2:$A$9,0))</f>
        <v>Monthly reports submitted on time</v>
      </c>
      <c r="D44" s="39" t="s">
        <v>42</v>
      </c>
      <c r="E44" s="43" t="n">
        <v>2</v>
      </c>
      <c r="F44" s="39" t="n">
        <v>3</v>
      </c>
      <c r="G44" s="47" t="n">
        <f aca="false">IF(F44="",E44,IFERROR(E44/F44,""))</f>
        <v>0.666666666666667</v>
      </c>
      <c r="H44" s="47" t="n">
        <f aca="false">IF(INDEX(Lists!$C$2:$C$9,MATCH(B44,Lists!$A$2:$A$9,0))="Count",SUMIFS(Targets!$E$5:$E$36,Targets!$A$5:$A$36,A44,Targets!$B$5:$B$36,B44)/4,SUMIFS(Targets!$E$5:$E$36,Targets!$A$5:$A$36,A44,Targets!$B$5:$B$36,B44))</f>
        <v>1</v>
      </c>
      <c r="I44" s="47" t="n">
        <f aca="false">IFERROR(G44/H44,"")</f>
        <v>0.666666666666667</v>
      </c>
      <c r="J44" s="42" t="str">
        <f aca="false">IF(I44="","",IF(I44&gt;=1,"Met",IF(I44&gt;=0.9,"Near","Not met")))</f>
        <v>Not met</v>
      </c>
    </row>
    <row r="45" customFormat="false" ht="15" hidden="false" customHeight="false" outlineLevel="0" collapsed="false">
      <c r="A45" s="39" t="s">
        <v>108</v>
      </c>
      <c r="B45" s="39" t="s">
        <v>50</v>
      </c>
      <c r="C45" s="42" t="str">
        <f aca="false">INDEX(Lists!$B$2:$B$9,MATCH(B45,Lists!$A$2:$A$9,0))</f>
        <v>Participants enrolled</v>
      </c>
      <c r="D45" s="39" t="s">
        <v>43</v>
      </c>
      <c r="E45" s="43" t="n">
        <v>65</v>
      </c>
      <c r="F45" s="39"/>
      <c r="G45" s="46" t="n">
        <f aca="false">IF(F45="",E45,IFERROR(E45/F45,""))</f>
        <v>65</v>
      </c>
      <c r="H45" s="46" t="n">
        <f aca="false">IF(INDEX(Lists!$C$2:$C$9,MATCH(B45,Lists!$A$2:$A$9,0))="Count",SUMIFS(Targets!$E$5:$E$36,Targets!$A$5:$A$36,A45,Targets!$B$5:$B$36,B45)/4,SUMIFS(Targets!$E$5:$E$36,Targets!$A$5:$A$36,A45,Targets!$B$5:$B$36,B45))</f>
        <v>90</v>
      </c>
      <c r="I45" s="47" t="n">
        <f aca="false">IFERROR(G45/H45,"")</f>
        <v>0.722222222222222</v>
      </c>
      <c r="J45" s="42" t="str">
        <f aca="false">IF(I45="","",IF(I45&gt;=1,"Met",IF(I45&gt;=0.9,"Near","Not met")))</f>
        <v>Not met</v>
      </c>
    </row>
    <row r="46" customFormat="false" ht="15" hidden="false" customHeight="false" outlineLevel="0" collapsed="false">
      <c r="A46" s="39" t="s">
        <v>108</v>
      </c>
      <c r="B46" s="39" t="s">
        <v>52</v>
      </c>
      <c r="C46" s="42" t="str">
        <f aca="false">INDEX(Lists!$B$2:$B$9,MATCH(B46,Lists!$A$2:$A$9,0))</f>
        <v>Assessed within 30 days of referral</v>
      </c>
      <c r="D46" s="39" t="s">
        <v>43</v>
      </c>
      <c r="E46" s="43" t="n">
        <v>53</v>
      </c>
      <c r="F46" s="39" t="n">
        <v>65</v>
      </c>
      <c r="G46" s="47" t="n">
        <f aca="false">IF(F46="",E46,IFERROR(E46/F46,""))</f>
        <v>0.815384615384615</v>
      </c>
      <c r="H46" s="47" t="n">
        <f aca="false">IF(INDEX(Lists!$C$2:$C$9,MATCH(B46,Lists!$A$2:$A$9,0))="Count",SUMIFS(Targets!$E$5:$E$36,Targets!$A$5:$A$36,A46,Targets!$B$5:$B$36,B46)/4,SUMIFS(Targets!$E$5:$E$36,Targets!$A$5:$A$36,A46,Targets!$B$5:$B$36,B46))</f>
        <v>0.9</v>
      </c>
      <c r="I46" s="47" t="n">
        <f aca="false">IFERROR(G46/H46,"")</f>
        <v>0.905982905982906</v>
      </c>
      <c r="J46" s="42" t="str">
        <f aca="false">IF(I46="","",IF(I46&gt;=1,"Met",IF(I46&gt;=0.9,"Near","Not met")))</f>
        <v>Near</v>
      </c>
    </row>
    <row r="47" customFormat="false" ht="15" hidden="false" customHeight="false" outlineLevel="0" collapsed="false">
      <c r="A47" s="39" t="s">
        <v>108</v>
      </c>
      <c r="B47" s="39" t="s">
        <v>54</v>
      </c>
      <c r="C47" s="42" t="str">
        <f aca="false">INDEX(Lists!$B$2:$B$9,MATCH(B47,Lists!$A$2:$A$9,0))</f>
        <v>Engaged in a work activity each month</v>
      </c>
      <c r="D47" s="39" t="s">
        <v>43</v>
      </c>
      <c r="E47" s="43" t="n">
        <v>106</v>
      </c>
      <c r="F47" s="39" t="n">
        <v>174</v>
      </c>
      <c r="G47" s="47" t="n">
        <f aca="false">IF(F47="",E47,IFERROR(E47/F47,""))</f>
        <v>0.609195402298851</v>
      </c>
      <c r="H47" s="47" t="n">
        <f aca="false">IF(INDEX(Lists!$C$2:$C$9,MATCH(B47,Lists!$A$2:$A$9,0))="Count",SUMIFS(Targets!$E$5:$E$36,Targets!$A$5:$A$36,A47,Targets!$B$5:$B$36,B47)/4,SUMIFS(Targets!$E$5:$E$36,Targets!$A$5:$A$36,A47,Targets!$B$5:$B$36,B47))</f>
        <v>0.7</v>
      </c>
      <c r="I47" s="47" t="n">
        <f aca="false">IFERROR(G47/H47,"")</f>
        <v>0.870279146141215</v>
      </c>
      <c r="J47" s="42" t="str">
        <f aca="false">IF(I47="","",IF(I47&gt;=1,"Met",IF(I47&gt;=0.9,"Near","Not met")))</f>
        <v>Not met</v>
      </c>
    </row>
    <row r="48" customFormat="false" ht="15" hidden="false" customHeight="false" outlineLevel="0" collapsed="false">
      <c r="A48" s="39" t="s">
        <v>108</v>
      </c>
      <c r="B48" s="39" t="s">
        <v>56</v>
      </c>
      <c r="C48" s="42" t="str">
        <f aca="false">INDEX(Lists!$B$2:$B$9,MATCH(B48,Lists!$A$2:$A$9,0))</f>
        <v>Job placements</v>
      </c>
      <c r="D48" s="39" t="s">
        <v>43</v>
      </c>
      <c r="E48" s="43" t="n">
        <v>27</v>
      </c>
      <c r="F48" s="39"/>
      <c r="G48" s="46" t="n">
        <f aca="false">IF(F48="",E48,IFERROR(E48/F48,""))</f>
        <v>27</v>
      </c>
      <c r="H48" s="46" t="n">
        <f aca="false">IF(INDEX(Lists!$C$2:$C$9,MATCH(B48,Lists!$A$2:$A$9,0))="Count",SUMIFS(Targets!$E$5:$E$36,Targets!$A$5:$A$36,A48,Targets!$B$5:$B$36,B48)/4,SUMIFS(Targets!$E$5:$E$36,Targets!$A$5:$A$36,A48,Targets!$B$5:$B$36,B48))</f>
        <v>37.5</v>
      </c>
      <c r="I48" s="47" t="n">
        <f aca="false">IFERROR(G48/H48,"")</f>
        <v>0.72</v>
      </c>
      <c r="J48" s="42" t="str">
        <f aca="false">IF(I48="","",IF(I48&gt;=1,"Met",IF(I48&gt;=0.9,"Near","Not met")))</f>
        <v>Not met</v>
      </c>
    </row>
    <row r="49" customFormat="false" ht="15" hidden="false" customHeight="false" outlineLevel="0" collapsed="false">
      <c r="A49" s="39" t="s">
        <v>108</v>
      </c>
      <c r="B49" s="39" t="s">
        <v>58</v>
      </c>
      <c r="C49" s="42" t="str">
        <f aca="false">INDEX(Lists!$B$2:$B$9,MATCH(B49,Lists!$A$2:$A$9,0))</f>
        <v>Average starting wage</v>
      </c>
      <c r="D49" s="39" t="s">
        <v>43</v>
      </c>
      <c r="E49" s="48" t="n">
        <v>352.16</v>
      </c>
      <c r="F49" s="39" t="n">
        <v>27</v>
      </c>
      <c r="G49" s="49" t="n">
        <f aca="false">IF(F49="",E49,IFERROR(E49/F49,""))</f>
        <v>13.042962962963</v>
      </c>
      <c r="H49" s="49" t="n">
        <f aca="false">IF(INDEX(Lists!$C$2:$C$9,MATCH(B49,Lists!$A$2:$A$9,0))="Count",SUMIFS(Targets!$E$5:$E$36,Targets!$A$5:$A$36,A49,Targets!$B$5:$B$36,B49)/4,SUMIFS(Targets!$E$5:$E$36,Targets!$A$5:$A$36,A49,Targets!$B$5:$B$36,B49))</f>
        <v>14.5</v>
      </c>
      <c r="I49" s="47" t="n">
        <f aca="false">IFERROR(G49/H49,"")</f>
        <v>0.899514687100894</v>
      </c>
      <c r="J49" s="42" t="str">
        <f aca="false">IF(I49="","",IF(I49&gt;=1,"Met",IF(I49&gt;=0.9,"Near","Not met")))</f>
        <v>Not met</v>
      </c>
    </row>
    <row r="50" customFormat="false" ht="15" hidden="false" customHeight="false" outlineLevel="0" collapsed="false">
      <c r="A50" s="39" t="s">
        <v>108</v>
      </c>
      <c r="B50" s="39" t="s">
        <v>60</v>
      </c>
      <c r="C50" s="42" t="str">
        <f aca="false">INDEX(Lists!$B$2:$B$9,MATCH(B50,Lists!$A$2:$A$9,0))</f>
        <v>Employed 90 days after placement</v>
      </c>
      <c r="D50" s="39" t="s">
        <v>43</v>
      </c>
      <c r="E50" s="43" t="n">
        <v>18</v>
      </c>
      <c r="F50" s="39" t="n">
        <v>25</v>
      </c>
      <c r="G50" s="47" t="n">
        <f aca="false">IF(F50="",E50,IFERROR(E50/F50,""))</f>
        <v>0.72</v>
      </c>
      <c r="H50" s="47" t="n">
        <f aca="false">IF(INDEX(Lists!$C$2:$C$9,MATCH(B50,Lists!$A$2:$A$9,0))="Count",SUMIFS(Targets!$E$5:$E$36,Targets!$A$5:$A$36,A50,Targets!$B$5:$B$36,B50)/4,SUMIFS(Targets!$E$5:$E$36,Targets!$A$5:$A$36,A50,Targets!$B$5:$B$36,B50))</f>
        <v>0.75</v>
      </c>
      <c r="I50" s="47" t="n">
        <f aca="false">IFERROR(G50/H50,"")</f>
        <v>0.96</v>
      </c>
      <c r="J50" s="42" t="str">
        <f aca="false">IF(I50="","",IF(I50&gt;=1,"Met",IF(I50&gt;=0.9,"Near","Not met")))</f>
        <v>Near</v>
      </c>
    </row>
    <row r="51" customFormat="false" ht="15" hidden="false" customHeight="false" outlineLevel="0" collapsed="false">
      <c r="A51" s="39" t="s">
        <v>108</v>
      </c>
      <c r="B51" s="39" t="s">
        <v>62</v>
      </c>
      <c r="C51" s="42" t="str">
        <f aca="false">INDEX(Lists!$B$2:$B$9,MATCH(B51,Lists!$A$2:$A$9,0))</f>
        <v>Credential earned by training completers</v>
      </c>
      <c r="D51" s="39" t="s">
        <v>43</v>
      </c>
      <c r="E51" s="43" t="n">
        <v>7</v>
      </c>
      <c r="F51" s="39" t="n">
        <v>14</v>
      </c>
      <c r="G51" s="47" t="n">
        <f aca="false">IF(F51="",E51,IFERROR(E51/F51,""))</f>
        <v>0.5</v>
      </c>
      <c r="H51" s="47" t="n">
        <f aca="false">IF(INDEX(Lists!$C$2:$C$9,MATCH(B51,Lists!$A$2:$A$9,0))="Count",SUMIFS(Targets!$E$5:$E$36,Targets!$A$5:$A$36,A51,Targets!$B$5:$B$36,B51)/4,SUMIFS(Targets!$E$5:$E$36,Targets!$A$5:$A$36,A51,Targets!$B$5:$B$36,B51))</f>
        <v>0.6</v>
      </c>
      <c r="I51" s="47" t="n">
        <f aca="false">IFERROR(G51/H51,"")</f>
        <v>0.833333333333333</v>
      </c>
      <c r="J51" s="42" t="str">
        <f aca="false">IF(I51="","",IF(I51&gt;=1,"Met",IF(I51&gt;=0.9,"Near","Not met")))</f>
        <v>Not met</v>
      </c>
    </row>
    <row r="52" customFormat="false" ht="15" hidden="false" customHeight="false" outlineLevel="0" collapsed="false">
      <c r="A52" s="39" t="s">
        <v>108</v>
      </c>
      <c r="B52" s="39" t="s">
        <v>64</v>
      </c>
      <c r="C52" s="42" t="str">
        <f aca="false">INDEX(Lists!$B$2:$B$9,MATCH(B52,Lists!$A$2:$A$9,0))</f>
        <v>Monthly reports submitted on time</v>
      </c>
      <c r="D52" s="39" t="s">
        <v>43</v>
      </c>
      <c r="E52" s="43" t="n">
        <v>3</v>
      </c>
      <c r="F52" s="39" t="n">
        <v>3</v>
      </c>
      <c r="G52" s="47" t="n">
        <f aca="false">IF(F52="",E52,IFERROR(E52/F52,""))</f>
        <v>1</v>
      </c>
      <c r="H52" s="47" t="n">
        <f aca="false">IF(INDEX(Lists!$C$2:$C$9,MATCH(B52,Lists!$A$2:$A$9,0))="Count",SUMIFS(Targets!$E$5:$E$36,Targets!$A$5:$A$36,A52,Targets!$B$5:$B$36,B52)/4,SUMIFS(Targets!$E$5:$E$36,Targets!$A$5:$A$36,A52,Targets!$B$5:$B$36,B52))</f>
        <v>1</v>
      </c>
      <c r="I52" s="47" t="n">
        <f aca="false">IFERROR(G52/H52,"")</f>
        <v>1</v>
      </c>
      <c r="J52" s="42" t="str">
        <f aca="false">IF(I52="","",IF(I52&gt;=1,"Met",IF(I52&gt;=0.9,"Near","Not met")))</f>
        <v>Met</v>
      </c>
    </row>
    <row r="53" customFormat="false" ht="15" hidden="false" customHeight="false" outlineLevel="0" collapsed="false">
      <c r="A53" s="39" t="s">
        <v>108</v>
      </c>
      <c r="B53" s="39" t="s">
        <v>50</v>
      </c>
      <c r="C53" s="42" t="str">
        <f aca="false">INDEX(Lists!$B$2:$B$9,MATCH(B53,Lists!$A$2:$A$9,0))</f>
        <v>Participants enrolled</v>
      </c>
      <c r="D53" s="39" t="s">
        <v>44</v>
      </c>
      <c r="E53" s="43" t="n">
        <v>72</v>
      </c>
      <c r="F53" s="39"/>
      <c r="G53" s="46" t="n">
        <f aca="false">IF(F53="",E53,IFERROR(E53/F53,""))</f>
        <v>72</v>
      </c>
      <c r="H53" s="46" t="n">
        <f aca="false">IF(INDEX(Lists!$C$2:$C$9,MATCH(B53,Lists!$A$2:$A$9,0))="Count",SUMIFS(Targets!$E$5:$E$36,Targets!$A$5:$A$36,A53,Targets!$B$5:$B$36,B53)/4,SUMIFS(Targets!$E$5:$E$36,Targets!$A$5:$A$36,A53,Targets!$B$5:$B$36,B53))</f>
        <v>90</v>
      </c>
      <c r="I53" s="47" t="n">
        <f aca="false">IFERROR(G53/H53,"")</f>
        <v>0.8</v>
      </c>
      <c r="J53" s="42" t="str">
        <f aca="false">IF(I53="","",IF(I53&gt;=1,"Met",IF(I53&gt;=0.9,"Near","Not met")))</f>
        <v>Not met</v>
      </c>
    </row>
    <row r="54" customFormat="false" ht="15" hidden="false" customHeight="false" outlineLevel="0" collapsed="false">
      <c r="A54" s="39" t="s">
        <v>108</v>
      </c>
      <c r="B54" s="39" t="s">
        <v>52</v>
      </c>
      <c r="C54" s="42" t="str">
        <f aca="false">INDEX(Lists!$B$2:$B$9,MATCH(B54,Lists!$A$2:$A$9,0))</f>
        <v>Assessed within 30 days of referral</v>
      </c>
      <c r="D54" s="39" t="s">
        <v>44</v>
      </c>
      <c r="E54" s="43" t="n">
        <v>62</v>
      </c>
      <c r="F54" s="39" t="n">
        <v>72</v>
      </c>
      <c r="G54" s="47" t="n">
        <f aca="false">IF(F54="",E54,IFERROR(E54/F54,""))</f>
        <v>0.861111111111111</v>
      </c>
      <c r="H54" s="47" t="n">
        <f aca="false">IF(INDEX(Lists!$C$2:$C$9,MATCH(B54,Lists!$A$2:$A$9,0))="Count",SUMIFS(Targets!$E$5:$E$36,Targets!$A$5:$A$36,A54,Targets!$B$5:$B$36,B54)/4,SUMIFS(Targets!$E$5:$E$36,Targets!$A$5:$A$36,A54,Targets!$B$5:$B$36,B54))</f>
        <v>0.9</v>
      </c>
      <c r="I54" s="47" t="n">
        <f aca="false">IFERROR(G54/H54,"")</f>
        <v>0.95679012345679</v>
      </c>
      <c r="J54" s="42" t="str">
        <f aca="false">IF(I54="","",IF(I54&gt;=1,"Met",IF(I54&gt;=0.9,"Near","Not met")))</f>
        <v>Near</v>
      </c>
    </row>
    <row r="55" customFormat="false" ht="15" hidden="false" customHeight="false" outlineLevel="0" collapsed="false">
      <c r="A55" s="39" t="s">
        <v>108</v>
      </c>
      <c r="B55" s="39" t="s">
        <v>54</v>
      </c>
      <c r="C55" s="42" t="str">
        <f aca="false">INDEX(Lists!$B$2:$B$9,MATCH(B55,Lists!$A$2:$A$9,0))</f>
        <v>Engaged in a work activity each month</v>
      </c>
      <c r="D55" s="39" t="s">
        <v>44</v>
      </c>
      <c r="E55" s="43" t="n">
        <v>126</v>
      </c>
      <c r="F55" s="39" t="n">
        <v>184</v>
      </c>
      <c r="G55" s="47" t="n">
        <f aca="false">IF(F55="",E55,IFERROR(E55/F55,""))</f>
        <v>0.684782608695652</v>
      </c>
      <c r="H55" s="47" t="n">
        <f aca="false">IF(INDEX(Lists!$C$2:$C$9,MATCH(B55,Lists!$A$2:$A$9,0))="Count",SUMIFS(Targets!$E$5:$E$36,Targets!$A$5:$A$36,A55,Targets!$B$5:$B$36,B55)/4,SUMIFS(Targets!$E$5:$E$36,Targets!$A$5:$A$36,A55,Targets!$B$5:$B$36,B55))</f>
        <v>0.7</v>
      </c>
      <c r="I55" s="47" t="n">
        <f aca="false">IFERROR(G55/H55,"")</f>
        <v>0.978260869565218</v>
      </c>
      <c r="J55" s="42" t="str">
        <f aca="false">IF(I55="","",IF(I55&gt;=1,"Met",IF(I55&gt;=0.9,"Near","Not met")))</f>
        <v>Near</v>
      </c>
    </row>
    <row r="56" customFormat="false" ht="15" hidden="false" customHeight="false" outlineLevel="0" collapsed="false">
      <c r="A56" s="39" t="s">
        <v>108</v>
      </c>
      <c r="B56" s="39" t="s">
        <v>56</v>
      </c>
      <c r="C56" s="42" t="str">
        <f aca="false">INDEX(Lists!$B$2:$B$9,MATCH(B56,Lists!$A$2:$A$9,0))</f>
        <v>Job placements</v>
      </c>
      <c r="D56" s="39" t="s">
        <v>44</v>
      </c>
      <c r="E56" s="43" t="n">
        <v>25</v>
      </c>
      <c r="F56" s="39"/>
      <c r="G56" s="46" t="n">
        <f aca="false">IF(F56="",E56,IFERROR(E56/F56,""))</f>
        <v>25</v>
      </c>
      <c r="H56" s="46" t="n">
        <f aca="false">IF(INDEX(Lists!$C$2:$C$9,MATCH(B56,Lists!$A$2:$A$9,0))="Count",SUMIFS(Targets!$E$5:$E$36,Targets!$A$5:$A$36,A56,Targets!$B$5:$B$36,B56)/4,SUMIFS(Targets!$E$5:$E$36,Targets!$A$5:$A$36,A56,Targets!$B$5:$B$36,B56))</f>
        <v>37.5</v>
      </c>
      <c r="I56" s="47" t="n">
        <f aca="false">IFERROR(G56/H56,"")</f>
        <v>0.666666666666667</v>
      </c>
      <c r="J56" s="42" t="str">
        <f aca="false">IF(I56="","",IF(I56&gt;=1,"Met",IF(I56&gt;=0.9,"Near","Not met")))</f>
        <v>Not met</v>
      </c>
    </row>
    <row r="57" customFormat="false" ht="15" hidden="false" customHeight="false" outlineLevel="0" collapsed="false">
      <c r="A57" s="39" t="s">
        <v>108</v>
      </c>
      <c r="B57" s="39" t="s">
        <v>58</v>
      </c>
      <c r="C57" s="42" t="str">
        <f aca="false">INDEX(Lists!$B$2:$B$9,MATCH(B57,Lists!$A$2:$A$9,0))</f>
        <v>Average starting wage</v>
      </c>
      <c r="D57" s="39" t="s">
        <v>44</v>
      </c>
      <c r="E57" s="48" t="n">
        <v>337.56</v>
      </c>
      <c r="F57" s="39" t="n">
        <v>25</v>
      </c>
      <c r="G57" s="49" t="n">
        <f aca="false">IF(F57="",E57,IFERROR(E57/F57,""))</f>
        <v>13.5024</v>
      </c>
      <c r="H57" s="49" t="n">
        <f aca="false">IF(INDEX(Lists!$C$2:$C$9,MATCH(B57,Lists!$A$2:$A$9,0))="Count",SUMIFS(Targets!$E$5:$E$36,Targets!$A$5:$A$36,A57,Targets!$B$5:$B$36,B57)/4,SUMIFS(Targets!$E$5:$E$36,Targets!$A$5:$A$36,A57,Targets!$B$5:$B$36,B57))</f>
        <v>14.5</v>
      </c>
      <c r="I57" s="47" t="n">
        <f aca="false">IFERROR(G57/H57,"")</f>
        <v>0.9312</v>
      </c>
      <c r="J57" s="42" t="str">
        <f aca="false">IF(I57="","",IF(I57&gt;=1,"Met",IF(I57&gt;=0.9,"Near","Not met")))</f>
        <v>Near</v>
      </c>
    </row>
    <row r="58" customFormat="false" ht="15" hidden="false" customHeight="false" outlineLevel="0" collapsed="false">
      <c r="A58" s="39" t="s">
        <v>108</v>
      </c>
      <c r="B58" s="39" t="s">
        <v>60</v>
      </c>
      <c r="C58" s="42" t="str">
        <f aca="false">INDEX(Lists!$B$2:$B$9,MATCH(B58,Lists!$A$2:$A$9,0))</f>
        <v>Employed 90 days after placement</v>
      </c>
      <c r="D58" s="39" t="s">
        <v>44</v>
      </c>
      <c r="E58" s="43" t="n">
        <v>19</v>
      </c>
      <c r="F58" s="39" t="n">
        <v>25</v>
      </c>
      <c r="G58" s="47" t="n">
        <f aca="false">IF(F58="",E58,IFERROR(E58/F58,""))</f>
        <v>0.76</v>
      </c>
      <c r="H58" s="47" t="n">
        <f aca="false">IF(INDEX(Lists!$C$2:$C$9,MATCH(B58,Lists!$A$2:$A$9,0))="Count",SUMIFS(Targets!$E$5:$E$36,Targets!$A$5:$A$36,A58,Targets!$B$5:$B$36,B58)/4,SUMIFS(Targets!$E$5:$E$36,Targets!$A$5:$A$36,A58,Targets!$B$5:$B$36,B58))</f>
        <v>0.75</v>
      </c>
      <c r="I58" s="47" t="n">
        <f aca="false">IFERROR(G58/H58,"")</f>
        <v>1.01333333333333</v>
      </c>
      <c r="J58" s="42" t="str">
        <f aca="false">IF(I58="","",IF(I58&gt;=1,"Met",IF(I58&gt;=0.9,"Near","Not met")))</f>
        <v>Met</v>
      </c>
    </row>
    <row r="59" customFormat="false" ht="15" hidden="false" customHeight="false" outlineLevel="0" collapsed="false">
      <c r="A59" s="39" t="s">
        <v>108</v>
      </c>
      <c r="B59" s="39" t="s">
        <v>62</v>
      </c>
      <c r="C59" s="42" t="str">
        <f aca="false">INDEX(Lists!$B$2:$B$9,MATCH(B59,Lists!$A$2:$A$9,0))</f>
        <v>Credential earned by training completers</v>
      </c>
      <c r="D59" s="39" t="s">
        <v>44</v>
      </c>
      <c r="E59" s="43" t="n">
        <v>9</v>
      </c>
      <c r="F59" s="39" t="n">
        <v>15</v>
      </c>
      <c r="G59" s="47" t="n">
        <f aca="false">IF(F59="",E59,IFERROR(E59/F59,""))</f>
        <v>0.6</v>
      </c>
      <c r="H59" s="47" t="n">
        <f aca="false">IF(INDEX(Lists!$C$2:$C$9,MATCH(B59,Lists!$A$2:$A$9,0))="Count",SUMIFS(Targets!$E$5:$E$36,Targets!$A$5:$A$36,A59,Targets!$B$5:$B$36,B59)/4,SUMIFS(Targets!$E$5:$E$36,Targets!$A$5:$A$36,A59,Targets!$B$5:$B$36,B59))</f>
        <v>0.6</v>
      </c>
      <c r="I59" s="47" t="n">
        <f aca="false">IFERROR(G59/H59,"")</f>
        <v>1</v>
      </c>
      <c r="J59" s="42" t="str">
        <f aca="false">IF(I59="","",IF(I59&gt;=1,"Met",IF(I59&gt;=0.9,"Near","Not met")))</f>
        <v>Met</v>
      </c>
    </row>
    <row r="60" customFormat="false" ht="15" hidden="false" customHeight="false" outlineLevel="0" collapsed="false">
      <c r="A60" s="39" t="s">
        <v>108</v>
      </c>
      <c r="B60" s="39" t="s">
        <v>64</v>
      </c>
      <c r="C60" s="42" t="str">
        <f aca="false">INDEX(Lists!$B$2:$B$9,MATCH(B60,Lists!$A$2:$A$9,0))</f>
        <v>Monthly reports submitted on time</v>
      </c>
      <c r="D60" s="39" t="s">
        <v>44</v>
      </c>
      <c r="E60" s="43" t="n">
        <v>2</v>
      </c>
      <c r="F60" s="39" t="n">
        <v>3</v>
      </c>
      <c r="G60" s="47" t="n">
        <f aca="false">IF(F60="",E60,IFERROR(E60/F60,""))</f>
        <v>0.666666666666667</v>
      </c>
      <c r="H60" s="47" t="n">
        <f aca="false">IF(INDEX(Lists!$C$2:$C$9,MATCH(B60,Lists!$A$2:$A$9,0))="Count",SUMIFS(Targets!$E$5:$E$36,Targets!$A$5:$A$36,A60,Targets!$B$5:$B$36,B60)/4,SUMIFS(Targets!$E$5:$E$36,Targets!$A$5:$A$36,A60,Targets!$B$5:$B$36,B60))</f>
        <v>1</v>
      </c>
      <c r="I60" s="47" t="n">
        <f aca="false">IFERROR(G60/H60,"")</f>
        <v>0.666666666666667</v>
      </c>
      <c r="J60" s="42" t="str">
        <f aca="false">IF(I60="","",IF(I60&gt;=1,"Met",IF(I60&gt;=0.9,"Near","Not met")))</f>
        <v>Not met</v>
      </c>
    </row>
    <row r="61" customFormat="false" ht="15" hidden="false" customHeight="false" outlineLevel="0" collapsed="false">
      <c r="A61" s="39" t="s">
        <v>108</v>
      </c>
      <c r="B61" s="39" t="s">
        <v>50</v>
      </c>
      <c r="C61" s="42" t="str">
        <f aca="false">INDEX(Lists!$B$2:$B$9,MATCH(B61,Lists!$A$2:$A$9,0))</f>
        <v>Participants enrolled</v>
      </c>
      <c r="D61" s="39" t="s">
        <v>45</v>
      </c>
      <c r="E61" s="43" t="n">
        <v>78</v>
      </c>
      <c r="F61" s="39"/>
      <c r="G61" s="46" t="n">
        <f aca="false">IF(F61="",E61,IFERROR(E61/F61,""))</f>
        <v>78</v>
      </c>
      <c r="H61" s="46" t="n">
        <f aca="false">IF(INDEX(Lists!$C$2:$C$9,MATCH(B61,Lists!$A$2:$A$9,0))="Count",SUMIFS(Targets!$E$5:$E$36,Targets!$A$5:$A$36,A61,Targets!$B$5:$B$36,B61)/4,SUMIFS(Targets!$E$5:$E$36,Targets!$A$5:$A$36,A61,Targets!$B$5:$B$36,B61))</f>
        <v>90</v>
      </c>
      <c r="I61" s="47" t="n">
        <f aca="false">IFERROR(G61/H61,"")</f>
        <v>0.866666666666667</v>
      </c>
      <c r="J61" s="42" t="str">
        <f aca="false">IF(I61="","",IF(I61&gt;=1,"Met",IF(I61&gt;=0.9,"Near","Not met")))</f>
        <v>Not met</v>
      </c>
    </row>
    <row r="62" customFormat="false" ht="15" hidden="false" customHeight="false" outlineLevel="0" collapsed="false">
      <c r="A62" s="39" t="s">
        <v>108</v>
      </c>
      <c r="B62" s="39" t="s">
        <v>52</v>
      </c>
      <c r="C62" s="42" t="str">
        <f aca="false">INDEX(Lists!$B$2:$B$9,MATCH(B62,Lists!$A$2:$A$9,0))</f>
        <v>Assessed within 30 days of referral</v>
      </c>
      <c r="D62" s="39" t="s">
        <v>45</v>
      </c>
      <c r="E62" s="43" t="n">
        <v>66</v>
      </c>
      <c r="F62" s="39" t="n">
        <v>78</v>
      </c>
      <c r="G62" s="47" t="n">
        <f aca="false">IF(F62="",E62,IFERROR(E62/F62,""))</f>
        <v>0.846153846153846</v>
      </c>
      <c r="H62" s="47" t="n">
        <f aca="false">IF(INDEX(Lists!$C$2:$C$9,MATCH(B62,Lists!$A$2:$A$9,0))="Count",SUMIFS(Targets!$E$5:$E$36,Targets!$A$5:$A$36,A62,Targets!$B$5:$B$36,B62)/4,SUMIFS(Targets!$E$5:$E$36,Targets!$A$5:$A$36,A62,Targets!$B$5:$B$36,B62))</f>
        <v>0.9</v>
      </c>
      <c r="I62" s="47" t="n">
        <f aca="false">IFERROR(G62/H62,"")</f>
        <v>0.94017094017094</v>
      </c>
      <c r="J62" s="42" t="str">
        <f aca="false">IF(I62="","",IF(I62&gt;=1,"Met",IF(I62&gt;=0.9,"Near","Not met")))</f>
        <v>Near</v>
      </c>
    </row>
    <row r="63" customFormat="false" ht="15" hidden="false" customHeight="false" outlineLevel="0" collapsed="false">
      <c r="A63" s="39" t="s">
        <v>108</v>
      </c>
      <c r="B63" s="39" t="s">
        <v>54</v>
      </c>
      <c r="C63" s="42" t="str">
        <f aca="false">INDEX(Lists!$B$2:$B$9,MATCH(B63,Lists!$A$2:$A$9,0))</f>
        <v>Engaged in a work activity each month</v>
      </c>
      <c r="D63" s="39" t="s">
        <v>45</v>
      </c>
      <c r="E63" s="43" t="n">
        <v>128</v>
      </c>
      <c r="F63" s="39" t="n">
        <v>186</v>
      </c>
      <c r="G63" s="47" t="n">
        <f aca="false">IF(F63="",E63,IFERROR(E63/F63,""))</f>
        <v>0.688172043010753</v>
      </c>
      <c r="H63" s="47" t="n">
        <f aca="false">IF(INDEX(Lists!$C$2:$C$9,MATCH(B63,Lists!$A$2:$A$9,0))="Count",SUMIFS(Targets!$E$5:$E$36,Targets!$A$5:$A$36,A63,Targets!$B$5:$B$36,B63)/4,SUMIFS(Targets!$E$5:$E$36,Targets!$A$5:$A$36,A63,Targets!$B$5:$B$36,B63))</f>
        <v>0.7</v>
      </c>
      <c r="I63" s="47" t="n">
        <f aca="false">IFERROR(G63/H63,"")</f>
        <v>0.98310291858679</v>
      </c>
      <c r="J63" s="42" t="str">
        <f aca="false">IF(I63="","",IF(I63&gt;=1,"Met",IF(I63&gt;=0.9,"Near","Not met")))</f>
        <v>Near</v>
      </c>
    </row>
    <row r="64" customFormat="false" ht="15" hidden="false" customHeight="false" outlineLevel="0" collapsed="false">
      <c r="A64" s="39" t="s">
        <v>108</v>
      </c>
      <c r="B64" s="39" t="s">
        <v>56</v>
      </c>
      <c r="C64" s="42" t="str">
        <f aca="false">INDEX(Lists!$B$2:$B$9,MATCH(B64,Lists!$A$2:$A$9,0))</f>
        <v>Job placements</v>
      </c>
      <c r="D64" s="39" t="s">
        <v>45</v>
      </c>
      <c r="E64" s="43" t="n">
        <v>27</v>
      </c>
      <c r="F64" s="39"/>
      <c r="G64" s="46" t="n">
        <f aca="false">IF(F64="",E64,IFERROR(E64/F64,""))</f>
        <v>27</v>
      </c>
      <c r="H64" s="46" t="n">
        <f aca="false">IF(INDEX(Lists!$C$2:$C$9,MATCH(B64,Lists!$A$2:$A$9,0))="Count",SUMIFS(Targets!$E$5:$E$36,Targets!$A$5:$A$36,A64,Targets!$B$5:$B$36,B64)/4,SUMIFS(Targets!$E$5:$E$36,Targets!$A$5:$A$36,A64,Targets!$B$5:$B$36,B64))</f>
        <v>37.5</v>
      </c>
      <c r="I64" s="47" t="n">
        <f aca="false">IFERROR(G64/H64,"")</f>
        <v>0.72</v>
      </c>
      <c r="J64" s="42" t="str">
        <f aca="false">IF(I64="","",IF(I64&gt;=1,"Met",IF(I64&gt;=0.9,"Near","Not met")))</f>
        <v>Not met</v>
      </c>
    </row>
    <row r="65" customFormat="false" ht="15" hidden="false" customHeight="false" outlineLevel="0" collapsed="false">
      <c r="A65" s="39" t="s">
        <v>108</v>
      </c>
      <c r="B65" s="39" t="s">
        <v>58</v>
      </c>
      <c r="C65" s="42" t="str">
        <f aca="false">INDEX(Lists!$B$2:$B$9,MATCH(B65,Lists!$A$2:$A$9,0))</f>
        <v>Average starting wage</v>
      </c>
      <c r="D65" s="39" t="s">
        <v>45</v>
      </c>
      <c r="E65" s="48" t="n">
        <v>361.29</v>
      </c>
      <c r="F65" s="39" t="n">
        <v>27</v>
      </c>
      <c r="G65" s="49" t="n">
        <f aca="false">IF(F65="",E65,IFERROR(E65/F65,""))</f>
        <v>13.3811111111111</v>
      </c>
      <c r="H65" s="49" t="n">
        <f aca="false">IF(INDEX(Lists!$C$2:$C$9,MATCH(B65,Lists!$A$2:$A$9,0))="Count",SUMIFS(Targets!$E$5:$E$36,Targets!$A$5:$A$36,A65,Targets!$B$5:$B$36,B65)/4,SUMIFS(Targets!$E$5:$E$36,Targets!$A$5:$A$36,A65,Targets!$B$5:$B$36,B65))</f>
        <v>14.5</v>
      </c>
      <c r="I65" s="47" t="n">
        <f aca="false">IFERROR(G65/H65,"")</f>
        <v>0.922835249042146</v>
      </c>
      <c r="J65" s="42" t="str">
        <f aca="false">IF(I65="","",IF(I65&gt;=1,"Met",IF(I65&gt;=0.9,"Near","Not met")))</f>
        <v>Near</v>
      </c>
    </row>
    <row r="66" customFormat="false" ht="15" hidden="false" customHeight="false" outlineLevel="0" collapsed="false">
      <c r="A66" s="39" t="s">
        <v>108</v>
      </c>
      <c r="B66" s="39" t="s">
        <v>60</v>
      </c>
      <c r="C66" s="42" t="str">
        <f aca="false">INDEX(Lists!$B$2:$B$9,MATCH(B66,Lists!$A$2:$A$9,0))</f>
        <v>Employed 90 days after placement</v>
      </c>
      <c r="D66" s="39" t="s">
        <v>45</v>
      </c>
      <c r="E66" s="43" t="n">
        <v>17</v>
      </c>
      <c r="F66" s="39" t="n">
        <v>23</v>
      </c>
      <c r="G66" s="47" t="n">
        <f aca="false">IF(F66="",E66,IFERROR(E66/F66,""))</f>
        <v>0.739130434782609</v>
      </c>
      <c r="H66" s="47" t="n">
        <f aca="false">IF(INDEX(Lists!$C$2:$C$9,MATCH(B66,Lists!$A$2:$A$9,0))="Count",SUMIFS(Targets!$E$5:$E$36,Targets!$A$5:$A$36,A66,Targets!$B$5:$B$36,B66)/4,SUMIFS(Targets!$E$5:$E$36,Targets!$A$5:$A$36,A66,Targets!$B$5:$B$36,B66))</f>
        <v>0.75</v>
      </c>
      <c r="I66" s="47" t="n">
        <f aca="false">IFERROR(G66/H66,"")</f>
        <v>0.985507246376812</v>
      </c>
      <c r="J66" s="42" t="str">
        <f aca="false">IF(I66="","",IF(I66&gt;=1,"Met",IF(I66&gt;=0.9,"Near","Not met")))</f>
        <v>Near</v>
      </c>
    </row>
    <row r="67" customFormat="false" ht="15" hidden="false" customHeight="false" outlineLevel="0" collapsed="false">
      <c r="A67" s="39" t="s">
        <v>108</v>
      </c>
      <c r="B67" s="39" t="s">
        <v>62</v>
      </c>
      <c r="C67" s="42" t="str">
        <f aca="false">INDEX(Lists!$B$2:$B$9,MATCH(B67,Lists!$A$2:$A$9,0))</f>
        <v>Credential earned by training completers</v>
      </c>
      <c r="D67" s="39" t="s">
        <v>45</v>
      </c>
      <c r="E67" s="43" t="n">
        <v>10</v>
      </c>
      <c r="F67" s="39" t="n">
        <v>17</v>
      </c>
      <c r="G67" s="47" t="n">
        <f aca="false">IF(F67="",E67,IFERROR(E67/F67,""))</f>
        <v>0.588235294117647</v>
      </c>
      <c r="H67" s="47" t="n">
        <f aca="false">IF(INDEX(Lists!$C$2:$C$9,MATCH(B67,Lists!$A$2:$A$9,0))="Count",SUMIFS(Targets!$E$5:$E$36,Targets!$A$5:$A$36,A67,Targets!$B$5:$B$36,B67)/4,SUMIFS(Targets!$E$5:$E$36,Targets!$A$5:$A$36,A67,Targets!$B$5:$B$36,B67))</f>
        <v>0.6</v>
      </c>
      <c r="I67" s="47" t="n">
        <f aca="false">IFERROR(G67/H67,"")</f>
        <v>0.980392156862745</v>
      </c>
      <c r="J67" s="42" t="str">
        <f aca="false">IF(I67="","",IF(I67&gt;=1,"Met",IF(I67&gt;=0.9,"Near","Not met")))</f>
        <v>Near</v>
      </c>
    </row>
    <row r="68" customFormat="false" ht="15" hidden="false" customHeight="false" outlineLevel="0" collapsed="false">
      <c r="A68" s="39" t="s">
        <v>108</v>
      </c>
      <c r="B68" s="39" t="s">
        <v>64</v>
      </c>
      <c r="C68" s="42" t="str">
        <f aca="false">INDEX(Lists!$B$2:$B$9,MATCH(B68,Lists!$A$2:$A$9,0))</f>
        <v>Monthly reports submitted on time</v>
      </c>
      <c r="D68" s="39" t="s">
        <v>45</v>
      </c>
      <c r="E68" s="43" t="n">
        <v>3</v>
      </c>
      <c r="F68" s="39" t="n">
        <v>3</v>
      </c>
      <c r="G68" s="47" t="n">
        <f aca="false">IF(F68="",E68,IFERROR(E68/F68,""))</f>
        <v>1</v>
      </c>
      <c r="H68" s="47" t="n">
        <f aca="false">IF(INDEX(Lists!$C$2:$C$9,MATCH(B68,Lists!$A$2:$A$9,0))="Count",SUMIFS(Targets!$E$5:$E$36,Targets!$A$5:$A$36,A68,Targets!$B$5:$B$36,B68)/4,SUMIFS(Targets!$E$5:$E$36,Targets!$A$5:$A$36,A68,Targets!$B$5:$B$36,B68))</f>
        <v>1</v>
      </c>
      <c r="I68" s="47" t="n">
        <f aca="false">IFERROR(G68/H68,"")</f>
        <v>1</v>
      </c>
      <c r="J68" s="42" t="str">
        <f aca="false">IF(I68="","",IF(I68&gt;=1,"Met",IF(I68&gt;=0.9,"Near","Not met")))</f>
        <v>Met</v>
      </c>
    </row>
    <row r="69" customFormat="false" ht="15" hidden="false" customHeight="false" outlineLevel="0" collapsed="false">
      <c r="A69" s="39" t="s">
        <v>113</v>
      </c>
      <c r="B69" s="39" t="s">
        <v>50</v>
      </c>
      <c r="C69" s="42" t="str">
        <f aca="false">INDEX(Lists!$B$2:$B$9,MATCH(B69,Lists!$A$2:$A$9,0))</f>
        <v>Participants enrolled</v>
      </c>
      <c r="D69" s="39" t="s">
        <v>42</v>
      </c>
      <c r="E69" s="43" t="n">
        <v>184</v>
      </c>
      <c r="F69" s="39"/>
      <c r="G69" s="46" t="n">
        <f aca="false">IF(F69="",E69,IFERROR(E69/F69,""))</f>
        <v>184</v>
      </c>
      <c r="H69" s="46" t="n">
        <f aca="false">IF(INDEX(Lists!$C$2:$C$9,MATCH(B69,Lists!$A$2:$A$9,0))="Count",SUMIFS(Targets!$E$5:$E$36,Targets!$A$5:$A$36,A69,Targets!$B$5:$B$36,B69)/4,SUMIFS(Targets!$E$5:$E$36,Targets!$A$5:$A$36,A69,Targets!$B$5:$B$36,B69))</f>
        <v>195</v>
      </c>
      <c r="I69" s="47" t="n">
        <f aca="false">IFERROR(G69/H69,"")</f>
        <v>0.943589743589744</v>
      </c>
      <c r="J69" s="42" t="str">
        <f aca="false">IF(I69="","",IF(I69&gt;=1,"Met",IF(I69&gt;=0.9,"Near","Not met")))</f>
        <v>Near</v>
      </c>
    </row>
    <row r="70" customFormat="false" ht="15" hidden="false" customHeight="false" outlineLevel="0" collapsed="false">
      <c r="A70" s="39" t="s">
        <v>113</v>
      </c>
      <c r="B70" s="39" t="s">
        <v>52</v>
      </c>
      <c r="C70" s="42" t="str">
        <f aca="false">INDEX(Lists!$B$2:$B$9,MATCH(B70,Lists!$A$2:$A$9,0))</f>
        <v>Assessed within 30 days of referral</v>
      </c>
      <c r="D70" s="39" t="s">
        <v>42</v>
      </c>
      <c r="E70" s="43" t="n">
        <v>148</v>
      </c>
      <c r="F70" s="39" t="n">
        <v>184</v>
      </c>
      <c r="G70" s="47" t="n">
        <f aca="false">IF(F70="",E70,IFERROR(E70/F70,""))</f>
        <v>0.804347826086957</v>
      </c>
      <c r="H70" s="47" t="n">
        <f aca="false">IF(INDEX(Lists!$C$2:$C$9,MATCH(B70,Lists!$A$2:$A$9,0))="Count",SUMIFS(Targets!$E$5:$E$36,Targets!$A$5:$A$36,A70,Targets!$B$5:$B$36,B70)/4,SUMIFS(Targets!$E$5:$E$36,Targets!$A$5:$A$36,A70,Targets!$B$5:$B$36,B70))</f>
        <v>0.9</v>
      </c>
      <c r="I70" s="47" t="n">
        <f aca="false">IFERROR(G70/H70,"")</f>
        <v>0.893719806763285</v>
      </c>
      <c r="J70" s="42" t="str">
        <f aca="false">IF(I70="","",IF(I70&gt;=1,"Met",IF(I70&gt;=0.9,"Near","Not met")))</f>
        <v>Not met</v>
      </c>
    </row>
    <row r="71" customFormat="false" ht="15" hidden="false" customHeight="false" outlineLevel="0" collapsed="false">
      <c r="A71" s="39" t="s">
        <v>113</v>
      </c>
      <c r="B71" s="39" t="s">
        <v>54</v>
      </c>
      <c r="C71" s="42" t="str">
        <f aca="false">INDEX(Lists!$B$2:$B$9,MATCH(B71,Lists!$A$2:$A$9,0))</f>
        <v>Engaged in a work activity each month</v>
      </c>
      <c r="D71" s="39" t="s">
        <v>42</v>
      </c>
      <c r="E71" s="43" t="n">
        <v>273</v>
      </c>
      <c r="F71" s="39" t="n">
        <v>387</v>
      </c>
      <c r="G71" s="47" t="n">
        <f aca="false">IF(F71="",E71,IFERROR(E71/F71,""))</f>
        <v>0.705426356589147</v>
      </c>
      <c r="H71" s="47" t="n">
        <f aca="false">IF(INDEX(Lists!$C$2:$C$9,MATCH(B71,Lists!$A$2:$A$9,0))="Count",SUMIFS(Targets!$E$5:$E$36,Targets!$A$5:$A$36,A71,Targets!$B$5:$B$36,B71)/4,SUMIFS(Targets!$E$5:$E$36,Targets!$A$5:$A$36,A71,Targets!$B$5:$B$36,B71))</f>
        <v>0.7</v>
      </c>
      <c r="I71" s="47" t="n">
        <f aca="false">IFERROR(G71/H71,"")</f>
        <v>1.0077519379845</v>
      </c>
      <c r="J71" s="42" t="str">
        <f aca="false">IF(I71="","",IF(I71&gt;=1,"Met",IF(I71&gt;=0.9,"Near","Not met")))</f>
        <v>Met</v>
      </c>
    </row>
    <row r="72" customFormat="false" ht="15" hidden="false" customHeight="false" outlineLevel="0" collapsed="false">
      <c r="A72" s="39" t="s">
        <v>113</v>
      </c>
      <c r="B72" s="39" t="s">
        <v>56</v>
      </c>
      <c r="C72" s="42" t="str">
        <f aca="false">INDEX(Lists!$B$2:$B$9,MATCH(B72,Lists!$A$2:$A$9,0))</f>
        <v>Job placements</v>
      </c>
      <c r="D72" s="39" t="s">
        <v>42</v>
      </c>
      <c r="E72" s="43" t="n">
        <v>73</v>
      </c>
      <c r="F72" s="39"/>
      <c r="G72" s="46" t="n">
        <f aca="false">IF(F72="",E72,IFERROR(E72/F72,""))</f>
        <v>73</v>
      </c>
      <c r="H72" s="46" t="n">
        <f aca="false">IF(INDEX(Lists!$C$2:$C$9,MATCH(B72,Lists!$A$2:$A$9,0))="Count",SUMIFS(Targets!$E$5:$E$36,Targets!$A$5:$A$36,A72,Targets!$B$5:$B$36,B72)/4,SUMIFS(Targets!$E$5:$E$36,Targets!$A$5:$A$36,A72,Targets!$B$5:$B$36,B72))</f>
        <v>82.5</v>
      </c>
      <c r="I72" s="47" t="n">
        <f aca="false">IFERROR(G72/H72,"")</f>
        <v>0.884848484848485</v>
      </c>
      <c r="J72" s="42" t="str">
        <f aca="false">IF(I72="","",IF(I72&gt;=1,"Met",IF(I72&gt;=0.9,"Near","Not met")))</f>
        <v>Not met</v>
      </c>
    </row>
    <row r="73" customFormat="false" ht="15" hidden="false" customHeight="false" outlineLevel="0" collapsed="false">
      <c r="A73" s="39" t="s">
        <v>113</v>
      </c>
      <c r="B73" s="39" t="s">
        <v>58</v>
      </c>
      <c r="C73" s="42" t="str">
        <f aca="false">INDEX(Lists!$B$2:$B$9,MATCH(B73,Lists!$A$2:$A$9,0))</f>
        <v>Average starting wage</v>
      </c>
      <c r="D73" s="39" t="s">
        <v>42</v>
      </c>
      <c r="E73" s="48" t="n">
        <v>1083.59</v>
      </c>
      <c r="F73" s="39" t="n">
        <v>73</v>
      </c>
      <c r="G73" s="49" t="n">
        <f aca="false">IF(F73="",E73,IFERROR(E73/F73,""))</f>
        <v>14.843698630137</v>
      </c>
      <c r="H73" s="49" t="n">
        <f aca="false">IF(INDEX(Lists!$C$2:$C$9,MATCH(B73,Lists!$A$2:$A$9,0))="Count",SUMIFS(Targets!$E$5:$E$36,Targets!$A$5:$A$36,A73,Targets!$B$5:$B$36,B73)/4,SUMIFS(Targets!$E$5:$E$36,Targets!$A$5:$A$36,A73,Targets!$B$5:$B$36,B73))</f>
        <v>14.5</v>
      </c>
      <c r="I73" s="47" t="n">
        <f aca="false">IFERROR(G73/H73,"")</f>
        <v>1.02370335380255</v>
      </c>
      <c r="J73" s="42" t="str">
        <f aca="false">IF(I73="","",IF(I73&gt;=1,"Met",IF(I73&gt;=0.9,"Near","Not met")))</f>
        <v>Met</v>
      </c>
    </row>
    <row r="74" customFormat="false" ht="15" hidden="false" customHeight="false" outlineLevel="0" collapsed="false">
      <c r="A74" s="39" t="s">
        <v>113</v>
      </c>
      <c r="B74" s="39" t="s">
        <v>60</v>
      </c>
      <c r="C74" s="42" t="str">
        <f aca="false">INDEX(Lists!$B$2:$B$9,MATCH(B74,Lists!$A$2:$A$9,0))</f>
        <v>Employed 90 days after placement</v>
      </c>
      <c r="D74" s="39" t="s">
        <v>42</v>
      </c>
      <c r="E74" s="43" t="n">
        <v>42</v>
      </c>
      <c r="F74" s="39" t="n">
        <v>58</v>
      </c>
      <c r="G74" s="47" t="n">
        <f aca="false">IF(F74="",E74,IFERROR(E74/F74,""))</f>
        <v>0.724137931034483</v>
      </c>
      <c r="H74" s="47" t="n">
        <f aca="false">IF(INDEX(Lists!$C$2:$C$9,MATCH(B74,Lists!$A$2:$A$9,0))="Count",SUMIFS(Targets!$E$5:$E$36,Targets!$A$5:$A$36,A74,Targets!$B$5:$B$36,B74)/4,SUMIFS(Targets!$E$5:$E$36,Targets!$A$5:$A$36,A74,Targets!$B$5:$B$36,B74))</f>
        <v>0.75</v>
      </c>
      <c r="I74" s="47" t="n">
        <f aca="false">IFERROR(G74/H74,"")</f>
        <v>0.96551724137931</v>
      </c>
      <c r="J74" s="42" t="str">
        <f aca="false">IF(I74="","",IF(I74&gt;=1,"Met",IF(I74&gt;=0.9,"Near","Not met")))</f>
        <v>Near</v>
      </c>
    </row>
    <row r="75" customFormat="false" ht="15" hidden="false" customHeight="false" outlineLevel="0" collapsed="false">
      <c r="A75" s="39" t="s">
        <v>113</v>
      </c>
      <c r="B75" s="39" t="s">
        <v>62</v>
      </c>
      <c r="C75" s="42" t="str">
        <f aca="false">INDEX(Lists!$B$2:$B$9,MATCH(B75,Lists!$A$2:$A$9,0))</f>
        <v>Credential earned by training completers</v>
      </c>
      <c r="D75" s="39" t="s">
        <v>42</v>
      </c>
      <c r="E75" s="43" t="n">
        <v>24</v>
      </c>
      <c r="F75" s="39" t="n">
        <v>40</v>
      </c>
      <c r="G75" s="47" t="n">
        <f aca="false">IF(F75="",E75,IFERROR(E75/F75,""))</f>
        <v>0.6</v>
      </c>
      <c r="H75" s="47" t="n">
        <f aca="false">IF(INDEX(Lists!$C$2:$C$9,MATCH(B75,Lists!$A$2:$A$9,0))="Count",SUMIFS(Targets!$E$5:$E$36,Targets!$A$5:$A$36,A75,Targets!$B$5:$B$36,B75)/4,SUMIFS(Targets!$E$5:$E$36,Targets!$A$5:$A$36,A75,Targets!$B$5:$B$36,B75))</f>
        <v>0.6</v>
      </c>
      <c r="I75" s="47" t="n">
        <f aca="false">IFERROR(G75/H75,"")</f>
        <v>1</v>
      </c>
      <c r="J75" s="42" t="str">
        <f aca="false">IF(I75="","",IF(I75&gt;=1,"Met",IF(I75&gt;=0.9,"Near","Not met")))</f>
        <v>Met</v>
      </c>
    </row>
    <row r="76" customFormat="false" ht="15" hidden="false" customHeight="false" outlineLevel="0" collapsed="false">
      <c r="A76" s="39" t="s">
        <v>113</v>
      </c>
      <c r="B76" s="39" t="s">
        <v>64</v>
      </c>
      <c r="C76" s="42" t="str">
        <f aca="false">INDEX(Lists!$B$2:$B$9,MATCH(B76,Lists!$A$2:$A$9,0))</f>
        <v>Monthly reports submitted on time</v>
      </c>
      <c r="D76" s="39" t="s">
        <v>42</v>
      </c>
      <c r="E76" s="43" t="n">
        <v>3</v>
      </c>
      <c r="F76" s="39" t="n">
        <v>3</v>
      </c>
      <c r="G76" s="47" t="n">
        <f aca="false">IF(F76="",E76,IFERROR(E76/F76,""))</f>
        <v>1</v>
      </c>
      <c r="H76" s="47" t="n">
        <f aca="false">IF(INDEX(Lists!$C$2:$C$9,MATCH(B76,Lists!$A$2:$A$9,0))="Count",SUMIFS(Targets!$E$5:$E$36,Targets!$A$5:$A$36,A76,Targets!$B$5:$B$36,B76)/4,SUMIFS(Targets!$E$5:$E$36,Targets!$A$5:$A$36,A76,Targets!$B$5:$B$36,B76))</f>
        <v>1</v>
      </c>
      <c r="I76" s="47" t="n">
        <f aca="false">IFERROR(G76/H76,"")</f>
        <v>1</v>
      </c>
      <c r="J76" s="42" t="str">
        <f aca="false">IF(I76="","",IF(I76&gt;=1,"Met",IF(I76&gt;=0.9,"Near","Not met")))</f>
        <v>Met</v>
      </c>
    </row>
    <row r="77" customFormat="false" ht="15" hidden="false" customHeight="false" outlineLevel="0" collapsed="false">
      <c r="A77" s="39" t="s">
        <v>113</v>
      </c>
      <c r="B77" s="39" t="s">
        <v>50</v>
      </c>
      <c r="C77" s="42" t="str">
        <f aca="false">INDEX(Lists!$B$2:$B$9,MATCH(B77,Lists!$A$2:$A$9,0))</f>
        <v>Participants enrolled</v>
      </c>
      <c r="D77" s="39" t="s">
        <v>43</v>
      </c>
      <c r="E77" s="43" t="n">
        <v>174</v>
      </c>
      <c r="F77" s="39"/>
      <c r="G77" s="46" t="n">
        <f aca="false">IF(F77="",E77,IFERROR(E77/F77,""))</f>
        <v>174</v>
      </c>
      <c r="H77" s="46" t="n">
        <f aca="false">IF(INDEX(Lists!$C$2:$C$9,MATCH(B77,Lists!$A$2:$A$9,0))="Count",SUMIFS(Targets!$E$5:$E$36,Targets!$A$5:$A$36,A77,Targets!$B$5:$B$36,B77)/4,SUMIFS(Targets!$E$5:$E$36,Targets!$A$5:$A$36,A77,Targets!$B$5:$B$36,B77))</f>
        <v>195</v>
      </c>
      <c r="I77" s="47" t="n">
        <f aca="false">IFERROR(G77/H77,"")</f>
        <v>0.892307692307692</v>
      </c>
      <c r="J77" s="42" t="str">
        <f aca="false">IF(I77="","",IF(I77&gt;=1,"Met",IF(I77&gt;=0.9,"Near","Not met")))</f>
        <v>Not met</v>
      </c>
    </row>
    <row r="78" customFormat="false" ht="15" hidden="false" customHeight="false" outlineLevel="0" collapsed="false">
      <c r="A78" s="39" t="s">
        <v>113</v>
      </c>
      <c r="B78" s="39" t="s">
        <v>52</v>
      </c>
      <c r="C78" s="42" t="str">
        <f aca="false">INDEX(Lists!$B$2:$B$9,MATCH(B78,Lists!$A$2:$A$9,0))</f>
        <v>Assessed within 30 days of referral</v>
      </c>
      <c r="D78" s="39" t="s">
        <v>43</v>
      </c>
      <c r="E78" s="43" t="n">
        <v>139</v>
      </c>
      <c r="F78" s="39" t="n">
        <v>174</v>
      </c>
      <c r="G78" s="47" t="n">
        <f aca="false">IF(F78="",E78,IFERROR(E78/F78,""))</f>
        <v>0.798850574712644</v>
      </c>
      <c r="H78" s="47" t="n">
        <f aca="false">IF(INDEX(Lists!$C$2:$C$9,MATCH(B78,Lists!$A$2:$A$9,0))="Count",SUMIFS(Targets!$E$5:$E$36,Targets!$A$5:$A$36,A78,Targets!$B$5:$B$36,B78)/4,SUMIFS(Targets!$E$5:$E$36,Targets!$A$5:$A$36,A78,Targets!$B$5:$B$36,B78))</f>
        <v>0.9</v>
      </c>
      <c r="I78" s="47" t="n">
        <f aca="false">IFERROR(G78/H78,"")</f>
        <v>0.887611749680715</v>
      </c>
      <c r="J78" s="42" t="str">
        <f aca="false">IF(I78="","",IF(I78&gt;=1,"Met",IF(I78&gt;=0.9,"Near","Not met")))</f>
        <v>Not met</v>
      </c>
    </row>
    <row r="79" customFormat="false" ht="15" hidden="false" customHeight="false" outlineLevel="0" collapsed="false">
      <c r="A79" s="39" t="s">
        <v>113</v>
      </c>
      <c r="B79" s="39" t="s">
        <v>54</v>
      </c>
      <c r="C79" s="42" t="str">
        <f aca="false">INDEX(Lists!$B$2:$B$9,MATCH(B79,Lists!$A$2:$A$9,0))</f>
        <v>Engaged in a work activity each month</v>
      </c>
      <c r="D79" s="39" t="s">
        <v>43</v>
      </c>
      <c r="E79" s="43" t="n">
        <v>237</v>
      </c>
      <c r="F79" s="39" t="n">
        <v>355</v>
      </c>
      <c r="G79" s="47" t="n">
        <f aca="false">IF(F79="",E79,IFERROR(E79/F79,""))</f>
        <v>0.667605633802817</v>
      </c>
      <c r="H79" s="47" t="n">
        <f aca="false">IF(INDEX(Lists!$C$2:$C$9,MATCH(B79,Lists!$A$2:$A$9,0))="Count",SUMIFS(Targets!$E$5:$E$36,Targets!$A$5:$A$36,A79,Targets!$B$5:$B$36,B79)/4,SUMIFS(Targets!$E$5:$E$36,Targets!$A$5:$A$36,A79,Targets!$B$5:$B$36,B79))</f>
        <v>0.7</v>
      </c>
      <c r="I79" s="47" t="n">
        <f aca="false">IFERROR(G79/H79,"")</f>
        <v>0.953722334004024</v>
      </c>
      <c r="J79" s="42" t="str">
        <f aca="false">IF(I79="","",IF(I79&gt;=1,"Met",IF(I79&gt;=0.9,"Near","Not met")))</f>
        <v>Near</v>
      </c>
    </row>
    <row r="80" customFormat="false" ht="15" hidden="false" customHeight="false" outlineLevel="0" collapsed="false">
      <c r="A80" s="39" t="s">
        <v>113</v>
      </c>
      <c r="B80" s="39" t="s">
        <v>56</v>
      </c>
      <c r="C80" s="42" t="str">
        <f aca="false">INDEX(Lists!$B$2:$B$9,MATCH(B80,Lists!$A$2:$A$9,0))</f>
        <v>Job placements</v>
      </c>
      <c r="D80" s="39" t="s">
        <v>43</v>
      </c>
      <c r="E80" s="43" t="n">
        <v>72</v>
      </c>
      <c r="F80" s="39"/>
      <c r="G80" s="46" t="n">
        <f aca="false">IF(F80="",E80,IFERROR(E80/F80,""))</f>
        <v>72</v>
      </c>
      <c r="H80" s="46" t="n">
        <f aca="false">IF(INDEX(Lists!$C$2:$C$9,MATCH(B80,Lists!$A$2:$A$9,0))="Count",SUMIFS(Targets!$E$5:$E$36,Targets!$A$5:$A$36,A80,Targets!$B$5:$B$36,B80)/4,SUMIFS(Targets!$E$5:$E$36,Targets!$A$5:$A$36,A80,Targets!$B$5:$B$36,B80))</f>
        <v>82.5</v>
      </c>
      <c r="I80" s="47" t="n">
        <f aca="false">IFERROR(G80/H80,"")</f>
        <v>0.872727272727273</v>
      </c>
      <c r="J80" s="42" t="str">
        <f aca="false">IF(I80="","",IF(I80&gt;=1,"Met",IF(I80&gt;=0.9,"Near","Not met")))</f>
        <v>Not met</v>
      </c>
    </row>
    <row r="81" customFormat="false" ht="15" hidden="false" customHeight="false" outlineLevel="0" collapsed="false">
      <c r="A81" s="39" t="s">
        <v>113</v>
      </c>
      <c r="B81" s="39" t="s">
        <v>58</v>
      </c>
      <c r="C81" s="42" t="str">
        <f aca="false">INDEX(Lists!$B$2:$B$9,MATCH(B81,Lists!$A$2:$A$9,0))</f>
        <v>Average starting wage</v>
      </c>
      <c r="D81" s="39" t="s">
        <v>43</v>
      </c>
      <c r="E81" s="48" t="n">
        <v>1077.45</v>
      </c>
      <c r="F81" s="39" t="n">
        <v>72</v>
      </c>
      <c r="G81" s="49" t="n">
        <f aca="false">IF(F81="",E81,IFERROR(E81/F81,""))</f>
        <v>14.9645833333333</v>
      </c>
      <c r="H81" s="49" t="n">
        <f aca="false">IF(INDEX(Lists!$C$2:$C$9,MATCH(B81,Lists!$A$2:$A$9,0))="Count",SUMIFS(Targets!$E$5:$E$36,Targets!$A$5:$A$36,A81,Targets!$B$5:$B$36,B81)/4,SUMIFS(Targets!$E$5:$E$36,Targets!$A$5:$A$36,A81,Targets!$B$5:$B$36,B81))</f>
        <v>14.5</v>
      </c>
      <c r="I81" s="47" t="n">
        <f aca="false">IFERROR(G81/H81,"")</f>
        <v>1.03204022988506</v>
      </c>
      <c r="J81" s="42" t="str">
        <f aca="false">IF(I81="","",IF(I81&gt;=1,"Met",IF(I81&gt;=0.9,"Near","Not met")))</f>
        <v>Met</v>
      </c>
    </row>
    <row r="82" customFormat="false" ht="15" hidden="false" customHeight="false" outlineLevel="0" collapsed="false">
      <c r="A82" s="39" t="s">
        <v>113</v>
      </c>
      <c r="B82" s="39" t="s">
        <v>60</v>
      </c>
      <c r="C82" s="42" t="str">
        <f aca="false">INDEX(Lists!$B$2:$B$9,MATCH(B82,Lists!$A$2:$A$9,0))</f>
        <v>Employed 90 days after placement</v>
      </c>
      <c r="D82" s="39" t="s">
        <v>43</v>
      </c>
      <c r="E82" s="43" t="n">
        <v>53</v>
      </c>
      <c r="F82" s="39" t="n">
        <v>69</v>
      </c>
      <c r="G82" s="47" t="n">
        <f aca="false">IF(F82="",E82,IFERROR(E82/F82,""))</f>
        <v>0.768115942028986</v>
      </c>
      <c r="H82" s="47" t="n">
        <f aca="false">IF(INDEX(Lists!$C$2:$C$9,MATCH(B82,Lists!$A$2:$A$9,0))="Count",SUMIFS(Targets!$E$5:$E$36,Targets!$A$5:$A$36,A82,Targets!$B$5:$B$36,B82)/4,SUMIFS(Targets!$E$5:$E$36,Targets!$A$5:$A$36,A82,Targets!$B$5:$B$36,B82))</f>
        <v>0.75</v>
      </c>
      <c r="I82" s="47" t="n">
        <f aca="false">IFERROR(G82/H82,"")</f>
        <v>1.02415458937198</v>
      </c>
      <c r="J82" s="42" t="str">
        <f aca="false">IF(I82="","",IF(I82&gt;=1,"Met",IF(I82&gt;=0.9,"Near","Not met")))</f>
        <v>Met</v>
      </c>
    </row>
    <row r="83" customFormat="false" ht="15" hidden="false" customHeight="false" outlineLevel="0" collapsed="false">
      <c r="A83" s="39" t="s">
        <v>113</v>
      </c>
      <c r="B83" s="39" t="s">
        <v>62</v>
      </c>
      <c r="C83" s="42" t="str">
        <f aca="false">INDEX(Lists!$B$2:$B$9,MATCH(B83,Lists!$A$2:$A$9,0))</f>
        <v>Credential earned by training completers</v>
      </c>
      <c r="D83" s="39" t="s">
        <v>43</v>
      </c>
      <c r="E83" s="43" t="n">
        <v>23</v>
      </c>
      <c r="F83" s="39" t="n">
        <v>38</v>
      </c>
      <c r="G83" s="47" t="n">
        <f aca="false">IF(F83="",E83,IFERROR(E83/F83,""))</f>
        <v>0.605263157894737</v>
      </c>
      <c r="H83" s="47" t="n">
        <f aca="false">IF(INDEX(Lists!$C$2:$C$9,MATCH(B83,Lists!$A$2:$A$9,0))="Count",SUMIFS(Targets!$E$5:$E$36,Targets!$A$5:$A$36,A83,Targets!$B$5:$B$36,B83)/4,SUMIFS(Targets!$E$5:$E$36,Targets!$A$5:$A$36,A83,Targets!$B$5:$B$36,B83))</f>
        <v>0.6</v>
      </c>
      <c r="I83" s="47" t="n">
        <f aca="false">IFERROR(G83/H83,"")</f>
        <v>1.00877192982456</v>
      </c>
      <c r="J83" s="42" t="str">
        <f aca="false">IF(I83="","",IF(I83&gt;=1,"Met",IF(I83&gt;=0.9,"Near","Not met")))</f>
        <v>Met</v>
      </c>
    </row>
    <row r="84" customFormat="false" ht="15" hidden="false" customHeight="false" outlineLevel="0" collapsed="false">
      <c r="A84" s="39" t="s">
        <v>113</v>
      </c>
      <c r="B84" s="39" t="s">
        <v>64</v>
      </c>
      <c r="C84" s="42" t="str">
        <f aca="false">INDEX(Lists!$B$2:$B$9,MATCH(B84,Lists!$A$2:$A$9,0))</f>
        <v>Monthly reports submitted on time</v>
      </c>
      <c r="D84" s="39" t="s">
        <v>43</v>
      </c>
      <c r="E84" s="43" t="n">
        <v>3</v>
      </c>
      <c r="F84" s="39" t="n">
        <v>3</v>
      </c>
      <c r="G84" s="47" t="n">
        <f aca="false">IF(F84="",E84,IFERROR(E84/F84,""))</f>
        <v>1</v>
      </c>
      <c r="H84" s="47" t="n">
        <f aca="false">IF(INDEX(Lists!$C$2:$C$9,MATCH(B84,Lists!$A$2:$A$9,0))="Count",SUMIFS(Targets!$E$5:$E$36,Targets!$A$5:$A$36,A84,Targets!$B$5:$B$36,B84)/4,SUMIFS(Targets!$E$5:$E$36,Targets!$A$5:$A$36,A84,Targets!$B$5:$B$36,B84))</f>
        <v>1</v>
      </c>
      <c r="I84" s="47" t="n">
        <f aca="false">IFERROR(G84/H84,"")</f>
        <v>1</v>
      </c>
      <c r="J84" s="42" t="str">
        <f aca="false">IF(I84="","",IF(I84&gt;=1,"Met",IF(I84&gt;=0.9,"Near","Not met")))</f>
        <v>Met</v>
      </c>
    </row>
    <row r="85" customFormat="false" ht="15" hidden="false" customHeight="false" outlineLevel="0" collapsed="false">
      <c r="A85" s="39" t="s">
        <v>113</v>
      </c>
      <c r="B85" s="39" t="s">
        <v>50</v>
      </c>
      <c r="C85" s="42" t="str">
        <f aca="false">INDEX(Lists!$B$2:$B$9,MATCH(B85,Lists!$A$2:$A$9,0))</f>
        <v>Participants enrolled</v>
      </c>
      <c r="D85" s="39" t="s">
        <v>44</v>
      </c>
      <c r="E85" s="43" t="n">
        <v>193</v>
      </c>
      <c r="F85" s="39"/>
      <c r="G85" s="46" t="n">
        <f aca="false">IF(F85="",E85,IFERROR(E85/F85,""))</f>
        <v>193</v>
      </c>
      <c r="H85" s="46" t="n">
        <f aca="false">IF(INDEX(Lists!$C$2:$C$9,MATCH(B85,Lists!$A$2:$A$9,0))="Count",SUMIFS(Targets!$E$5:$E$36,Targets!$A$5:$A$36,A85,Targets!$B$5:$B$36,B85)/4,SUMIFS(Targets!$E$5:$E$36,Targets!$A$5:$A$36,A85,Targets!$B$5:$B$36,B85))</f>
        <v>195</v>
      </c>
      <c r="I85" s="47" t="n">
        <f aca="false">IFERROR(G85/H85,"")</f>
        <v>0.98974358974359</v>
      </c>
      <c r="J85" s="42" t="str">
        <f aca="false">IF(I85="","",IF(I85&gt;=1,"Met",IF(I85&gt;=0.9,"Near","Not met")))</f>
        <v>Near</v>
      </c>
    </row>
    <row r="86" customFormat="false" ht="15" hidden="false" customHeight="false" outlineLevel="0" collapsed="false">
      <c r="A86" s="39" t="s">
        <v>113</v>
      </c>
      <c r="B86" s="39" t="s">
        <v>52</v>
      </c>
      <c r="C86" s="42" t="str">
        <f aca="false">INDEX(Lists!$B$2:$B$9,MATCH(B86,Lists!$A$2:$A$9,0))</f>
        <v>Assessed within 30 days of referral</v>
      </c>
      <c r="D86" s="39" t="s">
        <v>44</v>
      </c>
      <c r="E86" s="43" t="n">
        <v>156</v>
      </c>
      <c r="F86" s="39" t="n">
        <v>193</v>
      </c>
      <c r="G86" s="47" t="n">
        <f aca="false">IF(F86="",E86,IFERROR(E86/F86,""))</f>
        <v>0.808290155440415</v>
      </c>
      <c r="H86" s="47" t="n">
        <f aca="false">IF(INDEX(Lists!$C$2:$C$9,MATCH(B86,Lists!$A$2:$A$9,0))="Count",SUMIFS(Targets!$E$5:$E$36,Targets!$A$5:$A$36,A86,Targets!$B$5:$B$36,B86)/4,SUMIFS(Targets!$E$5:$E$36,Targets!$A$5:$A$36,A86,Targets!$B$5:$B$36,B86))</f>
        <v>0.9</v>
      </c>
      <c r="I86" s="47" t="n">
        <f aca="false">IFERROR(G86/H86,"")</f>
        <v>0.898100172711572</v>
      </c>
      <c r="J86" s="42" t="str">
        <f aca="false">IF(I86="","",IF(I86&gt;=1,"Met",IF(I86&gt;=0.9,"Near","Not met")))</f>
        <v>Not met</v>
      </c>
    </row>
    <row r="87" customFormat="false" ht="15" hidden="false" customHeight="false" outlineLevel="0" collapsed="false">
      <c r="A87" s="39" t="s">
        <v>113</v>
      </c>
      <c r="B87" s="39" t="s">
        <v>54</v>
      </c>
      <c r="C87" s="42" t="str">
        <f aca="false">INDEX(Lists!$B$2:$B$9,MATCH(B87,Lists!$A$2:$A$9,0))</f>
        <v>Engaged in a work activity each month</v>
      </c>
      <c r="D87" s="39" t="s">
        <v>44</v>
      </c>
      <c r="E87" s="43" t="n">
        <v>271</v>
      </c>
      <c r="F87" s="39" t="n">
        <v>420</v>
      </c>
      <c r="G87" s="47" t="n">
        <f aca="false">IF(F87="",E87,IFERROR(E87/F87,""))</f>
        <v>0.645238095238095</v>
      </c>
      <c r="H87" s="47" t="n">
        <f aca="false">IF(INDEX(Lists!$C$2:$C$9,MATCH(B87,Lists!$A$2:$A$9,0))="Count",SUMIFS(Targets!$E$5:$E$36,Targets!$A$5:$A$36,A87,Targets!$B$5:$B$36,B87)/4,SUMIFS(Targets!$E$5:$E$36,Targets!$A$5:$A$36,A87,Targets!$B$5:$B$36,B87))</f>
        <v>0.7</v>
      </c>
      <c r="I87" s="47" t="n">
        <f aca="false">IFERROR(G87/H87,"")</f>
        <v>0.921768707482993</v>
      </c>
      <c r="J87" s="42" t="str">
        <f aca="false">IF(I87="","",IF(I87&gt;=1,"Met",IF(I87&gt;=0.9,"Near","Not met")))</f>
        <v>Near</v>
      </c>
    </row>
    <row r="88" customFormat="false" ht="15" hidden="false" customHeight="false" outlineLevel="0" collapsed="false">
      <c r="A88" s="39" t="s">
        <v>113</v>
      </c>
      <c r="B88" s="39" t="s">
        <v>56</v>
      </c>
      <c r="C88" s="42" t="str">
        <f aca="false">INDEX(Lists!$B$2:$B$9,MATCH(B88,Lists!$A$2:$A$9,0))</f>
        <v>Job placements</v>
      </c>
      <c r="D88" s="39" t="s">
        <v>44</v>
      </c>
      <c r="E88" s="43" t="n">
        <v>71</v>
      </c>
      <c r="F88" s="39"/>
      <c r="G88" s="46" t="n">
        <f aca="false">IF(F88="",E88,IFERROR(E88/F88,""))</f>
        <v>71</v>
      </c>
      <c r="H88" s="46" t="n">
        <f aca="false">IF(INDEX(Lists!$C$2:$C$9,MATCH(B88,Lists!$A$2:$A$9,0))="Count",SUMIFS(Targets!$E$5:$E$36,Targets!$A$5:$A$36,A88,Targets!$B$5:$B$36,B88)/4,SUMIFS(Targets!$E$5:$E$36,Targets!$A$5:$A$36,A88,Targets!$B$5:$B$36,B88))</f>
        <v>82.5</v>
      </c>
      <c r="I88" s="47" t="n">
        <f aca="false">IFERROR(G88/H88,"")</f>
        <v>0.860606060606061</v>
      </c>
      <c r="J88" s="42" t="str">
        <f aca="false">IF(I88="","",IF(I88&gt;=1,"Met",IF(I88&gt;=0.9,"Near","Not met")))</f>
        <v>Not met</v>
      </c>
    </row>
    <row r="89" customFormat="false" ht="15" hidden="false" customHeight="false" outlineLevel="0" collapsed="false">
      <c r="A89" s="39" t="s">
        <v>113</v>
      </c>
      <c r="B89" s="39" t="s">
        <v>58</v>
      </c>
      <c r="C89" s="42" t="str">
        <f aca="false">INDEX(Lists!$B$2:$B$9,MATCH(B89,Lists!$A$2:$A$9,0))</f>
        <v>Average starting wage</v>
      </c>
      <c r="D89" s="39" t="s">
        <v>44</v>
      </c>
      <c r="E89" s="48" t="n">
        <v>1046.95</v>
      </c>
      <c r="F89" s="39" t="n">
        <v>71</v>
      </c>
      <c r="G89" s="49" t="n">
        <f aca="false">IF(F89="",E89,IFERROR(E89/F89,""))</f>
        <v>14.7457746478873</v>
      </c>
      <c r="H89" s="49" t="n">
        <f aca="false">IF(INDEX(Lists!$C$2:$C$9,MATCH(B89,Lists!$A$2:$A$9,0))="Count",SUMIFS(Targets!$E$5:$E$36,Targets!$A$5:$A$36,A89,Targets!$B$5:$B$36,B89)/4,SUMIFS(Targets!$E$5:$E$36,Targets!$A$5:$A$36,A89,Targets!$B$5:$B$36,B89))</f>
        <v>14.5</v>
      </c>
      <c r="I89" s="47" t="n">
        <f aca="false">IFERROR(G89/H89,"")</f>
        <v>1.01694997571637</v>
      </c>
      <c r="J89" s="42" t="str">
        <f aca="false">IF(I89="","",IF(I89&gt;=1,"Met",IF(I89&gt;=0.9,"Near","Not met")))</f>
        <v>Met</v>
      </c>
    </row>
    <row r="90" customFormat="false" ht="15" hidden="false" customHeight="false" outlineLevel="0" collapsed="false">
      <c r="A90" s="39" t="s">
        <v>113</v>
      </c>
      <c r="B90" s="39" t="s">
        <v>60</v>
      </c>
      <c r="C90" s="42" t="str">
        <f aca="false">INDEX(Lists!$B$2:$B$9,MATCH(B90,Lists!$A$2:$A$9,0))</f>
        <v>Employed 90 days after placement</v>
      </c>
      <c r="D90" s="39" t="s">
        <v>44</v>
      </c>
      <c r="E90" s="43" t="n">
        <v>56</v>
      </c>
      <c r="F90" s="39" t="n">
        <v>68</v>
      </c>
      <c r="G90" s="47" t="n">
        <f aca="false">IF(F90="",E90,IFERROR(E90/F90,""))</f>
        <v>0.823529411764706</v>
      </c>
      <c r="H90" s="47" t="n">
        <f aca="false">IF(INDEX(Lists!$C$2:$C$9,MATCH(B90,Lists!$A$2:$A$9,0))="Count",SUMIFS(Targets!$E$5:$E$36,Targets!$A$5:$A$36,A90,Targets!$B$5:$B$36,B90)/4,SUMIFS(Targets!$E$5:$E$36,Targets!$A$5:$A$36,A90,Targets!$B$5:$B$36,B90))</f>
        <v>0.75</v>
      </c>
      <c r="I90" s="47" t="n">
        <f aca="false">IFERROR(G90/H90,"")</f>
        <v>1.09803921568627</v>
      </c>
      <c r="J90" s="42" t="str">
        <f aca="false">IF(I90="","",IF(I90&gt;=1,"Met",IF(I90&gt;=0.9,"Near","Not met")))</f>
        <v>Met</v>
      </c>
    </row>
    <row r="91" customFormat="false" ht="15" hidden="false" customHeight="false" outlineLevel="0" collapsed="false">
      <c r="A91" s="39" t="s">
        <v>113</v>
      </c>
      <c r="B91" s="39" t="s">
        <v>62</v>
      </c>
      <c r="C91" s="42" t="str">
        <f aca="false">INDEX(Lists!$B$2:$B$9,MATCH(B91,Lists!$A$2:$A$9,0))</f>
        <v>Credential earned by training completers</v>
      </c>
      <c r="D91" s="39" t="s">
        <v>44</v>
      </c>
      <c r="E91" s="43" t="n">
        <v>26</v>
      </c>
      <c r="F91" s="39" t="n">
        <v>42</v>
      </c>
      <c r="G91" s="47" t="n">
        <f aca="false">IF(F91="",E91,IFERROR(E91/F91,""))</f>
        <v>0.619047619047619</v>
      </c>
      <c r="H91" s="47" t="n">
        <f aca="false">IF(INDEX(Lists!$C$2:$C$9,MATCH(B91,Lists!$A$2:$A$9,0))="Count",SUMIFS(Targets!$E$5:$E$36,Targets!$A$5:$A$36,A91,Targets!$B$5:$B$36,B91)/4,SUMIFS(Targets!$E$5:$E$36,Targets!$A$5:$A$36,A91,Targets!$B$5:$B$36,B91))</f>
        <v>0.6</v>
      </c>
      <c r="I91" s="47" t="n">
        <f aca="false">IFERROR(G91/H91,"")</f>
        <v>1.03174603174603</v>
      </c>
      <c r="J91" s="42" t="str">
        <f aca="false">IF(I91="","",IF(I91&gt;=1,"Met",IF(I91&gt;=0.9,"Near","Not met")))</f>
        <v>Met</v>
      </c>
    </row>
    <row r="92" customFormat="false" ht="15" hidden="false" customHeight="false" outlineLevel="0" collapsed="false">
      <c r="A92" s="39" t="s">
        <v>113</v>
      </c>
      <c r="B92" s="39" t="s">
        <v>64</v>
      </c>
      <c r="C92" s="42" t="str">
        <f aca="false">INDEX(Lists!$B$2:$B$9,MATCH(B92,Lists!$A$2:$A$9,0))</f>
        <v>Monthly reports submitted on time</v>
      </c>
      <c r="D92" s="39" t="s">
        <v>44</v>
      </c>
      <c r="E92" s="43" t="n">
        <v>3</v>
      </c>
      <c r="F92" s="39" t="n">
        <v>3</v>
      </c>
      <c r="G92" s="47" t="n">
        <f aca="false">IF(F92="",E92,IFERROR(E92/F92,""))</f>
        <v>1</v>
      </c>
      <c r="H92" s="47" t="n">
        <f aca="false">IF(INDEX(Lists!$C$2:$C$9,MATCH(B92,Lists!$A$2:$A$9,0))="Count",SUMIFS(Targets!$E$5:$E$36,Targets!$A$5:$A$36,A92,Targets!$B$5:$B$36,B92)/4,SUMIFS(Targets!$E$5:$E$36,Targets!$A$5:$A$36,A92,Targets!$B$5:$B$36,B92))</f>
        <v>1</v>
      </c>
      <c r="I92" s="47" t="n">
        <f aca="false">IFERROR(G92/H92,"")</f>
        <v>1</v>
      </c>
      <c r="J92" s="42" t="str">
        <f aca="false">IF(I92="","",IF(I92&gt;=1,"Met",IF(I92&gt;=0.9,"Near","Not met")))</f>
        <v>Met</v>
      </c>
    </row>
    <row r="93" customFormat="false" ht="15" hidden="false" customHeight="false" outlineLevel="0" collapsed="false">
      <c r="A93" s="39" t="s">
        <v>113</v>
      </c>
      <c r="B93" s="39" t="s">
        <v>50</v>
      </c>
      <c r="C93" s="42" t="str">
        <f aca="false">INDEX(Lists!$B$2:$B$9,MATCH(B93,Lists!$A$2:$A$9,0))</f>
        <v>Participants enrolled</v>
      </c>
      <c r="D93" s="39" t="s">
        <v>45</v>
      </c>
      <c r="E93" s="43" t="n">
        <v>206</v>
      </c>
      <c r="F93" s="39"/>
      <c r="G93" s="46" t="n">
        <f aca="false">IF(F93="",E93,IFERROR(E93/F93,""))</f>
        <v>206</v>
      </c>
      <c r="H93" s="46" t="n">
        <f aca="false">IF(INDEX(Lists!$C$2:$C$9,MATCH(B93,Lists!$A$2:$A$9,0))="Count",SUMIFS(Targets!$E$5:$E$36,Targets!$A$5:$A$36,A93,Targets!$B$5:$B$36,B93)/4,SUMIFS(Targets!$E$5:$E$36,Targets!$A$5:$A$36,A93,Targets!$B$5:$B$36,B93))</f>
        <v>195</v>
      </c>
      <c r="I93" s="47" t="n">
        <f aca="false">IFERROR(G93/H93,"")</f>
        <v>1.05641025641026</v>
      </c>
      <c r="J93" s="42" t="str">
        <f aca="false">IF(I93="","",IF(I93&gt;=1,"Met",IF(I93&gt;=0.9,"Near","Not met")))</f>
        <v>Met</v>
      </c>
    </row>
    <row r="94" customFormat="false" ht="15" hidden="false" customHeight="false" outlineLevel="0" collapsed="false">
      <c r="A94" s="39" t="s">
        <v>113</v>
      </c>
      <c r="B94" s="39" t="s">
        <v>52</v>
      </c>
      <c r="C94" s="42" t="str">
        <f aca="false">INDEX(Lists!$B$2:$B$9,MATCH(B94,Lists!$A$2:$A$9,0))</f>
        <v>Assessed within 30 days of referral</v>
      </c>
      <c r="D94" s="39" t="s">
        <v>45</v>
      </c>
      <c r="E94" s="43" t="n">
        <v>157</v>
      </c>
      <c r="F94" s="39" t="n">
        <v>206</v>
      </c>
      <c r="G94" s="47" t="n">
        <f aca="false">IF(F94="",E94,IFERROR(E94/F94,""))</f>
        <v>0.762135922330097</v>
      </c>
      <c r="H94" s="47" t="n">
        <f aca="false">IF(INDEX(Lists!$C$2:$C$9,MATCH(B94,Lists!$A$2:$A$9,0))="Count",SUMIFS(Targets!$E$5:$E$36,Targets!$A$5:$A$36,A94,Targets!$B$5:$B$36,B94)/4,SUMIFS(Targets!$E$5:$E$36,Targets!$A$5:$A$36,A94,Targets!$B$5:$B$36,B94))</f>
        <v>0.9</v>
      </c>
      <c r="I94" s="47" t="n">
        <f aca="false">IFERROR(G94/H94,"")</f>
        <v>0.846817691477886</v>
      </c>
      <c r="J94" s="42" t="str">
        <f aca="false">IF(I94="","",IF(I94&gt;=1,"Met",IF(I94&gt;=0.9,"Near","Not met")))</f>
        <v>Not met</v>
      </c>
    </row>
    <row r="95" customFormat="false" ht="15" hidden="false" customHeight="false" outlineLevel="0" collapsed="false">
      <c r="A95" s="39" t="s">
        <v>113</v>
      </c>
      <c r="B95" s="39" t="s">
        <v>54</v>
      </c>
      <c r="C95" s="42" t="str">
        <f aca="false">INDEX(Lists!$B$2:$B$9,MATCH(B95,Lists!$A$2:$A$9,0))</f>
        <v>Engaged in a work activity each month</v>
      </c>
      <c r="D95" s="39" t="s">
        <v>45</v>
      </c>
      <c r="E95" s="43" t="n">
        <v>259</v>
      </c>
      <c r="F95" s="39" t="n">
        <v>433</v>
      </c>
      <c r="G95" s="47" t="n">
        <f aca="false">IF(F95="",E95,IFERROR(E95/F95,""))</f>
        <v>0.598152424942263</v>
      </c>
      <c r="H95" s="47" t="n">
        <f aca="false">IF(INDEX(Lists!$C$2:$C$9,MATCH(B95,Lists!$A$2:$A$9,0))="Count",SUMIFS(Targets!$E$5:$E$36,Targets!$A$5:$A$36,A95,Targets!$B$5:$B$36,B95)/4,SUMIFS(Targets!$E$5:$E$36,Targets!$A$5:$A$36,A95,Targets!$B$5:$B$36,B95))</f>
        <v>0.7</v>
      </c>
      <c r="I95" s="47" t="n">
        <f aca="false">IFERROR(G95/H95,"")</f>
        <v>0.854503464203233</v>
      </c>
      <c r="J95" s="42" t="str">
        <f aca="false">IF(I95="","",IF(I95&gt;=1,"Met",IF(I95&gt;=0.9,"Near","Not met")))</f>
        <v>Not met</v>
      </c>
    </row>
    <row r="96" customFormat="false" ht="15" hidden="false" customHeight="false" outlineLevel="0" collapsed="false">
      <c r="A96" s="39" t="s">
        <v>113</v>
      </c>
      <c r="B96" s="39" t="s">
        <v>56</v>
      </c>
      <c r="C96" s="42" t="str">
        <f aca="false">INDEX(Lists!$B$2:$B$9,MATCH(B96,Lists!$A$2:$A$9,0))</f>
        <v>Job placements</v>
      </c>
      <c r="D96" s="39" t="s">
        <v>45</v>
      </c>
      <c r="E96" s="43" t="n">
        <v>78</v>
      </c>
      <c r="F96" s="39"/>
      <c r="G96" s="46" t="n">
        <f aca="false">IF(F96="",E96,IFERROR(E96/F96,""))</f>
        <v>78</v>
      </c>
      <c r="H96" s="46" t="n">
        <f aca="false">IF(INDEX(Lists!$C$2:$C$9,MATCH(B96,Lists!$A$2:$A$9,0))="Count",SUMIFS(Targets!$E$5:$E$36,Targets!$A$5:$A$36,A96,Targets!$B$5:$B$36,B96)/4,SUMIFS(Targets!$E$5:$E$36,Targets!$A$5:$A$36,A96,Targets!$B$5:$B$36,B96))</f>
        <v>82.5</v>
      </c>
      <c r="I96" s="47" t="n">
        <f aca="false">IFERROR(G96/H96,"")</f>
        <v>0.945454545454545</v>
      </c>
      <c r="J96" s="42" t="str">
        <f aca="false">IF(I96="","",IF(I96&gt;=1,"Met",IF(I96&gt;=0.9,"Near","Not met")))</f>
        <v>Near</v>
      </c>
    </row>
    <row r="97" customFormat="false" ht="15" hidden="false" customHeight="false" outlineLevel="0" collapsed="false">
      <c r="A97" s="39" t="s">
        <v>113</v>
      </c>
      <c r="B97" s="39" t="s">
        <v>58</v>
      </c>
      <c r="C97" s="42" t="str">
        <f aca="false">INDEX(Lists!$B$2:$B$9,MATCH(B97,Lists!$A$2:$A$9,0))</f>
        <v>Average starting wage</v>
      </c>
      <c r="D97" s="39" t="s">
        <v>45</v>
      </c>
      <c r="E97" s="48" t="n">
        <v>1176.4</v>
      </c>
      <c r="F97" s="39" t="n">
        <v>78</v>
      </c>
      <c r="G97" s="49" t="n">
        <f aca="false">IF(F97="",E97,IFERROR(E97/F97,""))</f>
        <v>15.0820512820513</v>
      </c>
      <c r="H97" s="49" t="n">
        <f aca="false">IF(INDEX(Lists!$C$2:$C$9,MATCH(B97,Lists!$A$2:$A$9,0))="Count",SUMIFS(Targets!$E$5:$E$36,Targets!$A$5:$A$36,A97,Targets!$B$5:$B$36,B97)/4,SUMIFS(Targets!$E$5:$E$36,Targets!$A$5:$A$36,A97,Targets!$B$5:$B$36,B97))</f>
        <v>14.5</v>
      </c>
      <c r="I97" s="47" t="n">
        <f aca="false">IFERROR(G97/H97,"")</f>
        <v>1.04014146772767</v>
      </c>
      <c r="J97" s="42" t="str">
        <f aca="false">IF(I97="","",IF(I97&gt;=1,"Met",IF(I97&gt;=0.9,"Near","Not met")))</f>
        <v>Met</v>
      </c>
    </row>
    <row r="98" customFormat="false" ht="15" hidden="false" customHeight="false" outlineLevel="0" collapsed="false">
      <c r="A98" s="39" t="s">
        <v>113</v>
      </c>
      <c r="B98" s="39" t="s">
        <v>60</v>
      </c>
      <c r="C98" s="42" t="str">
        <f aca="false">INDEX(Lists!$B$2:$B$9,MATCH(B98,Lists!$A$2:$A$9,0))</f>
        <v>Employed 90 days after placement</v>
      </c>
      <c r="D98" s="39" t="s">
        <v>45</v>
      </c>
      <c r="E98" s="43" t="n">
        <v>50</v>
      </c>
      <c r="F98" s="39" t="n">
        <v>67</v>
      </c>
      <c r="G98" s="47" t="n">
        <f aca="false">IF(F98="",E98,IFERROR(E98/F98,""))</f>
        <v>0.746268656716418</v>
      </c>
      <c r="H98" s="47" t="n">
        <f aca="false">IF(INDEX(Lists!$C$2:$C$9,MATCH(B98,Lists!$A$2:$A$9,0))="Count",SUMIFS(Targets!$E$5:$E$36,Targets!$A$5:$A$36,A98,Targets!$B$5:$B$36,B98)/4,SUMIFS(Targets!$E$5:$E$36,Targets!$A$5:$A$36,A98,Targets!$B$5:$B$36,B98))</f>
        <v>0.75</v>
      </c>
      <c r="I98" s="47" t="n">
        <f aca="false">IFERROR(G98/H98,"")</f>
        <v>0.995024875621891</v>
      </c>
      <c r="J98" s="42" t="str">
        <f aca="false">IF(I98="","",IF(I98&gt;=1,"Met",IF(I98&gt;=0.9,"Near","Not met")))</f>
        <v>Near</v>
      </c>
    </row>
    <row r="99" customFormat="false" ht="15" hidden="false" customHeight="false" outlineLevel="0" collapsed="false">
      <c r="A99" s="39" t="s">
        <v>113</v>
      </c>
      <c r="B99" s="39" t="s">
        <v>62</v>
      </c>
      <c r="C99" s="42" t="str">
        <f aca="false">INDEX(Lists!$B$2:$B$9,MATCH(B99,Lists!$A$2:$A$9,0))</f>
        <v>Credential earned by training completers</v>
      </c>
      <c r="D99" s="39" t="s">
        <v>45</v>
      </c>
      <c r="E99" s="43" t="n">
        <v>27</v>
      </c>
      <c r="F99" s="39" t="n">
        <v>45</v>
      </c>
      <c r="G99" s="47" t="n">
        <f aca="false">IF(F99="",E99,IFERROR(E99/F99,""))</f>
        <v>0.6</v>
      </c>
      <c r="H99" s="47" t="n">
        <f aca="false">IF(INDEX(Lists!$C$2:$C$9,MATCH(B99,Lists!$A$2:$A$9,0))="Count",SUMIFS(Targets!$E$5:$E$36,Targets!$A$5:$A$36,A99,Targets!$B$5:$B$36,B99)/4,SUMIFS(Targets!$E$5:$E$36,Targets!$A$5:$A$36,A99,Targets!$B$5:$B$36,B99))</f>
        <v>0.6</v>
      </c>
      <c r="I99" s="47" t="n">
        <f aca="false">IFERROR(G99/H99,"")</f>
        <v>1</v>
      </c>
      <c r="J99" s="42" t="str">
        <f aca="false">IF(I99="","",IF(I99&gt;=1,"Met",IF(I99&gt;=0.9,"Near","Not met")))</f>
        <v>Met</v>
      </c>
    </row>
    <row r="100" customFormat="false" ht="15" hidden="false" customHeight="false" outlineLevel="0" collapsed="false">
      <c r="A100" s="39" t="s">
        <v>113</v>
      </c>
      <c r="B100" s="39" t="s">
        <v>64</v>
      </c>
      <c r="C100" s="42" t="str">
        <f aca="false">INDEX(Lists!$B$2:$B$9,MATCH(B100,Lists!$A$2:$A$9,0))</f>
        <v>Monthly reports submitted on time</v>
      </c>
      <c r="D100" s="39" t="s">
        <v>45</v>
      </c>
      <c r="E100" s="43" t="n">
        <v>2</v>
      </c>
      <c r="F100" s="39" t="n">
        <v>3</v>
      </c>
      <c r="G100" s="47" t="n">
        <f aca="false">IF(F100="",E100,IFERROR(E100/F100,""))</f>
        <v>0.666666666666667</v>
      </c>
      <c r="H100" s="47" t="n">
        <f aca="false">IF(INDEX(Lists!$C$2:$C$9,MATCH(B100,Lists!$A$2:$A$9,0))="Count",SUMIFS(Targets!$E$5:$E$36,Targets!$A$5:$A$36,A100,Targets!$B$5:$B$36,B100)/4,SUMIFS(Targets!$E$5:$E$36,Targets!$A$5:$A$36,A100,Targets!$B$5:$B$36,B100))</f>
        <v>1</v>
      </c>
      <c r="I100" s="47" t="n">
        <f aca="false">IFERROR(G100/H100,"")</f>
        <v>0.666666666666667</v>
      </c>
      <c r="J100" s="42" t="str">
        <f aca="false">IF(I100="","",IF(I100&gt;=1,"Met",IF(I100&gt;=0.9,"Near","Not met")))</f>
        <v>Not met</v>
      </c>
    </row>
    <row r="101" customFormat="false" ht="15" hidden="false" customHeight="false" outlineLevel="0" collapsed="false">
      <c r="A101" s="39" t="s">
        <v>117</v>
      </c>
      <c r="B101" s="39" t="s">
        <v>50</v>
      </c>
      <c r="C101" s="42" t="str">
        <f aca="false">INDEX(Lists!$B$2:$B$9,MATCH(B101,Lists!$A$2:$A$9,0))</f>
        <v>Participants enrolled</v>
      </c>
      <c r="D101" s="39" t="s">
        <v>42</v>
      </c>
      <c r="E101" s="43" t="n">
        <v>40</v>
      </c>
      <c r="F101" s="39"/>
      <c r="G101" s="46" t="n">
        <f aca="false">IF(F101="",E101,IFERROR(E101/F101,""))</f>
        <v>40</v>
      </c>
      <c r="H101" s="46" t="n">
        <f aca="false">IF(INDEX(Lists!$C$2:$C$9,MATCH(B101,Lists!$A$2:$A$9,0))="Count",SUMIFS(Targets!$E$5:$E$36,Targets!$A$5:$A$36,A101,Targets!$B$5:$B$36,B101)/4,SUMIFS(Targets!$E$5:$E$36,Targets!$A$5:$A$36,A101,Targets!$B$5:$B$36,B101))</f>
        <v>75</v>
      </c>
      <c r="I101" s="47" t="n">
        <f aca="false">IFERROR(G101/H101,"")</f>
        <v>0.533333333333333</v>
      </c>
      <c r="J101" s="42" t="str">
        <f aca="false">IF(I101="","",IF(I101&gt;=1,"Met",IF(I101&gt;=0.9,"Near","Not met")))</f>
        <v>Not met</v>
      </c>
    </row>
    <row r="102" customFormat="false" ht="15" hidden="false" customHeight="false" outlineLevel="0" collapsed="false">
      <c r="A102" s="39" t="s">
        <v>117</v>
      </c>
      <c r="B102" s="39" t="s">
        <v>52</v>
      </c>
      <c r="C102" s="42" t="str">
        <f aca="false">INDEX(Lists!$B$2:$B$9,MATCH(B102,Lists!$A$2:$A$9,0))</f>
        <v>Assessed within 30 days of referral</v>
      </c>
      <c r="D102" s="39" t="s">
        <v>42</v>
      </c>
      <c r="E102" s="43" t="n">
        <v>38</v>
      </c>
      <c r="F102" s="39" t="n">
        <v>40</v>
      </c>
      <c r="G102" s="47" t="n">
        <f aca="false">IF(F102="",E102,IFERROR(E102/F102,""))</f>
        <v>0.95</v>
      </c>
      <c r="H102" s="47" t="n">
        <f aca="false">IF(INDEX(Lists!$C$2:$C$9,MATCH(B102,Lists!$A$2:$A$9,0))="Count",SUMIFS(Targets!$E$5:$E$36,Targets!$A$5:$A$36,A102,Targets!$B$5:$B$36,B102)/4,SUMIFS(Targets!$E$5:$E$36,Targets!$A$5:$A$36,A102,Targets!$B$5:$B$36,B102))</f>
        <v>0.9</v>
      </c>
      <c r="I102" s="47" t="n">
        <f aca="false">IFERROR(G102/H102,"")</f>
        <v>1.05555555555556</v>
      </c>
      <c r="J102" s="42" t="str">
        <f aca="false">IF(I102="","",IF(I102&gt;=1,"Met",IF(I102&gt;=0.9,"Near","Not met")))</f>
        <v>Met</v>
      </c>
    </row>
    <row r="103" customFormat="false" ht="15" hidden="false" customHeight="false" outlineLevel="0" collapsed="false">
      <c r="A103" s="39" t="s">
        <v>117</v>
      </c>
      <c r="B103" s="39" t="s">
        <v>54</v>
      </c>
      <c r="C103" s="42" t="str">
        <f aca="false">INDEX(Lists!$B$2:$B$9,MATCH(B103,Lists!$A$2:$A$9,0))</f>
        <v>Engaged in a work activity each month</v>
      </c>
      <c r="D103" s="39" t="s">
        <v>42</v>
      </c>
      <c r="E103" s="43" t="n">
        <v>71</v>
      </c>
      <c r="F103" s="39" t="n">
        <v>99</v>
      </c>
      <c r="G103" s="47" t="n">
        <f aca="false">IF(F103="",E103,IFERROR(E103/F103,""))</f>
        <v>0.717171717171717</v>
      </c>
      <c r="H103" s="47" t="n">
        <f aca="false">IF(INDEX(Lists!$C$2:$C$9,MATCH(B103,Lists!$A$2:$A$9,0))="Count",SUMIFS(Targets!$E$5:$E$36,Targets!$A$5:$A$36,A103,Targets!$B$5:$B$36,B103)/4,SUMIFS(Targets!$E$5:$E$36,Targets!$A$5:$A$36,A103,Targets!$B$5:$B$36,B103))</f>
        <v>0.7</v>
      </c>
      <c r="I103" s="47" t="n">
        <f aca="false">IFERROR(G103/H103,"")</f>
        <v>1.02453102453102</v>
      </c>
      <c r="J103" s="42" t="str">
        <f aca="false">IF(I103="","",IF(I103&gt;=1,"Met",IF(I103&gt;=0.9,"Near","Not met")))</f>
        <v>Met</v>
      </c>
    </row>
    <row r="104" customFormat="false" ht="15" hidden="false" customHeight="false" outlineLevel="0" collapsed="false">
      <c r="A104" s="39" t="s">
        <v>117</v>
      </c>
      <c r="B104" s="39" t="s">
        <v>56</v>
      </c>
      <c r="C104" s="42" t="str">
        <f aca="false">INDEX(Lists!$B$2:$B$9,MATCH(B104,Lists!$A$2:$A$9,0))</f>
        <v>Job placements</v>
      </c>
      <c r="D104" s="39" t="s">
        <v>42</v>
      </c>
      <c r="E104" s="43" t="n">
        <v>15</v>
      </c>
      <c r="F104" s="39"/>
      <c r="G104" s="46" t="n">
        <f aca="false">IF(F104="",E104,IFERROR(E104/F104,""))</f>
        <v>15</v>
      </c>
      <c r="H104" s="46" t="n">
        <f aca="false">IF(INDEX(Lists!$C$2:$C$9,MATCH(B104,Lists!$A$2:$A$9,0))="Count",SUMIFS(Targets!$E$5:$E$36,Targets!$A$5:$A$36,A104,Targets!$B$5:$B$36,B104)/4,SUMIFS(Targets!$E$5:$E$36,Targets!$A$5:$A$36,A104,Targets!$B$5:$B$36,B104))</f>
        <v>27.5</v>
      </c>
      <c r="I104" s="47" t="n">
        <f aca="false">IFERROR(G104/H104,"")</f>
        <v>0.545454545454545</v>
      </c>
      <c r="J104" s="42" t="str">
        <f aca="false">IF(I104="","",IF(I104&gt;=1,"Met",IF(I104&gt;=0.9,"Near","Not met")))</f>
        <v>Not met</v>
      </c>
    </row>
    <row r="105" customFormat="false" ht="15" hidden="false" customHeight="false" outlineLevel="0" collapsed="false">
      <c r="A105" s="39" t="s">
        <v>117</v>
      </c>
      <c r="B105" s="39" t="s">
        <v>58</v>
      </c>
      <c r="C105" s="42" t="str">
        <f aca="false">INDEX(Lists!$B$2:$B$9,MATCH(B105,Lists!$A$2:$A$9,0))</f>
        <v>Average starting wage</v>
      </c>
      <c r="D105" s="39" t="s">
        <v>42</v>
      </c>
      <c r="E105" s="48" t="n">
        <v>230.97</v>
      </c>
      <c r="F105" s="39" t="n">
        <v>15</v>
      </c>
      <c r="G105" s="49" t="n">
        <f aca="false">IF(F105="",E105,IFERROR(E105/F105,""))</f>
        <v>15.398</v>
      </c>
      <c r="H105" s="49" t="n">
        <f aca="false">IF(INDEX(Lists!$C$2:$C$9,MATCH(B105,Lists!$A$2:$A$9,0))="Count",SUMIFS(Targets!$E$5:$E$36,Targets!$A$5:$A$36,A105,Targets!$B$5:$B$36,B105)/4,SUMIFS(Targets!$E$5:$E$36,Targets!$A$5:$A$36,A105,Targets!$B$5:$B$36,B105))</f>
        <v>14.5</v>
      </c>
      <c r="I105" s="47" t="n">
        <f aca="false">IFERROR(G105/H105,"")</f>
        <v>1.06193103448276</v>
      </c>
      <c r="J105" s="42" t="str">
        <f aca="false">IF(I105="","",IF(I105&gt;=1,"Met",IF(I105&gt;=0.9,"Near","Not met")))</f>
        <v>Met</v>
      </c>
    </row>
    <row r="106" customFormat="false" ht="15" hidden="false" customHeight="false" outlineLevel="0" collapsed="false">
      <c r="A106" s="39" t="s">
        <v>117</v>
      </c>
      <c r="B106" s="39" t="s">
        <v>60</v>
      </c>
      <c r="C106" s="42" t="str">
        <f aca="false">INDEX(Lists!$B$2:$B$9,MATCH(B106,Lists!$A$2:$A$9,0))</f>
        <v>Employed 90 days after placement</v>
      </c>
      <c r="D106" s="39" t="s">
        <v>42</v>
      </c>
      <c r="E106" s="43" t="n">
        <v>9</v>
      </c>
      <c r="F106" s="39" t="n">
        <v>12</v>
      </c>
      <c r="G106" s="47" t="n">
        <f aca="false">IF(F106="",E106,IFERROR(E106/F106,""))</f>
        <v>0.75</v>
      </c>
      <c r="H106" s="47" t="n">
        <f aca="false">IF(INDEX(Lists!$C$2:$C$9,MATCH(B106,Lists!$A$2:$A$9,0))="Count",SUMIFS(Targets!$E$5:$E$36,Targets!$A$5:$A$36,A106,Targets!$B$5:$B$36,B106)/4,SUMIFS(Targets!$E$5:$E$36,Targets!$A$5:$A$36,A106,Targets!$B$5:$B$36,B106))</f>
        <v>0.75</v>
      </c>
      <c r="I106" s="47" t="n">
        <f aca="false">IFERROR(G106/H106,"")</f>
        <v>1</v>
      </c>
      <c r="J106" s="42" t="str">
        <f aca="false">IF(I106="","",IF(I106&gt;=1,"Met",IF(I106&gt;=0.9,"Near","Not met")))</f>
        <v>Met</v>
      </c>
    </row>
    <row r="107" customFormat="false" ht="15" hidden="false" customHeight="false" outlineLevel="0" collapsed="false">
      <c r="A107" s="39" t="s">
        <v>117</v>
      </c>
      <c r="B107" s="39" t="s">
        <v>62</v>
      </c>
      <c r="C107" s="42" t="str">
        <f aca="false">INDEX(Lists!$B$2:$B$9,MATCH(B107,Lists!$A$2:$A$9,0))</f>
        <v>Credential earned by training completers</v>
      </c>
      <c r="D107" s="39" t="s">
        <v>42</v>
      </c>
      <c r="E107" s="43" t="n">
        <v>6</v>
      </c>
      <c r="F107" s="39" t="n">
        <v>8</v>
      </c>
      <c r="G107" s="47" t="n">
        <f aca="false">IF(F107="",E107,IFERROR(E107/F107,""))</f>
        <v>0.75</v>
      </c>
      <c r="H107" s="47" t="n">
        <f aca="false">IF(INDEX(Lists!$C$2:$C$9,MATCH(B107,Lists!$A$2:$A$9,0))="Count",SUMIFS(Targets!$E$5:$E$36,Targets!$A$5:$A$36,A107,Targets!$B$5:$B$36,B107)/4,SUMIFS(Targets!$E$5:$E$36,Targets!$A$5:$A$36,A107,Targets!$B$5:$B$36,B107))</f>
        <v>0.6</v>
      </c>
      <c r="I107" s="47" t="n">
        <f aca="false">IFERROR(G107/H107,"")</f>
        <v>1.25</v>
      </c>
      <c r="J107" s="42" t="str">
        <f aca="false">IF(I107="","",IF(I107&gt;=1,"Met",IF(I107&gt;=0.9,"Near","Not met")))</f>
        <v>Met</v>
      </c>
    </row>
    <row r="108" customFormat="false" ht="15" hidden="false" customHeight="false" outlineLevel="0" collapsed="false">
      <c r="A108" s="39" t="s">
        <v>117</v>
      </c>
      <c r="B108" s="39" t="s">
        <v>64</v>
      </c>
      <c r="C108" s="42" t="str">
        <f aca="false">INDEX(Lists!$B$2:$B$9,MATCH(B108,Lists!$A$2:$A$9,0))</f>
        <v>Monthly reports submitted on time</v>
      </c>
      <c r="D108" s="39" t="s">
        <v>42</v>
      </c>
      <c r="E108" s="43" t="n">
        <v>3</v>
      </c>
      <c r="F108" s="39" t="n">
        <v>3</v>
      </c>
      <c r="G108" s="47" t="n">
        <f aca="false">IF(F108="",E108,IFERROR(E108/F108,""))</f>
        <v>1</v>
      </c>
      <c r="H108" s="47" t="n">
        <f aca="false">IF(INDEX(Lists!$C$2:$C$9,MATCH(B108,Lists!$A$2:$A$9,0))="Count",SUMIFS(Targets!$E$5:$E$36,Targets!$A$5:$A$36,A108,Targets!$B$5:$B$36,B108)/4,SUMIFS(Targets!$E$5:$E$36,Targets!$A$5:$A$36,A108,Targets!$B$5:$B$36,B108))</f>
        <v>1</v>
      </c>
      <c r="I108" s="47" t="n">
        <f aca="false">IFERROR(G108/H108,"")</f>
        <v>1</v>
      </c>
      <c r="J108" s="42" t="str">
        <f aca="false">IF(I108="","",IF(I108&gt;=1,"Met",IF(I108&gt;=0.9,"Near","Not met")))</f>
        <v>Met</v>
      </c>
    </row>
    <row r="109" customFormat="false" ht="15" hidden="false" customHeight="false" outlineLevel="0" collapsed="false">
      <c r="A109" s="39" t="s">
        <v>117</v>
      </c>
      <c r="B109" s="39" t="s">
        <v>50</v>
      </c>
      <c r="C109" s="42" t="str">
        <f aca="false">INDEX(Lists!$B$2:$B$9,MATCH(B109,Lists!$A$2:$A$9,0))</f>
        <v>Participants enrolled</v>
      </c>
      <c r="D109" s="39" t="s">
        <v>43</v>
      </c>
      <c r="E109" s="43" t="n">
        <v>60</v>
      </c>
      <c r="F109" s="39"/>
      <c r="G109" s="46" t="n">
        <f aca="false">IF(F109="",E109,IFERROR(E109/F109,""))</f>
        <v>60</v>
      </c>
      <c r="H109" s="46" t="n">
        <f aca="false">IF(INDEX(Lists!$C$2:$C$9,MATCH(B109,Lists!$A$2:$A$9,0))="Count",SUMIFS(Targets!$E$5:$E$36,Targets!$A$5:$A$36,A109,Targets!$B$5:$B$36,B109)/4,SUMIFS(Targets!$E$5:$E$36,Targets!$A$5:$A$36,A109,Targets!$B$5:$B$36,B109))</f>
        <v>75</v>
      </c>
      <c r="I109" s="47" t="n">
        <f aca="false">IFERROR(G109/H109,"")</f>
        <v>0.8</v>
      </c>
      <c r="J109" s="42" t="str">
        <f aca="false">IF(I109="","",IF(I109&gt;=1,"Met",IF(I109&gt;=0.9,"Near","Not met")))</f>
        <v>Not met</v>
      </c>
    </row>
    <row r="110" customFormat="false" ht="15" hidden="false" customHeight="false" outlineLevel="0" collapsed="false">
      <c r="A110" s="39" t="s">
        <v>117</v>
      </c>
      <c r="B110" s="39" t="s">
        <v>52</v>
      </c>
      <c r="C110" s="42" t="str">
        <f aca="false">INDEX(Lists!$B$2:$B$9,MATCH(B110,Lists!$A$2:$A$9,0))</f>
        <v>Assessed within 30 days of referral</v>
      </c>
      <c r="D110" s="39" t="s">
        <v>43</v>
      </c>
      <c r="E110" s="43" t="n">
        <v>58</v>
      </c>
      <c r="F110" s="39" t="n">
        <v>60</v>
      </c>
      <c r="G110" s="47" t="n">
        <f aca="false">IF(F110="",E110,IFERROR(E110/F110,""))</f>
        <v>0.966666666666667</v>
      </c>
      <c r="H110" s="47" t="n">
        <f aca="false">IF(INDEX(Lists!$C$2:$C$9,MATCH(B110,Lists!$A$2:$A$9,0))="Count",SUMIFS(Targets!$E$5:$E$36,Targets!$A$5:$A$36,A110,Targets!$B$5:$B$36,B110)/4,SUMIFS(Targets!$E$5:$E$36,Targets!$A$5:$A$36,A110,Targets!$B$5:$B$36,B110))</f>
        <v>0.9</v>
      </c>
      <c r="I110" s="47" t="n">
        <f aca="false">IFERROR(G110/H110,"")</f>
        <v>1.07407407407407</v>
      </c>
      <c r="J110" s="42" t="str">
        <f aca="false">IF(I110="","",IF(I110&gt;=1,"Met",IF(I110&gt;=0.9,"Near","Not met")))</f>
        <v>Met</v>
      </c>
    </row>
    <row r="111" customFormat="false" ht="15" hidden="false" customHeight="false" outlineLevel="0" collapsed="false">
      <c r="A111" s="39" t="s">
        <v>117</v>
      </c>
      <c r="B111" s="39" t="s">
        <v>54</v>
      </c>
      <c r="C111" s="42" t="str">
        <f aca="false">INDEX(Lists!$B$2:$B$9,MATCH(B111,Lists!$A$2:$A$9,0))</f>
        <v>Engaged in a work activity each month</v>
      </c>
      <c r="D111" s="39" t="s">
        <v>43</v>
      </c>
      <c r="E111" s="43" t="n">
        <v>113</v>
      </c>
      <c r="F111" s="39" t="n">
        <v>147</v>
      </c>
      <c r="G111" s="47" t="n">
        <f aca="false">IF(F111="",E111,IFERROR(E111/F111,""))</f>
        <v>0.768707482993197</v>
      </c>
      <c r="H111" s="47" t="n">
        <f aca="false">IF(INDEX(Lists!$C$2:$C$9,MATCH(B111,Lists!$A$2:$A$9,0))="Count",SUMIFS(Targets!$E$5:$E$36,Targets!$A$5:$A$36,A111,Targets!$B$5:$B$36,B111)/4,SUMIFS(Targets!$E$5:$E$36,Targets!$A$5:$A$36,A111,Targets!$B$5:$B$36,B111))</f>
        <v>0.7</v>
      </c>
      <c r="I111" s="47" t="n">
        <f aca="false">IFERROR(G111/H111,"")</f>
        <v>1.09815354713314</v>
      </c>
      <c r="J111" s="42" t="str">
        <f aca="false">IF(I111="","",IF(I111&gt;=1,"Met",IF(I111&gt;=0.9,"Near","Not met")))</f>
        <v>Met</v>
      </c>
    </row>
    <row r="112" customFormat="false" ht="15" hidden="false" customHeight="false" outlineLevel="0" collapsed="false">
      <c r="A112" s="39" t="s">
        <v>117</v>
      </c>
      <c r="B112" s="39" t="s">
        <v>56</v>
      </c>
      <c r="C112" s="42" t="str">
        <f aca="false">INDEX(Lists!$B$2:$B$9,MATCH(B112,Lists!$A$2:$A$9,0))</f>
        <v>Job placements</v>
      </c>
      <c r="D112" s="39" t="s">
        <v>43</v>
      </c>
      <c r="E112" s="43" t="n">
        <v>22</v>
      </c>
      <c r="F112" s="39"/>
      <c r="G112" s="46" t="n">
        <f aca="false">IF(F112="",E112,IFERROR(E112/F112,""))</f>
        <v>22</v>
      </c>
      <c r="H112" s="46" t="n">
        <f aca="false">IF(INDEX(Lists!$C$2:$C$9,MATCH(B112,Lists!$A$2:$A$9,0))="Count",SUMIFS(Targets!$E$5:$E$36,Targets!$A$5:$A$36,A112,Targets!$B$5:$B$36,B112)/4,SUMIFS(Targets!$E$5:$E$36,Targets!$A$5:$A$36,A112,Targets!$B$5:$B$36,B112))</f>
        <v>27.5</v>
      </c>
      <c r="I112" s="47" t="n">
        <f aca="false">IFERROR(G112/H112,"")</f>
        <v>0.8</v>
      </c>
      <c r="J112" s="42" t="str">
        <f aca="false">IF(I112="","",IF(I112&gt;=1,"Met",IF(I112&gt;=0.9,"Near","Not met")))</f>
        <v>Not met</v>
      </c>
    </row>
    <row r="113" customFormat="false" ht="15" hidden="false" customHeight="false" outlineLevel="0" collapsed="false">
      <c r="A113" s="39" t="s">
        <v>117</v>
      </c>
      <c r="B113" s="39" t="s">
        <v>58</v>
      </c>
      <c r="C113" s="42" t="str">
        <f aca="false">INDEX(Lists!$B$2:$B$9,MATCH(B113,Lists!$A$2:$A$9,0))</f>
        <v>Average starting wage</v>
      </c>
      <c r="D113" s="39" t="s">
        <v>43</v>
      </c>
      <c r="E113" s="48" t="n">
        <v>334.48</v>
      </c>
      <c r="F113" s="39" t="n">
        <v>22</v>
      </c>
      <c r="G113" s="49" t="n">
        <f aca="false">IF(F113="",E113,IFERROR(E113/F113,""))</f>
        <v>15.2036363636364</v>
      </c>
      <c r="H113" s="49" t="n">
        <f aca="false">IF(INDEX(Lists!$C$2:$C$9,MATCH(B113,Lists!$A$2:$A$9,0))="Count",SUMIFS(Targets!$E$5:$E$36,Targets!$A$5:$A$36,A113,Targets!$B$5:$B$36,B113)/4,SUMIFS(Targets!$E$5:$E$36,Targets!$A$5:$A$36,A113,Targets!$B$5:$B$36,B113))</f>
        <v>14.5</v>
      </c>
      <c r="I113" s="47" t="n">
        <f aca="false">IFERROR(G113/H113,"")</f>
        <v>1.04852664576803</v>
      </c>
      <c r="J113" s="42" t="str">
        <f aca="false">IF(I113="","",IF(I113&gt;=1,"Met",IF(I113&gt;=0.9,"Near","Not met")))</f>
        <v>Met</v>
      </c>
    </row>
    <row r="114" customFormat="false" ht="15" hidden="false" customHeight="false" outlineLevel="0" collapsed="false">
      <c r="A114" s="39" t="s">
        <v>117</v>
      </c>
      <c r="B114" s="39" t="s">
        <v>60</v>
      </c>
      <c r="C114" s="42" t="str">
        <f aca="false">INDEX(Lists!$B$2:$B$9,MATCH(B114,Lists!$A$2:$A$9,0))</f>
        <v>Employed 90 days after placement</v>
      </c>
      <c r="D114" s="39" t="s">
        <v>43</v>
      </c>
      <c r="E114" s="43" t="n">
        <v>11</v>
      </c>
      <c r="F114" s="39" t="n">
        <v>14</v>
      </c>
      <c r="G114" s="47" t="n">
        <f aca="false">IF(F114="",E114,IFERROR(E114/F114,""))</f>
        <v>0.785714285714286</v>
      </c>
      <c r="H114" s="47" t="n">
        <f aca="false">IF(INDEX(Lists!$C$2:$C$9,MATCH(B114,Lists!$A$2:$A$9,0))="Count",SUMIFS(Targets!$E$5:$E$36,Targets!$A$5:$A$36,A114,Targets!$B$5:$B$36,B114)/4,SUMIFS(Targets!$E$5:$E$36,Targets!$A$5:$A$36,A114,Targets!$B$5:$B$36,B114))</f>
        <v>0.75</v>
      </c>
      <c r="I114" s="47" t="n">
        <f aca="false">IFERROR(G114/H114,"")</f>
        <v>1.04761904761905</v>
      </c>
      <c r="J114" s="42" t="str">
        <f aca="false">IF(I114="","",IF(I114&gt;=1,"Met",IF(I114&gt;=0.9,"Near","Not met")))</f>
        <v>Met</v>
      </c>
    </row>
    <row r="115" customFormat="false" ht="15" hidden="false" customHeight="false" outlineLevel="0" collapsed="false">
      <c r="A115" s="39" t="s">
        <v>117</v>
      </c>
      <c r="B115" s="39" t="s">
        <v>62</v>
      </c>
      <c r="C115" s="42" t="str">
        <f aca="false">INDEX(Lists!$B$2:$B$9,MATCH(B115,Lists!$A$2:$A$9,0))</f>
        <v>Credential earned by training completers</v>
      </c>
      <c r="D115" s="39" t="s">
        <v>43</v>
      </c>
      <c r="E115" s="43" t="n">
        <v>9</v>
      </c>
      <c r="F115" s="39" t="n">
        <v>13</v>
      </c>
      <c r="G115" s="47" t="n">
        <f aca="false">IF(F115="",E115,IFERROR(E115/F115,""))</f>
        <v>0.692307692307692</v>
      </c>
      <c r="H115" s="47" t="n">
        <f aca="false">IF(INDEX(Lists!$C$2:$C$9,MATCH(B115,Lists!$A$2:$A$9,0))="Count",SUMIFS(Targets!$E$5:$E$36,Targets!$A$5:$A$36,A115,Targets!$B$5:$B$36,B115)/4,SUMIFS(Targets!$E$5:$E$36,Targets!$A$5:$A$36,A115,Targets!$B$5:$B$36,B115))</f>
        <v>0.6</v>
      </c>
      <c r="I115" s="47" t="n">
        <f aca="false">IFERROR(G115/H115,"")</f>
        <v>1.15384615384615</v>
      </c>
      <c r="J115" s="42" t="str">
        <f aca="false">IF(I115="","",IF(I115&gt;=1,"Met",IF(I115&gt;=0.9,"Near","Not met")))</f>
        <v>Met</v>
      </c>
    </row>
    <row r="116" customFormat="false" ht="15" hidden="false" customHeight="false" outlineLevel="0" collapsed="false">
      <c r="A116" s="39" t="s">
        <v>117</v>
      </c>
      <c r="B116" s="39" t="s">
        <v>64</v>
      </c>
      <c r="C116" s="42" t="str">
        <f aca="false">INDEX(Lists!$B$2:$B$9,MATCH(B116,Lists!$A$2:$A$9,0))</f>
        <v>Monthly reports submitted on time</v>
      </c>
      <c r="D116" s="39" t="s">
        <v>43</v>
      </c>
      <c r="E116" s="43" t="n">
        <v>3</v>
      </c>
      <c r="F116" s="39" t="n">
        <v>3</v>
      </c>
      <c r="G116" s="47" t="n">
        <f aca="false">IF(F116="",E116,IFERROR(E116/F116,""))</f>
        <v>1</v>
      </c>
      <c r="H116" s="47" t="n">
        <f aca="false">IF(INDEX(Lists!$C$2:$C$9,MATCH(B116,Lists!$A$2:$A$9,0))="Count",SUMIFS(Targets!$E$5:$E$36,Targets!$A$5:$A$36,A116,Targets!$B$5:$B$36,B116)/4,SUMIFS(Targets!$E$5:$E$36,Targets!$A$5:$A$36,A116,Targets!$B$5:$B$36,B116))</f>
        <v>1</v>
      </c>
      <c r="I116" s="47" t="n">
        <f aca="false">IFERROR(G116/H116,"")</f>
        <v>1</v>
      </c>
      <c r="J116" s="42" t="str">
        <f aca="false">IF(I116="","",IF(I116&gt;=1,"Met",IF(I116&gt;=0.9,"Near","Not met")))</f>
        <v>Met</v>
      </c>
    </row>
    <row r="117" customFormat="false" ht="15" hidden="false" customHeight="false" outlineLevel="0" collapsed="false">
      <c r="A117" s="39" t="s">
        <v>117</v>
      </c>
      <c r="B117" s="39" t="s">
        <v>50</v>
      </c>
      <c r="C117" s="42" t="str">
        <f aca="false">INDEX(Lists!$B$2:$B$9,MATCH(B117,Lists!$A$2:$A$9,0))</f>
        <v>Participants enrolled</v>
      </c>
      <c r="D117" s="39" t="s">
        <v>44</v>
      </c>
      <c r="E117" s="43" t="n">
        <v>86</v>
      </c>
      <c r="F117" s="39"/>
      <c r="G117" s="46" t="n">
        <f aca="false">IF(F117="",E117,IFERROR(E117/F117,""))</f>
        <v>86</v>
      </c>
      <c r="H117" s="46" t="n">
        <f aca="false">IF(INDEX(Lists!$C$2:$C$9,MATCH(B117,Lists!$A$2:$A$9,0))="Count",SUMIFS(Targets!$E$5:$E$36,Targets!$A$5:$A$36,A117,Targets!$B$5:$B$36,B117)/4,SUMIFS(Targets!$E$5:$E$36,Targets!$A$5:$A$36,A117,Targets!$B$5:$B$36,B117))</f>
        <v>75</v>
      </c>
      <c r="I117" s="47" t="n">
        <f aca="false">IFERROR(G117/H117,"")</f>
        <v>1.14666666666667</v>
      </c>
      <c r="J117" s="42" t="str">
        <f aca="false">IF(I117="","",IF(I117&gt;=1,"Met",IF(I117&gt;=0.9,"Near","Not met")))</f>
        <v>Met</v>
      </c>
    </row>
    <row r="118" customFormat="false" ht="15" hidden="false" customHeight="false" outlineLevel="0" collapsed="false">
      <c r="A118" s="39" t="s">
        <v>117</v>
      </c>
      <c r="B118" s="39" t="s">
        <v>52</v>
      </c>
      <c r="C118" s="42" t="str">
        <f aca="false">INDEX(Lists!$B$2:$B$9,MATCH(B118,Lists!$A$2:$A$9,0))</f>
        <v>Assessed within 30 days of referral</v>
      </c>
      <c r="D118" s="39" t="s">
        <v>44</v>
      </c>
      <c r="E118" s="43" t="n">
        <v>79</v>
      </c>
      <c r="F118" s="39" t="n">
        <v>86</v>
      </c>
      <c r="G118" s="47" t="n">
        <f aca="false">IF(F118="",E118,IFERROR(E118/F118,""))</f>
        <v>0.918604651162791</v>
      </c>
      <c r="H118" s="47" t="n">
        <f aca="false">IF(INDEX(Lists!$C$2:$C$9,MATCH(B118,Lists!$A$2:$A$9,0))="Count",SUMIFS(Targets!$E$5:$E$36,Targets!$A$5:$A$36,A118,Targets!$B$5:$B$36,B118)/4,SUMIFS(Targets!$E$5:$E$36,Targets!$A$5:$A$36,A118,Targets!$B$5:$B$36,B118))</f>
        <v>0.9</v>
      </c>
      <c r="I118" s="47" t="n">
        <f aca="false">IFERROR(G118/H118,"")</f>
        <v>1.02067183462532</v>
      </c>
      <c r="J118" s="42" t="str">
        <f aca="false">IF(I118="","",IF(I118&gt;=1,"Met",IF(I118&gt;=0.9,"Near","Not met")))</f>
        <v>Met</v>
      </c>
    </row>
    <row r="119" customFormat="false" ht="15" hidden="false" customHeight="false" outlineLevel="0" collapsed="false">
      <c r="A119" s="39" t="s">
        <v>117</v>
      </c>
      <c r="B119" s="39" t="s">
        <v>54</v>
      </c>
      <c r="C119" s="42" t="str">
        <f aca="false">INDEX(Lists!$B$2:$B$9,MATCH(B119,Lists!$A$2:$A$9,0))</f>
        <v>Engaged in a work activity each month</v>
      </c>
      <c r="D119" s="39" t="s">
        <v>44</v>
      </c>
      <c r="E119" s="43" t="n">
        <v>158</v>
      </c>
      <c r="F119" s="39" t="n">
        <v>222</v>
      </c>
      <c r="G119" s="47" t="n">
        <f aca="false">IF(F119="",E119,IFERROR(E119/F119,""))</f>
        <v>0.711711711711712</v>
      </c>
      <c r="H119" s="47" t="n">
        <f aca="false">IF(INDEX(Lists!$C$2:$C$9,MATCH(B119,Lists!$A$2:$A$9,0))="Count",SUMIFS(Targets!$E$5:$E$36,Targets!$A$5:$A$36,A119,Targets!$B$5:$B$36,B119)/4,SUMIFS(Targets!$E$5:$E$36,Targets!$A$5:$A$36,A119,Targets!$B$5:$B$36,B119))</f>
        <v>0.7</v>
      </c>
      <c r="I119" s="47" t="n">
        <f aca="false">IFERROR(G119/H119,"")</f>
        <v>1.01673101673102</v>
      </c>
      <c r="J119" s="42" t="str">
        <f aca="false">IF(I119="","",IF(I119&gt;=1,"Met",IF(I119&gt;=0.9,"Near","Not met")))</f>
        <v>Met</v>
      </c>
    </row>
    <row r="120" customFormat="false" ht="15" hidden="false" customHeight="false" outlineLevel="0" collapsed="false">
      <c r="A120" s="39" t="s">
        <v>117</v>
      </c>
      <c r="B120" s="39" t="s">
        <v>56</v>
      </c>
      <c r="C120" s="42" t="str">
        <f aca="false">INDEX(Lists!$B$2:$B$9,MATCH(B120,Lists!$A$2:$A$9,0))</f>
        <v>Job placements</v>
      </c>
      <c r="D120" s="39" t="s">
        <v>44</v>
      </c>
      <c r="E120" s="43" t="n">
        <v>33</v>
      </c>
      <c r="F120" s="39"/>
      <c r="G120" s="46" t="n">
        <f aca="false">IF(F120="",E120,IFERROR(E120/F120,""))</f>
        <v>33</v>
      </c>
      <c r="H120" s="46" t="n">
        <f aca="false">IF(INDEX(Lists!$C$2:$C$9,MATCH(B120,Lists!$A$2:$A$9,0))="Count",SUMIFS(Targets!$E$5:$E$36,Targets!$A$5:$A$36,A120,Targets!$B$5:$B$36,B120)/4,SUMIFS(Targets!$E$5:$E$36,Targets!$A$5:$A$36,A120,Targets!$B$5:$B$36,B120))</f>
        <v>27.5</v>
      </c>
      <c r="I120" s="47" t="n">
        <f aca="false">IFERROR(G120/H120,"")</f>
        <v>1.2</v>
      </c>
      <c r="J120" s="42" t="str">
        <f aca="false">IF(I120="","",IF(I120&gt;=1,"Met",IF(I120&gt;=0.9,"Near","Not met")))</f>
        <v>Met</v>
      </c>
    </row>
    <row r="121" customFormat="false" ht="15" hidden="false" customHeight="false" outlineLevel="0" collapsed="false">
      <c r="A121" s="39" t="s">
        <v>117</v>
      </c>
      <c r="B121" s="39" t="s">
        <v>58</v>
      </c>
      <c r="C121" s="42" t="str">
        <f aca="false">INDEX(Lists!$B$2:$B$9,MATCH(B121,Lists!$A$2:$A$9,0))</f>
        <v>Average starting wage</v>
      </c>
      <c r="D121" s="39" t="s">
        <v>44</v>
      </c>
      <c r="E121" s="48" t="n">
        <v>492.17</v>
      </c>
      <c r="F121" s="39" t="n">
        <v>33</v>
      </c>
      <c r="G121" s="49" t="n">
        <f aca="false">IF(F121="",E121,IFERROR(E121/F121,""))</f>
        <v>14.9142424242424</v>
      </c>
      <c r="H121" s="49" t="n">
        <f aca="false">IF(INDEX(Lists!$C$2:$C$9,MATCH(B121,Lists!$A$2:$A$9,0))="Count",SUMIFS(Targets!$E$5:$E$36,Targets!$A$5:$A$36,A121,Targets!$B$5:$B$36,B121)/4,SUMIFS(Targets!$E$5:$E$36,Targets!$A$5:$A$36,A121,Targets!$B$5:$B$36,B121))</f>
        <v>14.5</v>
      </c>
      <c r="I121" s="47" t="n">
        <f aca="false">IFERROR(G121/H121,"")</f>
        <v>1.0285684430512</v>
      </c>
      <c r="J121" s="42" t="str">
        <f aca="false">IF(I121="","",IF(I121&gt;=1,"Met",IF(I121&gt;=0.9,"Near","Not met")))</f>
        <v>Met</v>
      </c>
    </row>
    <row r="122" customFormat="false" ht="15" hidden="false" customHeight="false" outlineLevel="0" collapsed="false">
      <c r="A122" s="39" t="s">
        <v>117</v>
      </c>
      <c r="B122" s="39" t="s">
        <v>60</v>
      </c>
      <c r="C122" s="42" t="str">
        <f aca="false">INDEX(Lists!$B$2:$B$9,MATCH(B122,Lists!$A$2:$A$9,0))</f>
        <v>Employed 90 days after placement</v>
      </c>
      <c r="D122" s="39" t="s">
        <v>44</v>
      </c>
      <c r="E122" s="43" t="n">
        <v>16</v>
      </c>
      <c r="F122" s="39" t="n">
        <v>20</v>
      </c>
      <c r="G122" s="47" t="n">
        <f aca="false">IF(F122="",E122,IFERROR(E122/F122,""))</f>
        <v>0.8</v>
      </c>
      <c r="H122" s="47" t="n">
        <f aca="false">IF(INDEX(Lists!$C$2:$C$9,MATCH(B122,Lists!$A$2:$A$9,0))="Count",SUMIFS(Targets!$E$5:$E$36,Targets!$A$5:$A$36,A122,Targets!$B$5:$B$36,B122)/4,SUMIFS(Targets!$E$5:$E$36,Targets!$A$5:$A$36,A122,Targets!$B$5:$B$36,B122))</f>
        <v>0.75</v>
      </c>
      <c r="I122" s="47" t="n">
        <f aca="false">IFERROR(G122/H122,"")</f>
        <v>1.06666666666667</v>
      </c>
      <c r="J122" s="42" t="str">
        <f aca="false">IF(I122="","",IF(I122&gt;=1,"Met",IF(I122&gt;=0.9,"Near","Not met")))</f>
        <v>Met</v>
      </c>
    </row>
    <row r="123" customFormat="false" ht="15" hidden="false" customHeight="false" outlineLevel="0" collapsed="false">
      <c r="A123" s="39" t="s">
        <v>117</v>
      </c>
      <c r="B123" s="39" t="s">
        <v>62</v>
      </c>
      <c r="C123" s="42" t="str">
        <f aca="false">INDEX(Lists!$B$2:$B$9,MATCH(B123,Lists!$A$2:$A$9,0))</f>
        <v>Credential earned by training completers</v>
      </c>
      <c r="D123" s="39" t="s">
        <v>44</v>
      </c>
      <c r="E123" s="43" t="n">
        <v>12</v>
      </c>
      <c r="F123" s="39" t="n">
        <v>18</v>
      </c>
      <c r="G123" s="47" t="n">
        <f aca="false">IF(F123="",E123,IFERROR(E123/F123,""))</f>
        <v>0.666666666666667</v>
      </c>
      <c r="H123" s="47" t="n">
        <f aca="false">IF(INDEX(Lists!$C$2:$C$9,MATCH(B123,Lists!$A$2:$A$9,0))="Count",SUMIFS(Targets!$E$5:$E$36,Targets!$A$5:$A$36,A123,Targets!$B$5:$B$36,B123)/4,SUMIFS(Targets!$E$5:$E$36,Targets!$A$5:$A$36,A123,Targets!$B$5:$B$36,B123))</f>
        <v>0.6</v>
      </c>
      <c r="I123" s="47" t="n">
        <f aca="false">IFERROR(G123/H123,"")</f>
        <v>1.11111111111111</v>
      </c>
      <c r="J123" s="42" t="str">
        <f aca="false">IF(I123="","",IF(I123&gt;=1,"Met",IF(I123&gt;=0.9,"Near","Not met")))</f>
        <v>Met</v>
      </c>
    </row>
    <row r="124" customFormat="false" ht="15" hidden="false" customHeight="false" outlineLevel="0" collapsed="false">
      <c r="A124" s="39" t="s">
        <v>117</v>
      </c>
      <c r="B124" s="39" t="s">
        <v>64</v>
      </c>
      <c r="C124" s="42" t="str">
        <f aca="false">INDEX(Lists!$B$2:$B$9,MATCH(B124,Lists!$A$2:$A$9,0))</f>
        <v>Monthly reports submitted on time</v>
      </c>
      <c r="D124" s="39" t="s">
        <v>44</v>
      </c>
      <c r="E124" s="43" t="n">
        <v>3</v>
      </c>
      <c r="F124" s="39" t="n">
        <v>3</v>
      </c>
      <c r="G124" s="47" t="n">
        <f aca="false">IF(F124="",E124,IFERROR(E124/F124,""))</f>
        <v>1</v>
      </c>
      <c r="H124" s="47" t="n">
        <f aca="false">IF(INDEX(Lists!$C$2:$C$9,MATCH(B124,Lists!$A$2:$A$9,0))="Count",SUMIFS(Targets!$E$5:$E$36,Targets!$A$5:$A$36,A124,Targets!$B$5:$B$36,B124)/4,SUMIFS(Targets!$E$5:$E$36,Targets!$A$5:$A$36,A124,Targets!$B$5:$B$36,B124))</f>
        <v>1</v>
      </c>
      <c r="I124" s="47" t="n">
        <f aca="false">IFERROR(G124/H124,"")</f>
        <v>1</v>
      </c>
      <c r="J124" s="42" t="str">
        <f aca="false">IF(I124="","",IF(I124&gt;=1,"Met",IF(I124&gt;=0.9,"Near","Not met")))</f>
        <v>Met</v>
      </c>
    </row>
    <row r="125" customFormat="false" ht="15" hidden="false" customHeight="false" outlineLevel="0" collapsed="false">
      <c r="A125" s="39" t="s">
        <v>117</v>
      </c>
      <c r="B125" s="39" t="s">
        <v>50</v>
      </c>
      <c r="C125" s="42" t="str">
        <f aca="false">INDEX(Lists!$B$2:$B$9,MATCH(B125,Lists!$A$2:$A$9,0))</f>
        <v>Participants enrolled</v>
      </c>
      <c r="D125" s="39" t="s">
        <v>45</v>
      </c>
      <c r="E125" s="43" t="n">
        <v>99</v>
      </c>
      <c r="F125" s="39"/>
      <c r="G125" s="46" t="n">
        <f aca="false">IF(F125="",E125,IFERROR(E125/F125,""))</f>
        <v>99</v>
      </c>
      <c r="H125" s="46" t="n">
        <f aca="false">IF(INDEX(Lists!$C$2:$C$9,MATCH(B125,Lists!$A$2:$A$9,0))="Count",SUMIFS(Targets!$E$5:$E$36,Targets!$A$5:$A$36,A125,Targets!$B$5:$B$36,B125)/4,SUMIFS(Targets!$E$5:$E$36,Targets!$A$5:$A$36,A125,Targets!$B$5:$B$36,B125))</f>
        <v>75</v>
      </c>
      <c r="I125" s="47" t="n">
        <f aca="false">IFERROR(G125/H125,"")</f>
        <v>1.32</v>
      </c>
      <c r="J125" s="42" t="str">
        <f aca="false">IF(I125="","",IF(I125&gt;=1,"Met",IF(I125&gt;=0.9,"Near","Not met")))</f>
        <v>Met</v>
      </c>
    </row>
    <row r="126" customFormat="false" ht="15" hidden="false" customHeight="false" outlineLevel="0" collapsed="false">
      <c r="A126" s="39" t="s">
        <v>117</v>
      </c>
      <c r="B126" s="39" t="s">
        <v>52</v>
      </c>
      <c r="C126" s="42" t="str">
        <f aca="false">INDEX(Lists!$B$2:$B$9,MATCH(B126,Lists!$A$2:$A$9,0))</f>
        <v>Assessed within 30 days of referral</v>
      </c>
      <c r="D126" s="39" t="s">
        <v>45</v>
      </c>
      <c r="E126" s="43" t="n">
        <v>95</v>
      </c>
      <c r="F126" s="39" t="n">
        <v>99</v>
      </c>
      <c r="G126" s="47" t="n">
        <f aca="false">IF(F126="",E126,IFERROR(E126/F126,""))</f>
        <v>0.95959595959596</v>
      </c>
      <c r="H126" s="47" t="n">
        <f aca="false">IF(INDEX(Lists!$C$2:$C$9,MATCH(B126,Lists!$A$2:$A$9,0))="Count",SUMIFS(Targets!$E$5:$E$36,Targets!$A$5:$A$36,A126,Targets!$B$5:$B$36,B126)/4,SUMIFS(Targets!$E$5:$E$36,Targets!$A$5:$A$36,A126,Targets!$B$5:$B$36,B126))</f>
        <v>0.9</v>
      </c>
      <c r="I126" s="47" t="n">
        <f aca="false">IFERROR(G126/H126,"")</f>
        <v>1.0662177328844</v>
      </c>
      <c r="J126" s="42" t="str">
        <f aca="false">IF(I126="","",IF(I126&gt;=1,"Met",IF(I126&gt;=0.9,"Near","Not met")))</f>
        <v>Met</v>
      </c>
    </row>
    <row r="127" customFormat="false" ht="15" hidden="false" customHeight="false" outlineLevel="0" collapsed="false">
      <c r="A127" s="39" t="s">
        <v>117</v>
      </c>
      <c r="B127" s="39" t="s">
        <v>54</v>
      </c>
      <c r="C127" s="42" t="str">
        <f aca="false">INDEX(Lists!$B$2:$B$9,MATCH(B127,Lists!$A$2:$A$9,0))</f>
        <v>Engaged in a work activity each month</v>
      </c>
      <c r="D127" s="39" t="s">
        <v>45</v>
      </c>
      <c r="E127" s="43" t="n">
        <v>163</v>
      </c>
      <c r="F127" s="39" t="n">
        <v>235</v>
      </c>
      <c r="G127" s="47" t="n">
        <f aca="false">IF(F127="",E127,IFERROR(E127/F127,""))</f>
        <v>0.693617021276596</v>
      </c>
      <c r="H127" s="47" t="n">
        <f aca="false">IF(INDEX(Lists!$C$2:$C$9,MATCH(B127,Lists!$A$2:$A$9,0))="Count",SUMIFS(Targets!$E$5:$E$36,Targets!$A$5:$A$36,A127,Targets!$B$5:$B$36,B127)/4,SUMIFS(Targets!$E$5:$E$36,Targets!$A$5:$A$36,A127,Targets!$B$5:$B$36,B127))</f>
        <v>0.7</v>
      </c>
      <c r="I127" s="47" t="n">
        <f aca="false">IFERROR(G127/H127,"")</f>
        <v>0.990881458966565</v>
      </c>
      <c r="J127" s="42" t="str">
        <f aca="false">IF(I127="","",IF(I127&gt;=1,"Met",IF(I127&gt;=0.9,"Near","Not met")))</f>
        <v>Near</v>
      </c>
    </row>
    <row r="128" customFormat="false" ht="15" hidden="false" customHeight="false" outlineLevel="0" collapsed="false">
      <c r="A128" s="39" t="s">
        <v>117</v>
      </c>
      <c r="B128" s="39" t="s">
        <v>56</v>
      </c>
      <c r="C128" s="42" t="str">
        <f aca="false">INDEX(Lists!$B$2:$B$9,MATCH(B128,Lists!$A$2:$A$9,0))</f>
        <v>Job placements</v>
      </c>
      <c r="D128" s="39" t="s">
        <v>45</v>
      </c>
      <c r="E128" s="43" t="n">
        <v>38</v>
      </c>
      <c r="F128" s="39"/>
      <c r="G128" s="46" t="n">
        <f aca="false">IF(F128="",E128,IFERROR(E128/F128,""))</f>
        <v>38</v>
      </c>
      <c r="H128" s="46" t="n">
        <f aca="false">IF(INDEX(Lists!$C$2:$C$9,MATCH(B128,Lists!$A$2:$A$9,0))="Count",SUMIFS(Targets!$E$5:$E$36,Targets!$A$5:$A$36,A128,Targets!$B$5:$B$36,B128)/4,SUMIFS(Targets!$E$5:$E$36,Targets!$A$5:$A$36,A128,Targets!$B$5:$B$36,B128))</f>
        <v>27.5</v>
      </c>
      <c r="I128" s="47" t="n">
        <f aca="false">IFERROR(G128/H128,"")</f>
        <v>1.38181818181818</v>
      </c>
      <c r="J128" s="42" t="str">
        <f aca="false">IF(I128="","",IF(I128&gt;=1,"Met",IF(I128&gt;=0.9,"Near","Not met")))</f>
        <v>Met</v>
      </c>
    </row>
    <row r="129" customFormat="false" ht="15" hidden="false" customHeight="false" outlineLevel="0" collapsed="false">
      <c r="A129" s="39" t="s">
        <v>117</v>
      </c>
      <c r="B129" s="39" t="s">
        <v>58</v>
      </c>
      <c r="C129" s="42" t="str">
        <f aca="false">INDEX(Lists!$B$2:$B$9,MATCH(B129,Lists!$A$2:$A$9,0))</f>
        <v>Average starting wage</v>
      </c>
      <c r="D129" s="39" t="s">
        <v>45</v>
      </c>
      <c r="E129" s="48" t="n">
        <v>563.16</v>
      </c>
      <c r="F129" s="39" t="n">
        <v>38</v>
      </c>
      <c r="G129" s="49" t="n">
        <f aca="false">IF(F129="",E129,IFERROR(E129/F129,""))</f>
        <v>14.82</v>
      </c>
      <c r="H129" s="49" t="n">
        <f aca="false">IF(INDEX(Lists!$C$2:$C$9,MATCH(B129,Lists!$A$2:$A$9,0))="Count",SUMIFS(Targets!$E$5:$E$36,Targets!$A$5:$A$36,A129,Targets!$B$5:$B$36,B129)/4,SUMIFS(Targets!$E$5:$E$36,Targets!$A$5:$A$36,A129,Targets!$B$5:$B$36,B129))</f>
        <v>14.5</v>
      </c>
      <c r="I129" s="47" t="n">
        <f aca="false">IFERROR(G129/H129,"")</f>
        <v>1.02206896551724</v>
      </c>
      <c r="J129" s="42" t="str">
        <f aca="false">IF(I129="","",IF(I129&gt;=1,"Met",IF(I129&gt;=0.9,"Near","Not met")))</f>
        <v>Met</v>
      </c>
    </row>
    <row r="130" customFormat="false" ht="15" hidden="false" customHeight="false" outlineLevel="0" collapsed="false">
      <c r="A130" s="39" t="s">
        <v>117</v>
      </c>
      <c r="B130" s="39" t="s">
        <v>60</v>
      </c>
      <c r="C130" s="42" t="str">
        <f aca="false">INDEX(Lists!$B$2:$B$9,MATCH(B130,Lists!$A$2:$A$9,0))</f>
        <v>Employed 90 days after placement</v>
      </c>
      <c r="D130" s="39" t="s">
        <v>45</v>
      </c>
      <c r="E130" s="43" t="n">
        <v>24</v>
      </c>
      <c r="F130" s="39" t="n">
        <v>31</v>
      </c>
      <c r="G130" s="47" t="n">
        <f aca="false">IF(F130="",E130,IFERROR(E130/F130,""))</f>
        <v>0.774193548387097</v>
      </c>
      <c r="H130" s="47" t="n">
        <f aca="false">IF(INDEX(Lists!$C$2:$C$9,MATCH(B130,Lists!$A$2:$A$9,0))="Count",SUMIFS(Targets!$E$5:$E$36,Targets!$A$5:$A$36,A130,Targets!$B$5:$B$36,B130)/4,SUMIFS(Targets!$E$5:$E$36,Targets!$A$5:$A$36,A130,Targets!$B$5:$B$36,B130))</f>
        <v>0.75</v>
      </c>
      <c r="I130" s="47" t="n">
        <f aca="false">IFERROR(G130/H130,"")</f>
        <v>1.03225806451613</v>
      </c>
      <c r="J130" s="42" t="str">
        <f aca="false">IF(I130="","",IF(I130&gt;=1,"Met",IF(I130&gt;=0.9,"Near","Not met")))</f>
        <v>Met</v>
      </c>
    </row>
    <row r="131" customFormat="false" ht="15" hidden="false" customHeight="false" outlineLevel="0" collapsed="false">
      <c r="A131" s="39" t="s">
        <v>117</v>
      </c>
      <c r="B131" s="39" t="s">
        <v>62</v>
      </c>
      <c r="C131" s="42" t="str">
        <f aca="false">INDEX(Lists!$B$2:$B$9,MATCH(B131,Lists!$A$2:$A$9,0))</f>
        <v>Credential earned by training completers</v>
      </c>
      <c r="D131" s="39" t="s">
        <v>45</v>
      </c>
      <c r="E131" s="43" t="n">
        <v>15</v>
      </c>
      <c r="F131" s="39" t="n">
        <v>21</v>
      </c>
      <c r="G131" s="47" t="n">
        <f aca="false">IF(F131="",E131,IFERROR(E131/F131,""))</f>
        <v>0.714285714285714</v>
      </c>
      <c r="H131" s="47" t="n">
        <f aca="false">IF(INDEX(Lists!$C$2:$C$9,MATCH(B131,Lists!$A$2:$A$9,0))="Count",SUMIFS(Targets!$E$5:$E$36,Targets!$A$5:$A$36,A131,Targets!$B$5:$B$36,B131)/4,SUMIFS(Targets!$E$5:$E$36,Targets!$A$5:$A$36,A131,Targets!$B$5:$B$36,B131))</f>
        <v>0.6</v>
      </c>
      <c r="I131" s="47" t="n">
        <f aca="false">IFERROR(G131/H131,"")</f>
        <v>1.19047619047619</v>
      </c>
      <c r="J131" s="42" t="str">
        <f aca="false">IF(I131="","",IF(I131&gt;=1,"Met",IF(I131&gt;=0.9,"Near","Not met")))</f>
        <v>Met</v>
      </c>
    </row>
    <row r="132" customFormat="false" ht="15" hidden="false" customHeight="false" outlineLevel="0" collapsed="false">
      <c r="A132" s="39" t="s">
        <v>117</v>
      </c>
      <c r="B132" s="39" t="s">
        <v>64</v>
      </c>
      <c r="C132" s="42" t="str">
        <f aca="false">INDEX(Lists!$B$2:$B$9,MATCH(B132,Lists!$A$2:$A$9,0))</f>
        <v>Monthly reports submitted on time</v>
      </c>
      <c r="D132" s="39" t="s">
        <v>45</v>
      </c>
      <c r="E132" s="43" t="n">
        <v>3</v>
      </c>
      <c r="F132" s="39" t="n">
        <v>3</v>
      </c>
      <c r="G132" s="47" t="n">
        <f aca="false">IF(F132="",E132,IFERROR(E132/F132,""))</f>
        <v>1</v>
      </c>
      <c r="H132" s="47" t="n">
        <f aca="false">IF(INDEX(Lists!$C$2:$C$9,MATCH(B132,Lists!$A$2:$A$9,0))="Count",SUMIFS(Targets!$E$5:$E$36,Targets!$A$5:$A$36,A132,Targets!$B$5:$B$36,B132)/4,SUMIFS(Targets!$E$5:$E$36,Targets!$A$5:$A$36,A132,Targets!$B$5:$B$36,B132))</f>
        <v>1</v>
      </c>
      <c r="I132" s="47" t="n">
        <f aca="false">IFERROR(G132/H132,"")</f>
        <v>1</v>
      </c>
      <c r="J132" s="42" t="str">
        <f aca="false">IF(I132="","",IF(I132&gt;=1,"Met",IF(I132&gt;=0.9,"Near","Not met")))</f>
        <v>Met</v>
      </c>
    </row>
  </sheetData>
  <conditionalFormatting sqref="J5:J132">
    <cfRule type="cellIs" priority="2" operator="equal" aboveAverage="0" equalAverage="0" bottom="0" percent="0" rank="0" text="" dxfId="0">
      <formula>"Met"</formula>
    </cfRule>
    <cfRule type="cellIs" priority="3" operator="equal" aboveAverage="0" equalAverage="0" bottom="0" percent="0" rank="0" text="" dxfId="1">
      <formula>"Near"</formula>
    </cfRule>
    <cfRule type="cellIs" priority="4" operator="equal" aboveAverage="0" equalAverage="0" bottom="0" percent="0" rank="0" text="" dxfId="2">
      <formula>"Not met"</formula>
    </cfRule>
  </conditionalFormatting>
  <dataValidations count="4">
    <dataValidation allowBlank="false" errorStyle="stop" operator="between" showDropDown="false" showErrorMessage="false" showInputMessage="false" sqref="D5:D132" type="list">
      <formula1>Lists!$G$2:$G$5</formula1>
      <formula2>0</formula2>
    </dataValidation>
    <dataValidation allowBlank="false" errorStyle="stop" operator="between" showDropDown="false" showErrorMessage="false" showInputMessage="false" sqref="B5:B132" type="list">
      <formula1>Lists!$A$2:$A$9</formula1>
      <formula2>0</formula2>
    </dataValidation>
    <dataValidation allowBlank="false" errorStyle="stop" operator="between" showDropDown="false" showErrorMessage="false" showInputMessage="false" sqref="A5:A132" type="list">
      <formula1>Contracts!$A$5:$A$8</formula1>
      <formula2>0</formula2>
    </dataValidation>
    <dataValidation allowBlank="false" error="Enter a number of zero or more." errorStyle="stop" operator="greaterThanOrEqual" showDropDown="false" showErrorMessage="true" showInputMessage="false" sqref="E5:F13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1"/>
    <col collapsed="false" customWidth="true" hidden="false" outlineLevel="0" max="3" min="3" style="0" width="40"/>
    <col collapsed="false" customWidth="true" hidden="false" outlineLevel="0" max="4" min="4" style="0" width="10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17.35" hidden="false" customHeight="false" outlineLevel="0" collapsed="false">
      <c r="A1" s="1" t="s">
        <v>132</v>
      </c>
    </row>
    <row r="2" customFormat="false" ht="15" hidden="false" customHeight="false" outlineLevel="0" collapsed="false">
      <c r="A2" s="2" t="s">
        <v>133</v>
      </c>
    </row>
    <row r="4" customFormat="false" ht="30" hidden="false" customHeight="true" outlineLevel="0" collapsed="false">
      <c r="A4" s="38" t="s">
        <v>34</v>
      </c>
      <c r="B4" s="38" t="s">
        <v>40</v>
      </c>
      <c r="C4" s="38" t="s">
        <v>41</v>
      </c>
      <c r="D4" s="38" t="s">
        <v>123</v>
      </c>
      <c r="E4" s="38" t="s">
        <v>134</v>
      </c>
      <c r="F4" s="38" t="s">
        <v>47</v>
      </c>
      <c r="G4" s="38" t="s">
        <v>48</v>
      </c>
      <c r="H4" s="38" t="s">
        <v>49</v>
      </c>
    </row>
    <row r="5" customFormat="false" ht="15" hidden="false" customHeight="false" outlineLevel="0" collapsed="false">
      <c r="A5" s="42" t="s">
        <v>103</v>
      </c>
      <c r="B5" s="42" t="s">
        <v>50</v>
      </c>
      <c r="C5" s="42" t="s">
        <v>51</v>
      </c>
      <c r="D5" s="42" t="s">
        <v>124</v>
      </c>
      <c r="E5" s="46" t="n">
        <f aca="false">IF(D5="Count",SUMIFS(Measures!$E$5:$E$132,Measures!$A$5:$A$132,A5,Measures!$B$5:$B$132,B5),IFERROR(SUMIFS(Measures!$E$5:$E$132,Measures!$A$5:$A$132,A5,Measures!$B$5:$B$132,B5)/SUMIFS(Measures!$F$5:$F$132,Measures!$A$5:$A$132,A5,Measures!$B$5:$B$132,B5),""))</f>
        <v>936</v>
      </c>
      <c r="F5" s="46" t="n">
        <f aca="false">SUMIFS(Targets!$E$5:$E$36,Targets!$A$5:$A$36,A5,Targets!$B$5:$B$36,B5)</f>
        <v>900</v>
      </c>
      <c r="G5" s="47" t="n">
        <f aca="false">IFERROR(E5/F5,"")</f>
        <v>1.04</v>
      </c>
      <c r="H5" s="42" t="str">
        <f aca="false">IF(G5="","",IF(G5&gt;=1,"Met",IF(G5&gt;=0.9,"Near","Not met")))</f>
        <v>Met</v>
      </c>
    </row>
    <row r="6" customFormat="false" ht="15" hidden="false" customHeight="false" outlineLevel="0" collapsed="false">
      <c r="A6" s="42" t="s">
        <v>103</v>
      </c>
      <c r="B6" s="42" t="s">
        <v>52</v>
      </c>
      <c r="C6" s="42" t="s">
        <v>53</v>
      </c>
      <c r="D6" s="42" t="s">
        <v>125</v>
      </c>
      <c r="E6" s="47" t="n">
        <f aca="false">IF(D6="Count",SUMIFS(Measures!$E$5:$E$132,Measures!$A$5:$A$132,A6,Measures!$B$5:$B$132,B6),IFERROR(SUMIFS(Measures!$E$5:$E$132,Measures!$A$5:$A$132,A6,Measures!$B$5:$B$132,B6)/SUMIFS(Measures!$F$5:$F$132,Measures!$A$5:$A$132,A6,Measures!$B$5:$B$132,B6),""))</f>
        <v>0.942307692307692</v>
      </c>
      <c r="F6" s="47" t="n">
        <f aca="false">SUMIFS(Targets!$E$5:$E$36,Targets!$A$5:$A$36,A6,Targets!$B$5:$B$36,B6)</f>
        <v>0.9</v>
      </c>
      <c r="G6" s="47" t="n">
        <f aca="false">IFERROR(E6/F6,"")</f>
        <v>1.04700854700855</v>
      </c>
      <c r="H6" s="42" t="str">
        <f aca="false">IF(G6="","",IF(G6&gt;=1,"Met",IF(G6&gt;=0.9,"Near","Not met")))</f>
        <v>Met</v>
      </c>
    </row>
    <row r="7" customFormat="false" ht="15" hidden="false" customHeight="false" outlineLevel="0" collapsed="false">
      <c r="A7" s="42" t="s">
        <v>103</v>
      </c>
      <c r="B7" s="42" t="s">
        <v>54</v>
      </c>
      <c r="C7" s="42" t="s">
        <v>55</v>
      </c>
      <c r="D7" s="42" t="s">
        <v>125</v>
      </c>
      <c r="E7" s="47" t="n">
        <f aca="false">IF(D7="Count",SUMIFS(Measures!$E$5:$E$132,Measures!$A$5:$A$132,A7,Measures!$B$5:$B$132,B7),IFERROR(SUMIFS(Measures!$E$5:$E$132,Measures!$A$5:$A$132,A7,Measures!$B$5:$B$132,B7)/SUMIFS(Measures!$F$5:$F$132,Measures!$A$5:$A$132,A7,Measures!$B$5:$B$132,B7),""))</f>
        <v>0.715023231801755</v>
      </c>
      <c r="F7" s="47" t="n">
        <f aca="false">SUMIFS(Targets!$E$5:$E$36,Targets!$A$5:$A$36,A7,Targets!$B$5:$B$36,B7)</f>
        <v>0.7</v>
      </c>
      <c r="G7" s="47" t="n">
        <f aca="false">IFERROR(E7/F7,"")</f>
        <v>1.02146175971679</v>
      </c>
      <c r="H7" s="42" t="str">
        <f aca="false">IF(G7="","",IF(G7&gt;=1,"Met",IF(G7&gt;=0.9,"Near","Not met")))</f>
        <v>Met</v>
      </c>
    </row>
    <row r="8" customFormat="false" ht="15" hidden="false" customHeight="false" outlineLevel="0" collapsed="false">
      <c r="A8" s="42" t="s">
        <v>103</v>
      </c>
      <c r="B8" s="42" t="s">
        <v>56</v>
      </c>
      <c r="C8" s="42" t="s">
        <v>57</v>
      </c>
      <c r="D8" s="42" t="s">
        <v>124</v>
      </c>
      <c r="E8" s="46" t="n">
        <f aca="false">IF(D8="Count",SUMIFS(Measures!$E$5:$E$132,Measures!$A$5:$A$132,A8,Measures!$B$5:$B$132,B8),IFERROR(SUMIFS(Measures!$E$5:$E$132,Measures!$A$5:$A$132,A8,Measures!$B$5:$B$132,B8)/SUMIFS(Measures!$F$5:$F$132,Measures!$A$5:$A$132,A8,Measures!$B$5:$B$132,B8),""))</f>
        <v>454</v>
      </c>
      <c r="F8" s="46" t="n">
        <f aca="false">SUMIFS(Targets!$E$5:$E$36,Targets!$A$5:$A$36,A8,Targets!$B$5:$B$36,B8)</f>
        <v>420</v>
      </c>
      <c r="G8" s="47" t="n">
        <f aca="false">IFERROR(E8/F8,"")</f>
        <v>1.08095238095238</v>
      </c>
      <c r="H8" s="42" t="str">
        <f aca="false">IF(G8="","",IF(G8&gt;=1,"Met",IF(G8&gt;=0.9,"Near","Not met")))</f>
        <v>Met</v>
      </c>
    </row>
    <row r="9" customFormat="false" ht="15" hidden="false" customHeight="false" outlineLevel="0" collapsed="false">
      <c r="A9" s="42" t="s">
        <v>103</v>
      </c>
      <c r="B9" s="42" t="s">
        <v>58</v>
      </c>
      <c r="C9" s="42" t="s">
        <v>59</v>
      </c>
      <c r="D9" s="42" t="s">
        <v>126</v>
      </c>
      <c r="E9" s="49" t="n">
        <f aca="false">IF(D9="Count",SUMIFS(Measures!$E$5:$E$132,Measures!$A$5:$A$132,A9,Measures!$B$5:$B$132,B9),IFERROR(SUMIFS(Measures!$E$5:$E$132,Measures!$A$5:$A$132,A9,Measures!$B$5:$B$132,B9)/SUMIFS(Measures!$F$5:$F$132,Measures!$A$5:$A$132,A9,Measures!$B$5:$B$132,B9),""))</f>
        <v>15.2765418502203</v>
      </c>
      <c r="F9" s="49" t="n">
        <f aca="false">SUMIFS(Targets!$E$5:$E$36,Targets!$A$5:$A$36,A9,Targets!$B$5:$B$36,B9)</f>
        <v>14.5</v>
      </c>
      <c r="G9" s="47" t="n">
        <f aca="false">IFERROR(E9/F9,"")</f>
        <v>1.05355461036002</v>
      </c>
      <c r="H9" s="42" t="str">
        <f aca="false">IF(G9="","",IF(G9&gt;=1,"Met",IF(G9&gt;=0.9,"Near","Not met")))</f>
        <v>Met</v>
      </c>
    </row>
    <row r="10" customFormat="false" ht="15" hidden="false" customHeight="false" outlineLevel="0" collapsed="false">
      <c r="A10" s="42" t="s">
        <v>103</v>
      </c>
      <c r="B10" s="42" t="s">
        <v>60</v>
      </c>
      <c r="C10" s="42" t="s">
        <v>61</v>
      </c>
      <c r="D10" s="42" t="s">
        <v>125</v>
      </c>
      <c r="E10" s="47" t="n">
        <f aca="false">IF(D10="Count",SUMIFS(Measures!$E$5:$E$132,Measures!$A$5:$A$132,A10,Measures!$B$5:$B$132,B10),IFERROR(SUMIFS(Measures!$E$5:$E$132,Measures!$A$5:$A$132,A10,Measures!$B$5:$B$132,B10)/SUMIFS(Measures!$F$5:$F$132,Measures!$A$5:$A$132,A10,Measures!$B$5:$B$132,B10),""))</f>
        <v>0.72568578553616</v>
      </c>
      <c r="F10" s="47" t="n">
        <f aca="false">SUMIFS(Targets!$E$5:$E$36,Targets!$A$5:$A$36,A10,Targets!$B$5:$B$36,B10)</f>
        <v>0.75</v>
      </c>
      <c r="G10" s="47" t="n">
        <f aca="false">IFERROR(E10/F10,"")</f>
        <v>0.967581047381546</v>
      </c>
      <c r="H10" s="42" t="str">
        <f aca="false">IF(G10="","",IF(G10&gt;=1,"Met",IF(G10&gt;=0.9,"Near","Not met")))</f>
        <v>Near</v>
      </c>
    </row>
    <row r="11" customFormat="false" ht="15" hidden="false" customHeight="false" outlineLevel="0" collapsed="false">
      <c r="A11" s="42" t="s">
        <v>103</v>
      </c>
      <c r="B11" s="42" t="s">
        <v>62</v>
      </c>
      <c r="C11" s="42" t="s">
        <v>63</v>
      </c>
      <c r="D11" s="42" t="s">
        <v>125</v>
      </c>
      <c r="E11" s="47" t="n">
        <f aca="false">IF(D11="Count",SUMIFS(Measures!$E$5:$E$132,Measures!$A$5:$A$132,A11,Measures!$B$5:$B$132,B11),IFERROR(SUMIFS(Measures!$E$5:$E$132,Measures!$A$5:$A$132,A11,Measures!$B$5:$B$132,B11)/SUMIFS(Measures!$F$5:$F$132,Measures!$A$5:$A$132,A11,Measures!$B$5:$B$132,B11),""))</f>
        <v>0.593137254901961</v>
      </c>
      <c r="F11" s="47" t="n">
        <f aca="false">SUMIFS(Targets!$E$5:$E$36,Targets!$A$5:$A$36,A11,Targets!$B$5:$B$36,B11)</f>
        <v>0.6</v>
      </c>
      <c r="G11" s="47" t="n">
        <f aca="false">IFERROR(E11/F11,"")</f>
        <v>0.988562091503268</v>
      </c>
      <c r="H11" s="42" t="str">
        <f aca="false">IF(G11="","",IF(G11&gt;=1,"Met",IF(G11&gt;=0.9,"Near","Not met")))</f>
        <v>Near</v>
      </c>
    </row>
    <row r="12" customFormat="false" ht="15" hidden="false" customHeight="false" outlineLevel="0" collapsed="false">
      <c r="A12" s="42" t="s">
        <v>103</v>
      </c>
      <c r="B12" s="42" t="s">
        <v>64</v>
      </c>
      <c r="C12" s="42" t="s">
        <v>65</v>
      </c>
      <c r="D12" s="42" t="s">
        <v>125</v>
      </c>
      <c r="E12" s="47" t="n">
        <f aca="false">IF(D12="Count",SUMIFS(Measures!$E$5:$E$132,Measures!$A$5:$A$132,A12,Measures!$B$5:$B$132,B12),IFERROR(SUMIFS(Measures!$E$5:$E$132,Measures!$A$5:$A$132,A12,Measures!$B$5:$B$132,B12)/SUMIFS(Measures!$F$5:$F$132,Measures!$A$5:$A$132,A12,Measures!$B$5:$B$132,B12),""))</f>
        <v>1</v>
      </c>
      <c r="F12" s="47" t="n">
        <f aca="false">SUMIFS(Targets!$E$5:$E$36,Targets!$A$5:$A$36,A12,Targets!$B$5:$B$36,B12)</f>
        <v>1</v>
      </c>
      <c r="G12" s="47" t="n">
        <f aca="false">IFERROR(E12/F12,"")</f>
        <v>1</v>
      </c>
      <c r="H12" s="42" t="str">
        <f aca="false">IF(G12="","",IF(G12&gt;=1,"Met",IF(G12&gt;=0.9,"Near","Not met")))</f>
        <v>Met</v>
      </c>
    </row>
    <row r="13" customFormat="false" ht="15" hidden="false" customHeight="false" outlineLevel="0" collapsed="false">
      <c r="A13" s="42" t="s">
        <v>108</v>
      </c>
      <c r="B13" s="42" t="s">
        <v>50</v>
      </c>
      <c r="C13" s="42" t="s">
        <v>51</v>
      </c>
      <c r="D13" s="42" t="s">
        <v>124</v>
      </c>
      <c r="E13" s="46" t="n">
        <f aca="false">IF(D13="Count",SUMIFS(Measures!$E$5:$E$132,Measures!$A$5:$A$132,A13,Measures!$B$5:$B$132,B13),IFERROR(SUMIFS(Measures!$E$5:$E$132,Measures!$A$5:$A$132,A13,Measures!$B$5:$B$132,B13)/SUMIFS(Measures!$F$5:$F$132,Measures!$A$5:$A$132,A13,Measures!$B$5:$B$132,B13),""))</f>
        <v>295</v>
      </c>
      <c r="F13" s="46" t="n">
        <f aca="false">SUMIFS(Targets!$E$5:$E$36,Targets!$A$5:$A$36,A13,Targets!$B$5:$B$36,B13)</f>
        <v>360</v>
      </c>
      <c r="G13" s="47" t="n">
        <f aca="false">IFERROR(E13/F13,"")</f>
        <v>0.819444444444444</v>
      </c>
      <c r="H13" s="42" t="str">
        <f aca="false">IF(G13="","",IF(G13&gt;=1,"Met",IF(G13&gt;=0.9,"Near","Not met")))</f>
        <v>Not met</v>
      </c>
    </row>
    <row r="14" customFormat="false" ht="15" hidden="false" customHeight="false" outlineLevel="0" collapsed="false">
      <c r="A14" s="42" t="s">
        <v>108</v>
      </c>
      <c r="B14" s="42" t="s">
        <v>52</v>
      </c>
      <c r="C14" s="42" t="s">
        <v>53</v>
      </c>
      <c r="D14" s="42" t="s">
        <v>125</v>
      </c>
      <c r="E14" s="47" t="n">
        <f aca="false">IF(D14="Count",SUMIFS(Measures!$E$5:$E$132,Measures!$A$5:$A$132,A14,Measures!$B$5:$B$132,B14),IFERROR(SUMIFS(Measures!$E$5:$E$132,Measures!$A$5:$A$132,A14,Measures!$B$5:$B$132,B14)/SUMIFS(Measures!$F$5:$F$132,Measures!$A$5:$A$132,A14,Measures!$B$5:$B$132,B14),""))</f>
        <v>0.84406779661017</v>
      </c>
      <c r="F14" s="47" t="n">
        <f aca="false">SUMIFS(Targets!$E$5:$E$36,Targets!$A$5:$A$36,A14,Targets!$B$5:$B$36,B14)</f>
        <v>0.9</v>
      </c>
      <c r="G14" s="47" t="n">
        <f aca="false">IFERROR(E14/F14,"")</f>
        <v>0.937853107344633</v>
      </c>
      <c r="H14" s="42" t="str">
        <f aca="false">IF(G14="","",IF(G14&gt;=1,"Met",IF(G14&gt;=0.9,"Near","Not met")))</f>
        <v>Near</v>
      </c>
    </row>
    <row r="15" customFormat="false" ht="15" hidden="false" customHeight="false" outlineLevel="0" collapsed="false">
      <c r="A15" s="42" t="s">
        <v>108</v>
      </c>
      <c r="B15" s="42" t="s">
        <v>54</v>
      </c>
      <c r="C15" s="42" t="s">
        <v>55</v>
      </c>
      <c r="D15" s="42" t="s">
        <v>125</v>
      </c>
      <c r="E15" s="47" t="n">
        <f aca="false">IF(D15="Count",SUMIFS(Measures!$E$5:$E$132,Measures!$A$5:$A$132,A15,Measures!$B$5:$B$132,B15),IFERROR(SUMIFS(Measures!$E$5:$E$132,Measures!$A$5:$A$132,A15,Measures!$B$5:$B$132,B15)/SUMIFS(Measures!$F$5:$F$132,Measures!$A$5:$A$132,A15,Measures!$B$5:$B$132,B15),""))</f>
        <v>0.654002713704206</v>
      </c>
      <c r="F15" s="47" t="n">
        <f aca="false">SUMIFS(Targets!$E$5:$E$36,Targets!$A$5:$A$36,A15,Targets!$B$5:$B$36,B15)</f>
        <v>0.7</v>
      </c>
      <c r="G15" s="47" t="n">
        <f aca="false">IFERROR(E15/F15,"")</f>
        <v>0.934289591006009</v>
      </c>
      <c r="H15" s="42" t="str">
        <f aca="false">IF(G15="","",IF(G15&gt;=1,"Met",IF(G15&gt;=0.9,"Near","Not met")))</f>
        <v>Near</v>
      </c>
    </row>
    <row r="16" customFormat="false" ht="15" hidden="false" customHeight="false" outlineLevel="0" collapsed="false">
      <c r="A16" s="42" t="s">
        <v>108</v>
      </c>
      <c r="B16" s="42" t="s">
        <v>56</v>
      </c>
      <c r="C16" s="42" t="s">
        <v>57</v>
      </c>
      <c r="D16" s="42" t="s">
        <v>124</v>
      </c>
      <c r="E16" s="46" t="n">
        <f aca="false">IF(D16="Count",SUMIFS(Measures!$E$5:$E$132,Measures!$A$5:$A$132,A16,Measures!$B$5:$B$132,B16),IFERROR(SUMIFS(Measures!$E$5:$E$132,Measures!$A$5:$A$132,A16,Measures!$B$5:$B$132,B16)/SUMIFS(Measures!$F$5:$F$132,Measures!$A$5:$A$132,A16,Measures!$B$5:$B$132,B16),""))</f>
        <v>106</v>
      </c>
      <c r="F16" s="46" t="n">
        <f aca="false">SUMIFS(Targets!$E$5:$E$36,Targets!$A$5:$A$36,A16,Targets!$B$5:$B$36,B16)</f>
        <v>150</v>
      </c>
      <c r="G16" s="47" t="n">
        <f aca="false">IFERROR(E16/F16,"")</f>
        <v>0.706666666666667</v>
      </c>
      <c r="H16" s="42" t="str">
        <f aca="false">IF(G16="","",IF(G16&gt;=1,"Met",IF(G16&gt;=0.9,"Near","Not met")))</f>
        <v>Not met</v>
      </c>
    </row>
    <row r="17" customFormat="false" ht="15" hidden="false" customHeight="false" outlineLevel="0" collapsed="false">
      <c r="A17" s="42" t="s">
        <v>108</v>
      </c>
      <c r="B17" s="42" t="s">
        <v>58</v>
      </c>
      <c r="C17" s="42" t="s">
        <v>59</v>
      </c>
      <c r="D17" s="42" t="s">
        <v>126</v>
      </c>
      <c r="E17" s="49" t="n">
        <f aca="false">IF(D17="Count",SUMIFS(Measures!$E$5:$E$132,Measures!$A$5:$A$132,A17,Measures!$B$5:$B$132,B17),IFERROR(SUMIFS(Measures!$E$5:$E$132,Measures!$A$5:$A$132,A17,Measures!$B$5:$B$132,B17)/SUMIFS(Measures!$F$5:$F$132,Measures!$A$5:$A$132,A17,Measures!$B$5:$B$132,B17),""))</f>
        <v>13.2483018867925</v>
      </c>
      <c r="F17" s="49" t="n">
        <f aca="false">SUMIFS(Targets!$E$5:$E$36,Targets!$A$5:$A$36,A17,Targets!$B$5:$B$36,B17)</f>
        <v>14.5</v>
      </c>
      <c r="G17" s="47" t="n">
        <f aca="false">IFERROR(E17/F17,"")</f>
        <v>0.913675992192583</v>
      </c>
      <c r="H17" s="42" t="str">
        <f aca="false">IF(G17="","",IF(G17&gt;=1,"Met",IF(G17&gt;=0.9,"Near","Not met")))</f>
        <v>Near</v>
      </c>
    </row>
    <row r="18" customFormat="false" ht="15" hidden="false" customHeight="false" outlineLevel="0" collapsed="false">
      <c r="A18" s="42" t="s">
        <v>108</v>
      </c>
      <c r="B18" s="42" t="s">
        <v>60</v>
      </c>
      <c r="C18" s="42" t="s">
        <v>61</v>
      </c>
      <c r="D18" s="42" t="s">
        <v>125</v>
      </c>
      <c r="E18" s="47" t="n">
        <f aca="false">IF(D18="Count",SUMIFS(Measures!$E$5:$E$132,Measures!$A$5:$A$132,A18,Measures!$B$5:$B$132,B18),IFERROR(SUMIFS(Measures!$E$5:$E$132,Measures!$A$5:$A$132,A18,Measures!$B$5:$B$132,B18)/SUMIFS(Measures!$F$5:$F$132,Measures!$A$5:$A$132,A18,Measures!$B$5:$B$132,B18),""))</f>
        <v>0.723404255319149</v>
      </c>
      <c r="F18" s="47" t="n">
        <f aca="false">SUMIFS(Targets!$E$5:$E$36,Targets!$A$5:$A$36,A18,Targets!$B$5:$B$36,B18)</f>
        <v>0.75</v>
      </c>
      <c r="G18" s="47" t="n">
        <f aca="false">IFERROR(E18/F18,"")</f>
        <v>0.964539007092199</v>
      </c>
      <c r="H18" s="42" t="str">
        <f aca="false">IF(G18="","",IF(G18&gt;=1,"Met",IF(G18&gt;=0.9,"Near","Not met")))</f>
        <v>Near</v>
      </c>
    </row>
    <row r="19" customFormat="false" ht="15" hidden="false" customHeight="false" outlineLevel="0" collapsed="false">
      <c r="A19" s="42" t="s">
        <v>108</v>
      </c>
      <c r="B19" s="42" t="s">
        <v>62</v>
      </c>
      <c r="C19" s="42" t="s">
        <v>63</v>
      </c>
      <c r="D19" s="42" t="s">
        <v>125</v>
      </c>
      <c r="E19" s="47" t="n">
        <f aca="false">IF(D19="Count",SUMIFS(Measures!$E$5:$E$132,Measures!$A$5:$A$132,A19,Measures!$B$5:$B$132,B19),IFERROR(SUMIFS(Measures!$E$5:$E$132,Measures!$A$5:$A$132,A19,Measures!$B$5:$B$132,B19)/SUMIFS(Measures!$F$5:$F$132,Measures!$A$5:$A$132,A19,Measures!$B$5:$B$132,B19),""))</f>
        <v>0.555555555555556</v>
      </c>
      <c r="F19" s="47" t="n">
        <f aca="false">SUMIFS(Targets!$E$5:$E$36,Targets!$A$5:$A$36,A19,Targets!$B$5:$B$36,B19)</f>
        <v>0.6</v>
      </c>
      <c r="G19" s="47" t="n">
        <f aca="false">IFERROR(E19/F19,"")</f>
        <v>0.925925925925926</v>
      </c>
      <c r="H19" s="42" t="str">
        <f aca="false">IF(G19="","",IF(G19&gt;=1,"Met",IF(G19&gt;=0.9,"Near","Not met")))</f>
        <v>Near</v>
      </c>
    </row>
    <row r="20" customFormat="false" ht="15" hidden="false" customHeight="false" outlineLevel="0" collapsed="false">
      <c r="A20" s="42" t="s">
        <v>108</v>
      </c>
      <c r="B20" s="42" t="s">
        <v>64</v>
      </c>
      <c r="C20" s="42" t="s">
        <v>65</v>
      </c>
      <c r="D20" s="42" t="s">
        <v>125</v>
      </c>
      <c r="E20" s="47" t="n">
        <f aca="false">IF(D20="Count",SUMIFS(Measures!$E$5:$E$132,Measures!$A$5:$A$132,A20,Measures!$B$5:$B$132,B20),IFERROR(SUMIFS(Measures!$E$5:$E$132,Measures!$A$5:$A$132,A20,Measures!$B$5:$B$132,B20)/SUMIFS(Measures!$F$5:$F$132,Measures!$A$5:$A$132,A20,Measures!$B$5:$B$132,B20),""))</f>
        <v>0.833333333333333</v>
      </c>
      <c r="F20" s="47" t="n">
        <f aca="false">SUMIFS(Targets!$E$5:$E$36,Targets!$A$5:$A$36,A20,Targets!$B$5:$B$36,B20)</f>
        <v>1</v>
      </c>
      <c r="G20" s="47" t="n">
        <f aca="false">IFERROR(E20/F20,"")</f>
        <v>0.833333333333333</v>
      </c>
      <c r="H20" s="42" t="str">
        <f aca="false">IF(G20="","",IF(G20&gt;=1,"Met",IF(G20&gt;=0.9,"Near","Not met")))</f>
        <v>Not met</v>
      </c>
    </row>
    <row r="21" customFormat="false" ht="15" hidden="false" customHeight="false" outlineLevel="0" collapsed="false">
      <c r="A21" s="42" t="s">
        <v>113</v>
      </c>
      <c r="B21" s="42" t="s">
        <v>50</v>
      </c>
      <c r="C21" s="42" t="s">
        <v>51</v>
      </c>
      <c r="D21" s="42" t="s">
        <v>124</v>
      </c>
      <c r="E21" s="46" t="n">
        <f aca="false">IF(D21="Count",SUMIFS(Measures!$E$5:$E$132,Measures!$A$5:$A$132,A21,Measures!$B$5:$B$132,B21),IFERROR(SUMIFS(Measures!$E$5:$E$132,Measures!$A$5:$A$132,A21,Measures!$B$5:$B$132,B21)/SUMIFS(Measures!$F$5:$F$132,Measures!$A$5:$A$132,A21,Measures!$B$5:$B$132,B21),""))</f>
        <v>757</v>
      </c>
      <c r="F21" s="46" t="n">
        <f aca="false">SUMIFS(Targets!$E$5:$E$36,Targets!$A$5:$A$36,A21,Targets!$B$5:$B$36,B21)</f>
        <v>780</v>
      </c>
      <c r="G21" s="47" t="n">
        <f aca="false">IFERROR(E21/F21,"")</f>
        <v>0.970512820512821</v>
      </c>
      <c r="H21" s="42" t="str">
        <f aca="false">IF(G21="","",IF(G21&gt;=1,"Met",IF(G21&gt;=0.9,"Near","Not met")))</f>
        <v>Near</v>
      </c>
    </row>
    <row r="22" customFormat="false" ht="15" hidden="false" customHeight="false" outlineLevel="0" collapsed="false">
      <c r="A22" s="42" t="s">
        <v>113</v>
      </c>
      <c r="B22" s="42" t="s">
        <v>52</v>
      </c>
      <c r="C22" s="42" t="s">
        <v>53</v>
      </c>
      <c r="D22" s="42" t="s">
        <v>125</v>
      </c>
      <c r="E22" s="47" t="n">
        <f aca="false">IF(D22="Count",SUMIFS(Measures!$E$5:$E$132,Measures!$A$5:$A$132,A22,Measures!$B$5:$B$132,B22),IFERROR(SUMIFS(Measures!$E$5:$E$132,Measures!$A$5:$A$132,A22,Measures!$B$5:$B$132,B22)/SUMIFS(Measures!$F$5:$F$132,Measures!$A$5:$A$132,A22,Measures!$B$5:$B$132,B22),""))</f>
        <v>0.792602377807133</v>
      </c>
      <c r="F22" s="47" t="n">
        <f aca="false">SUMIFS(Targets!$E$5:$E$36,Targets!$A$5:$A$36,A22,Targets!$B$5:$B$36,B22)</f>
        <v>0.9</v>
      </c>
      <c r="G22" s="47" t="n">
        <f aca="false">IFERROR(E22/F22,"")</f>
        <v>0.880669308674593</v>
      </c>
      <c r="H22" s="42" t="str">
        <f aca="false">IF(G22="","",IF(G22&gt;=1,"Met",IF(G22&gt;=0.9,"Near","Not met")))</f>
        <v>Not met</v>
      </c>
    </row>
    <row r="23" customFormat="false" ht="15" hidden="false" customHeight="false" outlineLevel="0" collapsed="false">
      <c r="A23" s="42" t="s">
        <v>113</v>
      </c>
      <c r="B23" s="42" t="s">
        <v>54</v>
      </c>
      <c r="C23" s="42" t="s">
        <v>55</v>
      </c>
      <c r="D23" s="42" t="s">
        <v>125</v>
      </c>
      <c r="E23" s="47" t="n">
        <f aca="false">IF(D23="Count",SUMIFS(Measures!$E$5:$E$132,Measures!$A$5:$A$132,A23,Measures!$B$5:$B$132,B23),IFERROR(SUMIFS(Measures!$E$5:$E$132,Measures!$A$5:$A$132,A23,Measures!$B$5:$B$132,B23)/SUMIFS(Measures!$F$5:$F$132,Measures!$A$5:$A$132,A23,Measures!$B$5:$B$132,B23),""))</f>
        <v>0.652037617554859</v>
      </c>
      <c r="F23" s="47" t="n">
        <f aca="false">SUMIFS(Targets!$E$5:$E$36,Targets!$A$5:$A$36,A23,Targets!$B$5:$B$36,B23)</f>
        <v>0.7</v>
      </c>
      <c r="G23" s="47" t="n">
        <f aca="false">IFERROR(E23/F23,"")</f>
        <v>0.931482310792656</v>
      </c>
      <c r="H23" s="42" t="str">
        <f aca="false">IF(G23="","",IF(G23&gt;=1,"Met",IF(G23&gt;=0.9,"Near","Not met")))</f>
        <v>Near</v>
      </c>
    </row>
    <row r="24" customFormat="false" ht="15" hidden="false" customHeight="false" outlineLevel="0" collapsed="false">
      <c r="A24" s="42" t="s">
        <v>113</v>
      </c>
      <c r="B24" s="42" t="s">
        <v>56</v>
      </c>
      <c r="C24" s="42" t="s">
        <v>57</v>
      </c>
      <c r="D24" s="42" t="s">
        <v>124</v>
      </c>
      <c r="E24" s="46" t="n">
        <f aca="false">IF(D24="Count",SUMIFS(Measures!$E$5:$E$132,Measures!$A$5:$A$132,A24,Measures!$B$5:$B$132,B24),IFERROR(SUMIFS(Measures!$E$5:$E$132,Measures!$A$5:$A$132,A24,Measures!$B$5:$B$132,B24)/SUMIFS(Measures!$F$5:$F$132,Measures!$A$5:$A$132,A24,Measures!$B$5:$B$132,B24),""))</f>
        <v>294</v>
      </c>
      <c r="F24" s="46" t="n">
        <f aca="false">SUMIFS(Targets!$E$5:$E$36,Targets!$A$5:$A$36,A24,Targets!$B$5:$B$36,B24)</f>
        <v>330</v>
      </c>
      <c r="G24" s="47" t="n">
        <f aca="false">IFERROR(E24/F24,"")</f>
        <v>0.890909090909091</v>
      </c>
      <c r="H24" s="42" t="str">
        <f aca="false">IF(G24="","",IF(G24&gt;=1,"Met",IF(G24&gt;=0.9,"Near","Not met")))</f>
        <v>Not met</v>
      </c>
    </row>
    <row r="25" customFormat="false" ht="15" hidden="false" customHeight="false" outlineLevel="0" collapsed="false">
      <c r="A25" s="42" t="s">
        <v>113</v>
      </c>
      <c r="B25" s="42" t="s">
        <v>58</v>
      </c>
      <c r="C25" s="42" t="s">
        <v>59</v>
      </c>
      <c r="D25" s="42" t="s">
        <v>126</v>
      </c>
      <c r="E25" s="49" t="n">
        <f aca="false">IF(D25="Count",SUMIFS(Measures!$E$5:$E$132,Measures!$A$5:$A$132,A25,Measures!$B$5:$B$132,B25),IFERROR(SUMIFS(Measures!$E$5:$E$132,Measures!$A$5:$A$132,A25,Measures!$B$5:$B$132,B25)/SUMIFS(Measures!$F$5:$F$132,Measures!$A$5:$A$132,A25,Measures!$B$5:$B$132,B25),""))</f>
        <v>14.9128911564626</v>
      </c>
      <c r="F25" s="49" t="n">
        <f aca="false">SUMIFS(Targets!$E$5:$E$36,Targets!$A$5:$A$36,A25,Targets!$B$5:$B$36,B25)</f>
        <v>14.5</v>
      </c>
      <c r="G25" s="47" t="n">
        <f aca="false">IFERROR(E25/F25,"")</f>
        <v>1.02847525216983</v>
      </c>
      <c r="H25" s="42" t="str">
        <f aca="false">IF(G25="","",IF(G25&gt;=1,"Met",IF(G25&gt;=0.9,"Near","Not met")))</f>
        <v>Met</v>
      </c>
    </row>
    <row r="26" customFormat="false" ht="15" hidden="false" customHeight="false" outlineLevel="0" collapsed="false">
      <c r="A26" s="42" t="s">
        <v>113</v>
      </c>
      <c r="B26" s="42" t="s">
        <v>60</v>
      </c>
      <c r="C26" s="42" t="s">
        <v>61</v>
      </c>
      <c r="D26" s="42" t="s">
        <v>125</v>
      </c>
      <c r="E26" s="47" t="n">
        <f aca="false">IF(D26="Count",SUMIFS(Measures!$E$5:$E$132,Measures!$A$5:$A$132,A26,Measures!$B$5:$B$132,B26),IFERROR(SUMIFS(Measures!$E$5:$E$132,Measures!$A$5:$A$132,A26,Measures!$B$5:$B$132,B26)/SUMIFS(Measures!$F$5:$F$132,Measures!$A$5:$A$132,A26,Measures!$B$5:$B$132,B26),""))</f>
        <v>0.767175572519084</v>
      </c>
      <c r="F26" s="47" t="n">
        <f aca="false">SUMIFS(Targets!$E$5:$E$36,Targets!$A$5:$A$36,A26,Targets!$B$5:$B$36,B26)</f>
        <v>0.75</v>
      </c>
      <c r="G26" s="47" t="n">
        <f aca="false">IFERROR(E26/F26,"")</f>
        <v>1.02290076335878</v>
      </c>
      <c r="H26" s="42" t="str">
        <f aca="false">IF(G26="","",IF(G26&gt;=1,"Met",IF(G26&gt;=0.9,"Near","Not met")))</f>
        <v>Met</v>
      </c>
    </row>
    <row r="27" customFormat="false" ht="15" hidden="false" customHeight="false" outlineLevel="0" collapsed="false">
      <c r="A27" s="42" t="s">
        <v>113</v>
      </c>
      <c r="B27" s="42" t="s">
        <v>62</v>
      </c>
      <c r="C27" s="42" t="s">
        <v>63</v>
      </c>
      <c r="D27" s="42" t="s">
        <v>125</v>
      </c>
      <c r="E27" s="47" t="n">
        <f aca="false">IF(D27="Count",SUMIFS(Measures!$E$5:$E$132,Measures!$A$5:$A$132,A27,Measures!$B$5:$B$132,B27),IFERROR(SUMIFS(Measures!$E$5:$E$132,Measures!$A$5:$A$132,A27,Measures!$B$5:$B$132,B27)/SUMIFS(Measures!$F$5:$F$132,Measures!$A$5:$A$132,A27,Measures!$B$5:$B$132,B27),""))</f>
        <v>0.606060606060606</v>
      </c>
      <c r="F27" s="47" t="n">
        <f aca="false">SUMIFS(Targets!$E$5:$E$36,Targets!$A$5:$A$36,A27,Targets!$B$5:$B$36,B27)</f>
        <v>0.6</v>
      </c>
      <c r="G27" s="47" t="n">
        <f aca="false">IFERROR(E27/F27,"")</f>
        <v>1.01010101010101</v>
      </c>
      <c r="H27" s="42" t="str">
        <f aca="false">IF(G27="","",IF(G27&gt;=1,"Met",IF(G27&gt;=0.9,"Near","Not met")))</f>
        <v>Met</v>
      </c>
    </row>
    <row r="28" customFormat="false" ht="15" hidden="false" customHeight="false" outlineLevel="0" collapsed="false">
      <c r="A28" s="42" t="s">
        <v>113</v>
      </c>
      <c r="B28" s="42" t="s">
        <v>64</v>
      </c>
      <c r="C28" s="42" t="s">
        <v>65</v>
      </c>
      <c r="D28" s="42" t="s">
        <v>125</v>
      </c>
      <c r="E28" s="47" t="n">
        <f aca="false">IF(D28="Count",SUMIFS(Measures!$E$5:$E$132,Measures!$A$5:$A$132,A28,Measures!$B$5:$B$132,B28),IFERROR(SUMIFS(Measures!$E$5:$E$132,Measures!$A$5:$A$132,A28,Measures!$B$5:$B$132,B28)/SUMIFS(Measures!$F$5:$F$132,Measures!$A$5:$A$132,A28,Measures!$B$5:$B$132,B28),""))</f>
        <v>0.916666666666667</v>
      </c>
      <c r="F28" s="47" t="n">
        <f aca="false">SUMIFS(Targets!$E$5:$E$36,Targets!$A$5:$A$36,A28,Targets!$B$5:$B$36,B28)</f>
        <v>1</v>
      </c>
      <c r="G28" s="47" t="n">
        <f aca="false">IFERROR(E28/F28,"")</f>
        <v>0.916666666666667</v>
      </c>
      <c r="H28" s="42" t="str">
        <f aca="false">IF(G28="","",IF(G28&gt;=1,"Met",IF(G28&gt;=0.9,"Near","Not met")))</f>
        <v>Near</v>
      </c>
    </row>
    <row r="29" customFormat="false" ht="15" hidden="false" customHeight="false" outlineLevel="0" collapsed="false">
      <c r="A29" s="42" t="s">
        <v>117</v>
      </c>
      <c r="B29" s="42" t="s">
        <v>50</v>
      </c>
      <c r="C29" s="42" t="s">
        <v>51</v>
      </c>
      <c r="D29" s="42" t="s">
        <v>124</v>
      </c>
      <c r="E29" s="46" t="n">
        <f aca="false">IF(D29="Count",SUMIFS(Measures!$E$5:$E$132,Measures!$A$5:$A$132,A29,Measures!$B$5:$B$132,B29),IFERROR(SUMIFS(Measures!$E$5:$E$132,Measures!$A$5:$A$132,A29,Measures!$B$5:$B$132,B29)/SUMIFS(Measures!$F$5:$F$132,Measures!$A$5:$A$132,A29,Measures!$B$5:$B$132,B29),""))</f>
        <v>285</v>
      </c>
      <c r="F29" s="46" t="n">
        <f aca="false">SUMIFS(Targets!$E$5:$E$36,Targets!$A$5:$A$36,A29,Targets!$B$5:$B$36,B29)</f>
        <v>300</v>
      </c>
      <c r="G29" s="47" t="n">
        <f aca="false">IFERROR(E29/F29,"")</f>
        <v>0.95</v>
      </c>
      <c r="H29" s="42" t="str">
        <f aca="false">IF(G29="","",IF(G29&gt;=1,"Met",IF(G29&gt;=0.9,"Near","Not met")))</f>
        <v>Near</v>
      </c>
    </row>
    <row r="30" customFormat="false" ht="15" hidden="false" customHeight="false" outlineLevel="0" collapsed="false">
      <c r="A30" s="42" t="s">
        <v>117</v>
      </c>
      <c r="B30" s="42" t="s">
        <v>52</v>
      </c>
      <c r="C30" s="42" t="s">
        <v>53</v>
      </c>
      <c r="D30" s="42" t="s">
        <v>125</v>
      </c>
      <c r="E30" s="47" t="n">
        <f aca="false">IF(D30="Count",SUMIFS(Measures!$E$5:$E$132,Measures!$A$5:$A$132,A30,Measures!$B$5:$B$132,B30),IFERROR(SUMIFS(Measures!$E$5:$E$132,Measures!$A$5:$A$132,A30,Measures!$B$5:$B$132,B30)/SUMIFS(Measures!$F$5:$F$132,Measures!$A$5:$A$132,A30,Measures!$B$5:$B$132,B30),""))</f>
        <v>0.947368421052632</v>
      </c>
      <c r="F30" s="47" t="n">
        <f aca="false">SUMIFS(Targets!$E$5:$E$36,Targets!$A$5:$A$36,A30,Targets!$B$5:$B$36,B30)</f>
        <v>0.9</v>
      </c>
      <c r="G30" s="47" t="n">
        <f aca="false">IFERROR(E30/F30,"")</f>
        <v>1.05263157894737</v>
      </c>
      <c r="H30" s="42" t="str">
        <f aca="false">IF(G30="","",IF(G30&gt;=1,"Met",IF(G30&gt;=0.9,"Near","Not met")))</f>
        <v>Met</v>
      </c>
    </row>
    <row r="31" customFormat="false" ht="15" hidden="false" customHeight="false" outlineLevel="0" collapsed="false">
      <c r="A31" s="42" t="s">
        <v>117</v>
      </c>
      <c r="B31" s="42" t="s">
        <v>54</v>
      </c>
      <c r="C31" s="42" t="s">
        <v>55</v>
      </c>
      <c r="D31" s="42" t="s">
        <v>125</v>
      </c>
      <c r="E31" s="47" t="n">
        <f aca="false">IF(D31="Count",SUMIFS(Measures!$E$5:$E$132,Measures!$A$5:$A$132,A31,Measures!$B$5:$B$132,B31),IFERROR(SUMIFS(Measures!$E$5:$E$132,Measures!$A$5:$A$132,A31,Measures!$B$5:$B$132,B31)/SUMIFS(Measures!$F$5:$F$132,Measures!$A$5:$A$132,A31,Measures!$B$5:$B$132,B31),""))</f>
        <v>0.718349928876245</v>
      </c>
      <c r="F31" s="47" t="n">
        <f aca="false">SUMIFS(Targets!$E$5:$E$36,Targets!$A$5:$A$36,A31,Targets!$B$5:$B$36,B31)</f>
        <v>0.7</v>
      </c>
      <c r="G31" s="47" t="n">
        <f aca="false">IFERROR(E31/F31,"")</f>
        <v>1.02621418410892</v>
      </c>
      <c r="H31" s="42" t="str">
        <f aca="false">IF(G31="","",IF(G31&gt;=1,"Met",IF(G31&gt;=0.9,"Near","Not met")))</f>
        <v>Met</v>
      </c>
    </row>
    <row r="32" customFormat="false" ht="15" hidden="false" customHeight="false" outlineLevel="0" collapsed="false">
      <c r="A32" s="42" t="s">
        <v>117</v>
      </c>
      <c r="B32" s="42" t="s">
        <v>56</v>
      </c>
      <c r="C32" s="42" t="s">
        <v>57</v>
      </c>
      <c r="D32" s="42" t="s">
        <v>124</v>
      </c>
      <c r="E32" s="46" t="n">
        <f aca="false">IF(D32="Count",SUMIFS(Measures!$E$5:$E$132,Measures!$A$5:$A$132,A32,Measures!$B$5:$B$132,B32),IFERROR(SUMIFS(Measures!$E$5:$E$132,Measures!$A$5:$A$132,A32,Measures!$B$5:$B$132,B32)/SUMIFS(Measures!$F$5:$F$132,Measures!$A$5:$A$132,A32,Measures!$B$5:$B$132,B32),""))</f>
        <v>108</v>
      </c>
      <c r="F32" s="46" t="n">
        <f aca="false">SUMIFS(Targets!$E$5:$E$36,Targets!$A$5:$A$36,A32,Targets!$B$5:$B$36,B32)</f>
        <v>110</v>
      </c>
      <c r="G32" s="47" t="n">
        <f aca="false">IFERROR(E32/F32,"")</f>
        <v>0.981818181818182</v>
      </c>
      <c r="H32" s="42" t="str">
        <f aca="false">IF(G32="","",IF(G32&gt;=1,"Met",IF(G32&gt;=0.9,"Near","Not met")))</f>
        <v>Near</v>
      </c>
    </row>
    <row r="33" customFormat="false" ht="15" hidden="false" customHeight="false" outlineLevel="0" collapsed="false">
      <c r="A33" s="42" t="s">
        <v>117</v>
      </c>
      <c r="B33" s="42" t="s">
        <v>58</v>
      </c>
      <c r="C33" s="42" t="s">
        <v>59</v>
      </c>
      <c r="D33" s="42" t="s">
        <v>126</v>
      </c>
      <c r="E33" s="49" t="n">
        <f aca="false">IF(D33="Count",SUMIFS(Measures!$E$5:$E$132,Measures!$A$5:$A$132,A33,Measures!$B$5:$B$132,B33),IFERROR(SUMIFS(Measures!$E$5:$E$132,Measures!$A$5:$A$132,A33,Measures!$B$5:$B$132,B33)/SUMIFS(Measures!$F$5:$F$132,Measures!$A$5:$A$132,A33,Measures!$B$5:$B$132,B33),""))</f>
        <v>15.0072222222222</v>
      </c>
      <c r="F33" s="49" t="n">
        <f aca="false">SUMIFS(Targets!$E$5:$E$36,Targets!$A$5:$A$36,A33,Targets!$B$5:$B$36,B33)</f>
        <v>14.5</v>
      </c>
      <c r="G33" s="47" t="n">
        <f aca="false">IFERROR(E33/F33,"")</f>
        <v>1.03498084291188</v>
      </c>
      <c r="H33" s="42" t="str">
        <f aca="false">IF(G33="","",IF(G33&gt;=1,"Met",IF(G33&gt;=0.9,"Near","Not met")))</f>
        <v>Met</v>
      </c>
    </row>
    <row r="34" customFormat="false" ht="15" hidden="false" customHeight="false" outlineLevel="0" collapsed="false">
      <c r="A34" s="42" t="s">
        <v>117</v>
      </c>
      <c r="B34" s="42" t="s">
        <v>60</v>
      </c>
      <c r="C34" s="42" t="s">
        <v>61</v>
      </c>
      <c r="D34" s="42" t="s">
        <v>125</v>
      </c>
      <c r="E34" s="47" t="n">
        <f aca="false">IF(D34="Count",SUMIFS(Measures!$E$5:$E$132,Measures!$A$5:$A$132,A34,Measures!$B$5:$B$132,B34),IFERROR(SUMIFS(Measures!$E$5:$E$132,Measures!$A$5:$A$132,A34,Measures!$B$5:$B$132,B34)/SUMIFS(Measures!$F$5:$F$132,Measures!$A$5:$A$132,A34,Measures!$B$5:$B$132,B34),""))</f>
        <v>0.779220779220779</v>
      </c>
      <c r="F34" s="47" t="n">
        <f aca="false">SUMIFS(Targets!$E$5:$E$36,Targets!$A$5:$A$36,A34,Targets!$B$5:$B$36,B34)</f>
        <v>0.75</v>
      </c>
      <c r="G34" s="47" t="n">
        <f aca="false">IFERROR(E34/F34,"")</f>
        <v>1.03896103896104</v>
      </c>
      <c r="H34" s="42" t="str">
        <f aca="false">IF(G34="","",IF(G34&gt;=1,"Met",IF(G34&gt;=0.9,"Near","Not met")))</f>
        <v>Met</v>
      </c>
    </row>
    <row r="35" customFormat="false" ht="15" hidden="false" customHeight="false" outlineLevel="0" collapsed="false">
      <c r="A35" s="42" t="s">
        <v>117</v>
      </c>
      <c r="B35" s="42" t="s">
        <v>62</v>
      </c>
      <c r="C35" s="42" t="s">
        <v>63</v>
      </c>
      <c r="D35" s="42" t="s">
        <v>125</v>
      </c>
      <c r="E35" s="47" t="n">
        <f aca="false">IF(D35="Count",SUMIFS(Measures!$E$5:$E$132,Measures!$A$5:$A$132,A35,Measures!$B$5:$B$132,B35),IFERROR(SUMIFS(Measures!$E$5:$E$132,Measures!$A$5:$A$132,A35,Measures!$B$5:$B$132,B35)/SUMIFS(Measures!$F$5:$F$132,Measures!$A$5:$A$132,A35,Measures!$B$5:$B$132,B35),""))</f>
        <v>0.7</v>
      </c>
      <c r="F35" s="47" t="n">
        <f aca="false">SUMIFS(Targets!$E$5:$E$36,Targets!$A$5:$A$36,A35,Targets!$B$5:$B$36,B35)</f>
        <v>0.6</v>
      </c>
      <c r="G35" s="47" t="n">
        <f aca="false">IFERROR(E35/F35,"")</f>
        <v>1.16666666666667</v>
      </c>
      <c r="H35" s="42" t="str">
        <f aca="false">IF(G35="","",IF(G35&gt;=1,"Met",IF(G35&gt;=0.9,"Near","Not met")))</f>
        <v>Met</v>
      </c>
    </row>
    <row r="36" customFormat="false" ht="15" hidden="false" customHeight="false" outlineLevel="0" collapsed="false">
      <c r="A36" s="42" t="s">
        <v>117</v>
      </c>
      <c r="B36" s="42" t="s">
        <v>64</v>
      </c>
      <c r="C36" s="42" t="s">
        <v>65</v>
      </c>
      <c r="D36" s="42" t="s">
        <v>125</v>
      </c>
      <c r="E36" s="47" t="n">
        <f aca="false">IF(D36="Count",SUMIFS(Measures!$E$5:$E$132,Measures!$A$5:$A$132,A36,Measures!$B$5:$B$132,B36),IFERROR(SUMIFS(Measures!$E$5:$E$132,Measures!$A$5:$A$132,A36,Measures!$B$5:$B$132,B36)/SUMIFS(Measures!$F$5:$F$132,Measures!$A$5:$A$132,A36,Measures!$B$5:$B$132,B36),""))</f>
        <v>1</v>
      </c>
      <c r="F36" s="47" t="n">
        <f aca="false">SUMIFS(Targets!$E$5:$E$36,Targets!$A$5:$A$36,A36,Targets!$B$5:$B$36,B36)</f>
        <v>1</v>
      </c>
      <c r="G36" s="47" t="n">
        <f aca="false">IFERROR(E36/F36,"")</f>
        <v>1</v>
      </c>
      <c r="H36" s="42" t="str">
        <f aca="false">IF(G36="","",IF(G36&gt;=1,"Met",IF(G36&gt;=0.9,"Near","Not met")))</f>
        <v>Met</v>
      </c>
    </row>
  </sheetData>
  <conditionalFormatting sqref="H5:H36">
    <cfRule type="cellIs" priority="2" operator="equal" aboveAverage="0" equalAverage="0" bottom="0" percent="0" rank="0" text="" dxfId="0">
      <formula>"Met"</formula>
    </cfRule>
    <cfRule type="cellIs" priority="3" operator="equal" aboveAverage="0" equalAverage="0" bottom="0" percent="0" rank="0" text="" dxfId="1">
      <formula>"Near"</formula>
    </cfRule>
    <cfRule type="cellIs" priority="4" operator="equal" aboveAverage="0" equalAverage="0" bottom="0" percent="0" rank="0" text="" dxfId="2">
      <formula>"Not met"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3"/>
    <col collapsed="false" customWidth="true" hidden="false" outlineLevel="0" max="7" min="7" style="0" width="44"/>
  </cols>
  <sheetData>
    <row r="1" customFormat="false" ht="17.35" hidden="false" customHeight="false" outlineLevel="0" collapsed="false">
      <c r="A1" s="1" t="s">
        <v>135</v>
      </c>
    </row>
    <row r="2" customFormat="false" ht="15" hidden="false" customHeight="false" outlineLevel="0" collapsed="false">
      <c r="A2" s="2" t="s">
        <v>136</v>
      </c>
    </row>
    <row r="4" customFormat="false" ht="30" hidden="false" customHeight="true" outlineLevel="0" collapsed="false">
      <c r="A4" s="38" t="s">
        <v>34</v>
      </c>
      <c r="B4" s="38" t="s">
        <v>82</v>
      </c>
      <c r="C4" s="38" t="s">
        <v>137</v>
      </c>
      <c r="D4" s="38" t="s">
        <v>68</v>
      </c>
      <c r="E4" s="38" t="s">
        <v>70</v>
      </c>
      <c r="F4" s="38" t="s">
        <v>138</v>
      </c>
      <c r="G4" s="38" t="s">
        <v>139</v>
      </c>
    </row>
    <row r="5" customFormat="false" ht="15" hidden="false" customHeight="false" outlineLevel="0" collapsed="false">
      <c r="A5" s="39" t="s">
        <v>103</v>
      </c>
      <c r="B5" s="39" t="s">
        <v>42</v>
      </c>
      <c r="C5" s="41" t="n">
        <v>45950</v>
      </c>
      <c r="D5" s="40" t="n">
        <v>505400</v>
      </c>
      <c r="E5" s="40" t="n">
        <v>505400</v>
      </c>
      <c r="F5" s="50" t="n">
        <f aca="false">D5-E5</f>
        <v>0</v>
      </c>
      <c r="G5" s="39"/>
    </row>
    <row r="6" customFormat="false" ht="15" hidden="false" customHeight="false" outlineLevel="0" collapsed="false">
      <c r="A6" s="39" t="s">
        <v>103</v>
      </c>
      <c r="B6" s="39" t="s">
        <v>43</v>
      </c>
      <c r="C6" s="41" t="n">
        <v>46043</v>
      </c>
      <c r="D6" s="40" t="n">
        <v>549300</v>
      </c>
      <c r="E6" s="40" t="n">
        <v>549300</v>
      </c>
      <c r="F6" s="50" t="n">
        <f aca="false">D6-E6</f>
        <v>0</v>
      </c>
      <c r="G6" s="39"/>
    </row>
    <row r="7" customFormat="false" ht="15" hidden="false" customHeight="false" outlineLevel="0" collapsed="false">
      <c r="A7" s="39" t="s">
        <v>103</v>
      </c>
      <c r="B7" s="39" t="s">
        <v>44</v>
      </c>
      <c r="C7" s="41" t="n">
        <v>46134</v>
      </c>
      <c r="D7" s="40" t="n">
        <v>571300</v>
      </c>
      <c r="E7" s="40" t="n">
        <v>571300</v>
      </c>
      <c r="F7" s="50" t="n">
        <f aca="false">D7-E7</f>
        <v>0</v>
      </c>
      <c r="G7" s="39"/>
    </row>
    <row r="8" customFormat="false" ht="15" hidden="false" customHeight="false" outlineLevel="0" collapsed="false">
      <c r="A8" s="39" t="s">
        <v>103</v>
      </c>
      <c r="B8" s="39" t="s">
        <v>45</v>
      </c>
      <c r="C8" s="41" t="n">
        <v>46227</v>
      </c>
      <c r="D8" s="40" t="n">
        <v>571300</v>
      </c>
      <c r="E8" s="40" t="n">
        <v>571300</v>
      </c>
      <c r="F8" s="50" t="n">
        <f aca="false">D8-E8</f>
        <v>0</v>
      </c>
      <c r="G8" s="39"/>
    </row>
    <row r="9" customFormat="false" ht="15" hidden="false" customHeight="false" outlineLevel="0" collapsed="false">
      <c r="A9" s="39" t="s">
        <v>108</v>
      </c>
      <c r="B9" s="39" t="s">
        <v>42</v>
      </c>
      <c r="C9" s="41" t="n">
        <v>45950</v>
      </c>
      <c r="D9" s="40" t="n">
        <v>138400</v>
      </c>
      <c r="E9" s="40" t="n">
        <v>138400</v>
      </c>
      <c r="F9" s="50" t="n">
        <f aca="false">D9-E9</f>
        <v>0</v>
      </c>
      <c r="G9" s="39"/>
    </row>
    <row r="10" customFormat="false" ht="15" hidden="false" customHeight="false" outlineLevel="0" collapsed="false">
      <c r="A10" s="39" t="s">
        <v>108</v>
      </c>
      <c r="B10" s="39" t="s">
        <v>43</v>
      </c>
      <c r="C10" s="41" t="n">
        <v>46080</v>
      </c>
      <c r="D10" s="40" t="n">
        <v>150400</v>
      </c>
      <c r="E10" s="40" t="n">
        <v>150400</v>
      </c>
      <c r="F10" s="50" t="n">
        <f aca="false">D10-E10</f>
        <v>0</v>
      </c>
      <c r="G10" s="39"/>
    </row>
    <row r="11" customFormat="false" ht="15" hidden="false" customHeight="false" outlineLevel="0" collapsed="false">
      <c r="A11" s="39" t="s">
        <v>108</v>
      </c>
      <c r="B11" s="39" t="s">
        <v>44</v>
      </c>
      <c r="C11" s="41" t="n">
        <v>46157</v>
      </c>
      <c r="D11" s="40" t="n">
        <v>156400</v>
      </c>
      <c r="E11" s="40" t="n">
        <v>154550</v>
      </c>
      <c r="F11" s="50" t="n">
        <f aca="false">D11-E11</f>
        <v>1850</v>
      </c>
      <c r="G11" s="39" t="s">
        <v>140</v>
      </c>
    </row>
    <row r="12" customFormat="false" ht="15" hidden="false" customHeight="false" outlineLevel="0" collapsed="false">
      <c r="A12" s="39" t="s">
        <v>108</v>
      </c>
      <c r="B12" s="39" t="s">
        <v>45</v>
      </c>
      <c r="C12" s="41" t="n">
        <v>46227</v>
      </c>
      <c r="D12" s="40" t="n">
        <v>156400</v>
      </c>
      <c r="E12" s="40" t="n">
        <v>156400</v>
      </c>
      <c r="F12" s="50" t="n">
        <f aca="false">D12-E12</f>
        <v>0</v>
      </c>
      <c r="G12" s="39"/>
    </row>
    <row r="13" customFormat="false" ht="15" hidden="false" customHeight="false" outlineLevel="0" collapsed="false">
      <c r="A13" s="39" t="s">
        <v>113</v>
      </c>
      <c r="B13" s="39" t="s">
        <v>42</v>
      </c>
      <c r="C13" s="41" t="n">
        <v>45950</v>
      </c>
      <c r="D13" s="40" t="n">
        <v>442600</v>
      </c>
      <c r="E13" s="40" t="n">
        <v>442600</v>
      </c>
      <c r="F13" s="50" t="n">
        <f aca="false">D13-E13</f>
        <v>0</v>
      </c>
      <c r="G13" s="39"/>
    </row>
    <row r="14" customFormat="false" ht="15" hidden="false" customHeight="false" outlineLevel="0" collapsed="false">
      <c r="A14" s="39" t="s">
        <v>113</v>
      </c>
      <c r="B14" s="39" t="s">
        <v>43</v>
      </c>
      <c r="C14" s="41" t="n">
        <v>46043</v>
      </c>
      <c r="D14" s="40" t="n">
        <v>481100</v>
      </c>
      <c r="E14" s="40" t="n">
        <v>469900</v>
      </c>
      <c r="F14" s="50" t="n">
        <f aca="false">D14-E14</f>
        <v>11200</v>
      </c>
      <c r="G14" s="39" t="s">
        <v>141</v>
      </c>
    </row>
    <row r="15" customFormat="false" ht="15" hidden="false" customHeight="false" outlineLevel="0" collapsed="false">
      <c r="A15" s="39" t="s">
        <v>113</v>
      </c>
      <c r="B15" s="39" t="s">
        <v>44</v>
      </c>
      <c r="C15" s="41" t="n">
        <v>46134</v>
      </c>
      <c r="D15" s="40" t="n">
        <v>500400</v>
      </c>
      <c r="E15" s="40" t="n">
        <v>493200</v>
      </c>
      <c r="F15" s="50" t="n">
        <f aca="false">D15-E15</f>
        <v>7200</v>
      </c>
      <c r="G15" s="39" t="s">
        <v>141</v>
      </c>
    </row>
    <row r="16" customFormat="false" ht="15" hidden="false" customHeight="false" outlineLevel="0" collapsed="false">
      <c r="A16" s="39" t="s">
        <v>113</v>
      </c>
      <c r="B16" s="39" t="s">
        <v>45</v>
      </c>
      <c r="C16" s="41" t="n">
        <v>46227</v>
      </c>
      <c r="D16" s="40" t="n">
        <v>500400</v>
      </c>
      <c r="E16" s="40" t="n">
        <v>500400</v>
      </c>
      <c r="F16" s="50" t="n">
        <f aca="false">D16-E16</f>
        <v>0</v>
      </c>
      <c r="G16" s="39"/>
    </row>
    <row r="17" customFormat="false" ht="15" hidden="false" customHeight="false" outlineLevel="0" collapsed="false">
      <c r="A17" s="39" t="s">
        <v>117</v>
      </c>
      <c r="B17" s="39" t="s">
        <v>42</v>
      </c>
      <c r="C17" s="41" t="n">
        <v>45950</v>
      </c>
      <c r="D17" s="40" t="n">
        <v>105300</v>
      </c>
      <c r="E17" s="40" t="n">
        <v>105300</v>
      </c>
      <c r="F17" s="50" t="n">
        <f aca="false">D17-E17</f>
        <v>0</v>
      </c>
      <c r="G17" s="39"/>
    </row>
    <row r="18" customFormat="false" ht="15" hidden="false" customHeight="false" outlineLevel="0" collapsed="false">
      <c r="A18" s="39" t="s">
        <v>117</v>
      </c>
      <c r="B18" s="39" t="s">
        <v>43</v>
      </c>
      <c r="C18" s="41" t="n">
        <v>46043</v>
      </c>
      <c r="D18" s="40" t="n">
        <v>142400</v>
      </c>
      <c r="E18" s="40" t="n">
        <v>142400</v>
      </c>
      <c r="F18" s="50" t="n">
        <f aca="false">D18-E18</f>
        <v>0</v>
      </c>
      <c r="G18" s="39"/>
    </row>
    <row r="19" customFormat="false" ht="15" hidden="false" customHeight="false" outlineLevel="0" collapsed="false">
      <c r="A19" s="39" t="s">
        <v>117</v>
      </c>
      <c r="B19" s="39" t="s">
        <v>44</v>
      </c>
      <c r="C19" s="41" t="n">
        <v>46134</v>
      </c>
      <c r="D19" s="40" t="n">
        <v>173400</v>
      </c>
      <c r="E19" s="40" t="n">
        <v>173400</v>
      </c>
      <c r="F19" s="50" t="n">
        <f aca="false">D19-E19</f>
        <v>0</v>
      </c>
      <c r="G19" s="39"/>
    </row>
    <row r="20" customFormat="false" ht="15" hidden="false" customHeight="false" outlineLevel="0" collapsed="false">
      <c r="A20" s="39" t="s">
        <v>117</v>
      </c>
      <c r="B20" s="39" t="s">
        <v>45</v>
      </c>
      <c r="C20" s="41" t="n">
        <v>46227</v>
      </c>
      <c r="D20" s="40" t="n">
        <v>198100</v>
      </c>
      <c r="E20" s="40" t="n">
        <v>198100</v>
      </c>
      <c r="F20" s="50" t="n">
        <f aca="false">D20-E20</f>
        <v>0</v>
      </c>
      <c r="G20" s="3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0"/>
  </cols>
  <sheetData>
    <row r="1" customFormat="false" ht="17.3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143</v>
      </c>
    </row>
    <row r="4" customFormat="false" ht="30" hidden="false" customHeight="true" outlineLevel="0" collapsed="false">
      <c r="A4" s="38" t="s">
        <v>34</v>
      </c>
      <c r="B4" s="38" t="s">
        <v>144</v>
      </c>
      <c r="C4" s="38" t="s">
        <v>145</v>
      </c>
      <c r="D4" s="38" t="s">
        <v>137</v>
      </c>
      <c r="E4" s="38" t="s">
        <v>49</v>
      </c>
      <c r="F4" s="38" t="s">
        <v>146</v>
      </c>
    </row>
    <row r="5" customFormat="false" ht="15" hidden="false" customHeight="false" outlineLevel="0" collapsed="false">
      <c r="A5" s="39" t="s">
        <v>103</v>
      </c>
      <c r="B5" s="39" t="s">
        <v>147</v>
      </c>
      <c r="C5" s="41" t="n">
        <v>45884</v>
      </c>
      <c r="D5" s="41" t="n">
        <v>45881</v>
      </c>
      <c r="E5" s="42" t="str">
        <f aca="false">IF(D5="",IF('Portfolio Summary'!$C$4&gt;C5,"Overdue","Not yet due"),IF(D5&lt;=C5,"On time","Late"))</f>
        <v>On time</v>
      </c>
      <c r="F5" s="51" t="n">
        <f aca="false">IF(D5="",IF('Portfolio Summary'!$C$4&gt;C5,'Portfolio Summary'!$C$4-C5,0),MAX(0,D5-C5))</f>
        <v>0</v>
      </c>
    </row>
    <row r="6" customFormat="false" ht="15" hidden="false" customHeight="false" outlineLevel="0" collapsed="false">
      <c r="A6" s="39" t="s">
        <v>103</v>
      </c>
      <c r="B6" s="39" t="s">
        <v>148</v>
      </c>
      <c r="C6" s="41" t="n">
        <v>45961</v>
      </c>
      <c r="D6" s="41" t="n">
        <v>45959</v>
      </c>
      <c r="E6" s="42" t="str">
        <f aca="false">IF(D6="",IF('Portfolio Summary'!$C$4&gt;C6,"Overdue","Not yet due"),IF(D6&lt;=C6,"On time","Late"))</f>
        <v>On time</v>
      </c>
      <c r="F6" s="51" t="n">
        <f aca="false">IF(D6="",IF('Portfolio Summary'!$C$4&gt;C6,'Portfolio Summary'!$C$4-C6,0),MAX(0,D6-C6))</f>
        <v>0</v>
      </c>
    </row>
    <row r="7" customFormat="false" ht="15" hidden="false" customHeight="false" outlineLevel="0" collapsed="false">
      <c r="A7" s="39" t="s">
        <v>103</v>
      </c>
      <c r="B7" s="39" t="s">
        <v>149</v>
      </c>
      <c r="C7" s="41" t="n">
        <v>46053</v>
      </c>
      <c r="D7" s="41" t="n">
        <v>46050</v>
      </c>
      <c r="E7" s="42" t="str">
        <f aca="false">IF(D7="",IF('Portfolio Summary'!$C$4&gt;C7,"Overdue","Not yet due"),IF(D7&lt;=C7,"On time","Late"))</f>
        <v>On time</v>
      </c>
      <c r="F7" s="51" t="n">
        <f aca="false">IF(D7="",IF('Portfolio Summary'!$C$4&gt;C7,'Portfolio Summary'!$C$4-C7,0),MAX(0,D7-C7))</f>
        <v>0</v>
      </c>
    </row>
    <row r="8" customFormat="false" ht="15" hidden="false" customHeight="false" outlineLevel="0" collapsed="false">
      <c r="A8" s="39" t="s">
        <v>103</v>
      </c>
      <c r="B8" s="39" t="s">
        <v>150</v>
      </c>
      <c r="C8" s="41" t="n">
        <v>46142</v>
      </c>
      <c r="D8" s="41" t="n">
        <v>46139</v>
      </c>
      <c r="E8" s="42" t="str">
        <f aca="false">IF(D8="",IF('Portfolio Summary'!$C$4&gt;C8,"Overdue","Not yet due"),IF(D8&lt;=C8,"On time","Late"))</f>
        <v>On time</v>
      </c>
      <c r="F8" s="51" t="n">
        <f aca="false">IF(D8="",IF('Portfolio Summary'!$C$4&gt;C8,'Portfolio Summary'!$C$4-C8,0),MAX(0,D8-C8))</f>
        <v>0</v>
      </c>
    </row>
    <row r="9" customFormat="false" ht="15" hidden="false" customHeight="false" outlineLevel="0" collapsed="false">
      <c r="A9" s="39" t="s">
        <v>103</v>
      </c>
      <c r="B9" s="39" t="s">
        <v>151</v>
      </c>
      <c r="C9" s="41" t="n">
        <v>46203</v>
      </c>
      <c r="D9" s="41" t="n">
        <v>46199</v>
      </c>
      <c r="E9" s="42" t="str">
        <f aca="false">IF(D9="",IF('Portfolio Summary'!$C$4&gt;C9,"Overdue","Not yet due"),IF(D9&lt;=C9,"On time","Late"))</f>
        <v>On time</v>
      </c>
      <c r="F9" s="51" t="n">
        <f aca="false">IF(D9="",IF('Portfolio Summary'!$C$4&gt;C9,'Portfolio Summary'!$C$4-C9,0),MAX(0,D9-C9))</f>
        <v>0</v>
      </c>
    </row>
    <row r="10" customFormat="false" ht="15" hidden="false" customHeight="false" outlineLevel="0" collapsed="false">
      <c r="A10" s="39" t="s">
        <v>103</v>
      </c>
      <c r="B10" s="39" t="s">
        <v>152</v>
      </c>
      <c r="C10" s="41" t="n">
        <v>46234</v>
      </c>
      <c r="D10" s="41" t="n">
        <v>46233</v>
      </c>
      <c r="E10" s="42" t="str">
        <f aca="false">IF(D10="",IF('Portfolio Summary'!$C$4&gt;C10,"Overdue","Not yet due"),IF(D10&lt;=C10,"On time","Late"))</f>
        <v>On time</v>
      </c>
      <c r="F10" s="51" t="n">
        <f aca="false">IF(D10="",IF('Portfolio Summary'!$C$4&gt;C10,'Portfolio Summary'!$C$4-C10,0),MAX(0,D10-C10))</f>
        <v>0</v>
      </c>
    </row>
    <row r="11" customFormat="false" ht="15" hidden="false" customHeight="false" outlineLevel="0" collapsed="false">
      <c r="A11" s="39" t="s">
        <v>108</v>
      </c>
      <c r="B11" s="39" t="s">
        <v>147</v>
      </c>
      <c r="C11" s="41" t="n">
        <v>45884</v>
      </c>
      <c r="D11" s="41" t="n">
        <v>45883</v>
      </c>
      <c r="E11" s="42" t="str">
        <f aca="false">IF(D11="",IF('Portfolio Summary'!$C$4&gt;C11,"Overdue","Not yet due"),IF(D11&lt;=C11,"On time","Late"))</f>
        <v>On time</v>
      </c>
      <c r="F11" s="51" t="n">
        <f aca="false">IF(D11="",IF('Portfolio Summary'!$C$4&gt;C11,'Portfolio Summary'!$C$4-C11,0),MAX(0,D11-C11))</f>
        <v>0</v>
      </c>
    </row>
    <row r="12" customFormat="false" ht="15" hidden="false" customHeight="false" outlineLevel="0" collapsed="false">
      <c r="A12" s="39" t="s">
        <v>108</v>
      </c>
      <c r="B12" s="39" t="s">
        <v>148</v>
      </c>
      <c r="C12" s="41" t="n">
        <v>45961</v>
      </c>
      <c r="D12" s="41" t="n">
        <v>45973</v>
      </c>
      <c r="E12" s="42" t="str">
        <f aca="false">IF(D12="",IF('Portfolio Summary'!$C$4&gt;C12,"Overdue","Not yet due"),IF(D12&lt;=C12,"On time","Late"))</f>
        <v>Late</v>
      </c>
      <c r="F12" s="51" t="n">
        <f aca="false">IF(D12="",IF('Portfolio Summary'!$C$4&gt;C12,'Portfolio Summary'!$C$4-C12,0),MAX(0,D12-C12))</f>
        <v>12</v>
      </c>
    </row>
    <row r="13" customFormat="false" ht="15" hidden="false" customHeight="false" outlineLevel="0" collapsed="false">
      <c r="A13" s="39" t="s">
        <v>108</v>
      </c>
      <c r="B13" s="39" t="s">
        <v>149</v>
      </c>
      <c r="C13" s="41" t="n">
        <v>46053</v>
      </c>
      <c r="D13" s="41" t="n">
        <v>46052</v>
      </c>
      <c r="E13" s="42" t="str">
        <f aca="false">IF(D13="",IF('Portfolio Summary'!$C$4&gt;C13,"Overdue","Not yet due"),IF(D13&lt;=C13,"On time","Late"))</f>
        <v>On time</v>
      </c>
      <c r="F13" s="51" t="n">
        <f aca="false">IF(D13="",IF('Portfolio Summary'!$C$4&gt;C13,'Portfolio Summary'!$C$4-C13,0),MAX(0,D13-C13))</f>
        <v>0</v>
      </c>
    </row>
    <row r="14" customFormat="false" ht="15" hidden="false" customHeight="false" outlineLevel="0" collapsed="false">
      <c r="A14" s="39" t="s">
        <v>108</v>
      </c>
      <c r="B14" s="39" t="s">
        <v>150</v>
      </c>
      <c r="C14" s="41" t="n">
        <v>46142</v>
      </c>
      <c r="D14" s="41" t="n">
        <v>46161</v>
      </c>
      <c r="E14" s="42" t="str">
        <f aca="false">IF(D14="",IF('Portfolio Summary'!$C$4&gt;C14,"Overdue","Not yet due"),IF(D14&lt;=C14,"On time","Late"))</f>
        <v>Late</v>
      </c>
      <c r="F14" s="51" t="n">
        <f aca="false">IF(D14="",IF('Portfolio Summary'!$C$4&gt;C14,'Portfolio Summary'!$C$4-C14,0),MAX(0,D14-C14))</f>
        <v>19</v>
      </c>
    </row>
    <row r="15" customFormat="false" ht="15" hidden="false" customHeight="false" outlineLevel="0" collapsed="false">
      <c r="A15" s="39" t="s">
        <v>108</v>
      </c>
      <c r="B15" s="39" t="s">
        <v>151</v>
      </c>
      <c r="C15" s="41" t="n">
        <v>46203</v>
      </c>
      <c r="D15" s="41" t="n">
        <v>46211</v>
      </c>
      <c r="E15" s="42" t="str">
        <f aca="false">IF(D15="",IF('Portfolio Summary'!$C$4&gt;C15,"Overdue","Not yet due"),IF(D15&lt;=C15,"On time","Late"))</f>
        <v>Late</v>
      </c>
      <c r="F15" s="51" t="n">
        <f aca="false">IF(D15="",IF('Portfolio Summary'!$C$4&gt;C15,'Portfolio Summary'!$C$4-C15,0),MAX(0,D15-C15))</f>
        <v>8</v>
      </c>
    </row>
    <row r="16" customFormat="false" ht="15" hidden="false" customHeight="false" outlineLevel="0" collapsed="false">
      <c r="A16" s="39" t="s">
        <v>108</v>
      </c>
      <c r="B16" s="39" t="s">
        <v>152</v>
      </c>
      <c r="C16" s="41" t="n">
        <v>46234</v>
      </c>
      <c r="D16" s="41" t="n">
        <v>46234</v>
      </c>
      <c r="E16" s="42" t="str">
        <f aca="false">IF(D16="",IF('Portfolio Summary'!$C$4&gt;C16,"Overdue","Not yet due"),IF(D16&lt;=C16,"On time","Late"))</f>
        <v>On time</v>
      </c>
      <c r="F16" s="51" t="n">
        <f aca="false">IF(D16="",IF('Portfolio Summary'!$C$4&gt;C16,'Portfolio Summary'!$C$4-C16,0),MAX(0,D16-C16))</f>
        <v>0</v>
      </c>
    </row>
    <row r="17" customFormat="false" ht="15" hidden="false" customHeight="false" outlineLevel="0" collapsed="false">
      <c r="A17" s="39" t="s">
        <v>113</v>
      </c>
      <c r="B17" s="39" t="s">
        <v>147</v>
      </c>
      <c r="C17" s="41" t="n">
        <v>45884</v>
      </c>
      <c r="D17" s="41" t="n">
        <v>45889</v>
      </c>
      <c r="E17" s="42" t="str">
        <f aca="false">IF(D17="",IF('Portfolio Summary'!$C$4&gt;C17,"Overdue","Not yet due"),IF(D17&lt;=C17,"On time","Late"))</f>
        <v>Late</v>
      </c>
      <c r="F17" s="51" t="n">
        <f aca="false">IF(D17="",IF('Portfolio Summary'!$C$4&gt;C17,'Portfolio Summary'!$C$4-C17,0),MAX(0,D17-C17))</f>
        <v>5</v>
      </c>
    </row>
    <row r="18" customFormat="false" ht="15" hidden="false" customHeight="false" outlineLevel="0" collapsed="false">
      <c r="A18" s="39" t="s">
        <v>113</v>
      </c>
      <c r="B18" s="39" t="s">
        <v>148</v>
      </c>
      <c r="C18" s="41" t="n">
        <v>45961</v>
      </c>
      <c r="D18" s="41" t="n">
        <v>45961</v>
      </c>
      <c r="E18" s="42" t="str">
        <f aca="false">IF(D18="",IF('Portfolio Summary'!$C$4&gt;C18,"Overdue","Not yet due"),IF(D18&lt;=C18,"On time","Late"))</f>
        <v>On time</v>
      </c>
      <c r="F18" s="51" t="n">
        <f aca="false">IF(D18="",IF('Portfolio Summary'!$C$4&gt;C18,'Portfolio Summary'!$C$4-C18,0),MAX(0,D18-C18))</f>
        <v>0</v>
      </c>
    </row>
    <row r="19" customFormat="false" ht="15" hidden="false" customHeight="false" outlineLevel="0" collapsed="false">
      <c r="A19" s="39" t="s">
        <v>113</v>
      </c>
      <c r="B19" s="39" t="s">
        <v>149</v>
      </c>
      <c r="C19" s="41" t="n">
        <v>46053</v>
      </c>
      <c r="D19" s="41" t="n">
        <v>46059</v>
      </c>
      <c r="E19" s="42" t="str">
        <f aca="false">IF(D19="",IF('Portfolio Summary'!$C$4&gt;C19,"Overdue","Not yet due"),IF(D19&lt;=C19,"On time","Late"))</f>
        <v>Late</v>
      </c>
      <c r="F19" s="51" t="n">
        <f aca="false">IF(D19="",IF('Portfolio Summary'!$C$4&gt;C19,'Portfolio Summary'!$C$4-C19,0),MAX(0,D19-C19))</f>
        <v>6</v>
      </c>
    </row>
    <row r="20" customFormat="false" ht="15" hidden="false" customHeight="false" outlineLevel="0" collapsed="false">
      <c r="A20" s="39" t="s">
        <v>113</v>
      </c>
      <c r="B20" s="39" t="s">
        <v>150</v>
      </c>
      <c r="C20" s="41" t="n">
        <v>46142</v>
      </c>
      <c r="D20" s="41" t="n">
        <v>46142</v>
      </c>
      <c r="E20" s="42" t="str">
        <f aca="false">IF(D20="",IF('Portfolio Summary'!$C$4&gt;C20,"Overdue","Not yet due"),IF(D20&lt;=C20,"On time","Late"))</f>
        <v>On time</v>
      </c>
      <c r="F20" s="51" t="n">
        <f aca="false">IF(D20="",IF('Portfolio Summary'!$C$4&gt;C20,'Portfolio Summary'!$C$4-C20,0),MAX(0,D20-C20))</f>
        <v>0</v>
      </c>
    </row>
    <row r="21" customFormat="false" ht="15" hidden="false" customHeight="false" outlineLevel="0" collapsed="false">
      <c r="A21" s="39" t="s">
        <v>113</v>
      </c>
      <c r="B21" s="39" t="s">
        <v>151</v>
      </c>
      <c r="C21" s="41" t="n">
        <v>46203</v>
      </c>
      <c r="D21" s="41" t="n">
        <v>46203</v>
      </c>
      <c r="E21" s="42" t="str">
        <f aca="false">IF(D21="",IF('Portfolio Summary'!$C$4&gt;C21,"Overdue","Not yet due"),IF(D21&lt;=C21,"On time","Late"))</f>
        <v>On time</v>
      </c>
      <c r="F21" s="51" t="n">
        <f aca="false">IF(D21="",IF('Portfolio Summary'!$C$4&gt;C21,'Portfolio Summary'!$C$4-C21,0),MAX(0,D21-C21))</f>
        <v>0</v>
      </c>
    </row>
    <row r="22" customFormat="false" ht="15" hidden="false" customHeight="false" outlineLevel="0" collapsed="false">
      <c r="A22" s="39" t="s">
        <v>113</v>
      </c>
      <c r="B22" s="39" t="s">
        <v>152</v>
      </c>
      <c r="C22" s="41" t="n">
        <v>46234</v>
      </c>
      <c r="D22" s="41"/>
      <c r="E22" s="42" t="str">
        <f aca="false">IF(D22="",IF('Portfolio Summary'!$C$4&gt;C22,"Overdue","Not yet due"),IF(D22&lt;=C22,"On time","Late"))</f>
        <v>Overdue</v>
      </c>
      <c r="F22" s="51" t="n">
        <f aca="false">IF(D22="",IF('Portfolio Summary'!$C$4&gt;C22,'Portfolio Summary'!$C$4-C22,0),MAX(0,D22-C22))</f>
        <v>15</v>
      </c>
    </row>
    <row r="23" customFormat="false" ht="15" hidden="false" customHeight="false" outlineLevel="0" collapsed="false">
      <c r="A23" s="39" t="s">
        <v>117</v>
      </c>
      <c r="B23" s="39" t="s">
        <v>147</v>
      </c>
      <c r="C23" s="41" t="n">
        <v>45884</v>
      </c>
      <c r="D23" s="41" t="n">
        <v>45870</v>
      </c>
      <c r="E23" s="42" t="str">
        <f aca="false">IF(D23="",IF('Portfolio Summary'!$C$4&gt;C23,"Overdue","Not yet due"),IF(D23&lt;=C23,"On time","Late"))</f>
        <v>On time</v>
      </c>
      <c r="F23" s="51" t="n">
        <f aca="false">IF(D23="",IF('Portfolio Summary'!$C$4&gt;C23,'Portfolio Summary'!$C$4-C23,0),MAX(0,D23-C23))</f>
        <v>0</v>
      </c>
    </row>
    <row r="24" customFormat="false" ht="15" hidden="false" customHeight="false" outlineLevel="0" collapsed="false">
      <c r="A24" s="39" t="s">
        <v>117</v>
      </c>
      <c r="B24" s="39" t="s">
        <v>148</v>
      </c>
      <c r="C24" s="41" t="n">
        <v>45961</v>
      </c>
      <c r="D24" s="41" t="n">
        <v>45954</v>
      </c>
      <c r="E24" s="42" t="str">
        <f aca="false">IF(D24="",IF('Portfolio Summary'!$C$4&gt;C24,"Overdue","Not yet due"),IF(D24&lt;=C24,"On time","Late"))</f>
        <v>On time</v>
      </c>
      <c r="F24" s="51" t="n">
        <f aca="false">IF(D24="",IF('Portfolio Summary'!$C$4&gt;C24,'Portfolio Summary'!$C$4-C24,0),MAX(0,D24-C24))</f>
        <v>0</v>
      </c>
    </row>
    <row r="25" customFormat="false" ht="15" hidden="false" customHeight="false" outlineLevel="0" collapsed="false">
      <c r="A25" s="39" t="s">
        <v>117</v>
      </c>
      <c r="B25" s="39" t="s">
        <v>149</v>
      </c>
      <c r="C25" s="41" t="n">
        <v>46053</v>
      </c>
      <c r="D25" s="41" t="n">
        <v>46048</v>
      </c>
      <c r="E25" s="42" t="str">
        <f aca="false">IF(D25="",IF('Portfolio Summary'!$C$4&gt;C25,"Overdue","Not yet due"),IF(D25&lt;=C25,"On time","Late"))</f>
        <v>On time</v>
      </c>
      <c r="F25" s="51" t="n">
        <f aca="false">IF(D25="",IF('Portfolio Summary'!$C$4&gt;C25,'Portfolio Summary'!$C$4-C25,0),MAX(0,D25-C25))</f>
        <v>0</v>
      </c>
    </row>
    <row r="26" customFormat="false" ht="15" hidden="false" customHeight="false" outlineLevel="0" collapsed="false">
      <c r="A26" s="39" t="s">
        <v>117</v>
      </c>
      <c r="B26" s="39" t="s">
        <v>150</v>
      </c>
      <c r="C26" s="41" t="n">
        <v>46142</v>
      </c>
      <c r="D26" s="41" t="n">
        <v>46136</v>
      </c>
      <c r="E26" s="42" t="str">
        <f aca="false">IF(D26="",IF('Portfolio Summary'!$C$4&gt;C26,"Overdue","Not yet due"),IF(D26&lt;=C26,"On time","Late"))</f>
        <v>On time</v>
      </c>
      <c r="F26" s="51" t="n">
        <f aca="false">IF(D26="",IF('Portfolio Summary'!$C$4&gt;C26,'Portfolio Summary'!$C$4-C26,0),MAX(0,D26-C26))</f>
        <v>0</v>
      </c>
    </row>
    <row r="27" customFormat="false" ht="15" hidden="false" customHeight="false" outlineLevel="0" collapsed="false">
      <c r="A27" s="39" t="s">
        <v>117</v>
      </c>
      <c r="B27" s="39" t="s">
        <v>151</v>
      </c>
      <c r="C27" s="41" t="n">
        <v>46203</v>
      </c>
      <c r="D27" s="41" t="n">
        <v>46195</v>
      </c>
      <c r="E27" s="42" t="str">
        <f aca="false">IF(D27="",IF('Portfolio Summary'!$C$4&gt;C27,"Overdue","Not yet due"),IF(D27&lt;=C27,"On time","Late"))</f>
        <v>On time</v>
      </c>
      <c r="F27" s="51" t="n">
        <f aca="false">IF(D27="",IF('Portfolio Summary'!$C$4&gt;C27,'Portfolio Summary'!$C$4-C27,0),MAX(0,D27-C27))</f>
        <v>0</v>
      </c>
    </row>
    <row r="28" customFormat="false" ht="15" hidden="false" customHeight="false" outlineLevel="0" collapsed="false">
      <c r="A28" s="39" t="s">
        <v>117</v>
      </c>
      <c r="B28" s="39" t="s">
        <v>152</v>
      </c>
      <c r="C28" s="41" t="n">
        <v>46234</v>
      </c>
      <c r="D28" s="41" t="n">
        <v>46231</v>
      </c>
      <c r="E28" s="42" t="str">
        <f aca="false">IF(D28="",IF('Portfolio Summary'!$C$4&gt;C28,"Overdue","Not yet due"),IF(D28&lt;=C28,"On time","Late"))</f>
        <v>On time</v>
      </c>
      <c r="F28" s="51" t="n">
        <f aca="false">IF(D28="",IF('Portfolio Summary'!$C$4&gt;C28,'Portfolio Summary'!$C$4-C28,0),MAX(0,D28-C28))</f>
        <v>0</v>
      </c>
    </row>
  </sheetData>
  <conditionalFormatting sqref="E5:E28">
    <cfRule type="cellIs" priority="2" operator="equal" aboveAverage="0" equalAverage="0" bottom="0" percent="0" rank="0" text="" dxfId="2">
      <formula>"Overdue"</formula>
    </cfRule>
    <cfRule type="cellIs" priority="3" operator="equal" aboveAverage="0" equalAverage="0" bottom="0" percent="0" rank="0" text="" dxfId="1">
      <formula>"Late"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70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153</v>
      </c>
    </row>
    <row r="2" customFormat="false" ht="15" hidden="false" customHeight="false" outlineLevel="0" collapsed="false">
      <c r="A2" s="2" t="s">
        <v>154</v>
      </c>
    </row>
    <row r="4" customFormat="false" ht="30" hidden="false" customHeight="true" outlineLevel="0" collapsed="false">
      <c r="A4" s="38" t="s">
        <v>34</v>
      </c>
      <c r="B4" s="38" t="s">
        <v>155</v>
      </c>
      <c r="C4" s="38" t="s">
        <v>156</v>
      </c>
      <c r="D4" s="38" t="s">
        <v>157</v>
      </c>
      <c r="E4" s="38" t="s">
        <v>158</v>
      </c>
      <c r="F4" s="38" t="s">
        <v>123</v>
      </c>
      <c r="G4" s="38" t="s">
        <v>159</v>
      </c>
    </row>
    <row r="5" customFormat="false" ht="15" hidden="false" customHeight="false" outlineLevel="0" collapsed="false">
      <c r="A5" s="39" t="s">
        <v>103</v>
      </c>
      <c r="B5" s="41" t="n">
        <v>46091</v>
      </c>
      <c r="C5" s="39" t="n">
        <v>20</v>
      </c>
      <c r="D5" s="39" t="s">
        <v>160</v>
      </c>
      <c r="E5" s="52" t="s">
        <v>161</v>
      </c>
      <c r="F5" s="39" t="s">
        <v>162</v>
      </c>
      <c r="G5" s="39" t="s">
        <v>163</v>
      </c>
    </row>
    <row r="6" customFormat="false" ht="15" hidden="false" customHeight="false" outlineLevel="0" collapsed="false">
      <c r="A6" s="39" t="s">
        <v>108</v>
      </c>
      <c r="B6" s="41" t="n">
        <v>46071</v>
      </c>
      <c r="C6" s="39" t="n">
        <v>20</v>
      </c>
      <c r="D6" s="39" t="s">
        <v>164</v>
      </c>
      <c r="E6" s="52" t="s">
        <v>165</v>
      </c>
      <c r="F6" s="39" t="s">
        <v>166</v>
      </c>
      <c r="G6" s="39" t="s">
        <v>167</v>
      </c>
    </row>
    <row r="7" customFormat="false" ht="15" hidden="false" customHeight="false" outlineLevel="0" collapsed="false">
      <c r="A7" s="39" t="s">
        <v>108</v>
      </c>
      <c r="B7" s="41" t="n">
        <v>46071</v>
      </c>
      <c r="C7" s="39" t="n">
        <v>20</v>
      </c>
      <c r="D7" s="39" t="s">
        <v>168</v>
      </c>
      <c r="E7" s="52" t="s">
        <v>169</v>
      </c>
      <c r="F7" s="39" t="s">
        <v>166</v>
      </c>
      <c r="G7" s="39" t="s">
        <v>167</v>
      </c>
    </row>
    <row r="8" customFormat="false" ht="15" hidden="false" customHeight="false" outlineLevel="0" collapsed="false">
      <c r="A8" s="39" t="s">
        <v>113</v>
      </c>
      <c r="B8" s="41" t="n">
        <v>46043</v>
      </c>
      <c r="C8" s="39" t="n">
        <v>20</v>
      </c>
      <c r="D8" s="39" t="s">
        <v>170</v>
      </c>
      <c r="E8" s="52" t="s">
        <v>171</v>
      </c>
      <c r="F8" s="39" t="s">
        <v>166</v>
      </c>
      <c r="G8" s="39" t="s">
        <v>167</v>
      </c>
    </row>
    <row r="9" customFormat="false" ht="15" hidden="false" customHeight="false" outlineLevel="0" collapsed="false">
      <c r="A9" s="39" t="s">
        <v>113</v>
      </c>
      <c r="B9" s="41" t="n">
        <v>46043</v>
      </c>
      <c r="C9" s="39" t="n">
        <v>20</v>
      </c>
      <c r="D9" s="39" t="s">
        <v>172</v>
      </c>
      <c r="E9" s="52" t="s">
        <v>173</v>
      </c>
      <c r="F9" s="39" t="s">
        <v>166</v>
      </c>
      <c r="G9" s="39" t="s">
        <v>167</v>
      </c>
    </row>
    <row r="10" customFormat="false" ht="15" hidden="false" customHeight="false" outlineLevel="0" collapsed="false">
      <c r="A10" s="39" t="s">
        <v>113</v>
      </c>
      <c r="B10" s="41" t="n">
        <v>46043</v>
      </c>
      <c r="C10" s="39" t="n">
        <v>20</v>
      </c>
      <c r="D10" s="39" t="s">
        <v>160</v>
      </c>
      <c r="E10" s="52" t="s">
        <v>174</v>
      </c>
      <c r="F10" s="39" t="s">
        <v>166</v>
      </c>
      <c r="G10" s="39" t="s">
        <v>167</v>
      </c>
    </row>
    <row r="11" customFormat="false" ht="15" hidden="false" customHeight="false" outlineLevel="0" collapsed="false">
      <c r="A11" s="39" t="s">
        <v>113</v>
      </c>
      <c r="B11" s="41" t="n">
        <v>46156</v>
      </c>
      <c r="C11" s="39" t="n">
        <v>10</v>
      </c>
      <c r="D11" s="39" t="s">
        <v>170</v>
      </c>
      <c r="E11" s="52" t="s">
        <v>175</v>
      </c>
      <c r="F11" s="39" t="s">
        <v>162</v>
      </c>
      <c r="G11" s="39" t="s">
        <v>163</v>
      </c>
    </row>
    <row r="12" customFormat="false" ht="15" hidden="false" customHeight="false" outlineLevel="0" collapsed="false">
      <c r="A12" s="39" t="s">
        <v>117</v>
      </c>
      <c r="B12" s="41" t="n">
        <v>46120</v>
      </c>
      <c r="C12" s="39" t="n">
        <v>20</v>
      </c>
      <c r="D12" s="39" t="s">
        <v>176</v>
      </c>
      <c r="E12" s="52" t="s">
        <v>177</v>
      </c>
      <c r="F12" s="39" t="s">
        <v>162</v>
      </c>
      <c r="G12" s="39" t="s">
        <v>163</v>
      </c>
    </row>
  </sheetData>
  <dataValidations count="2">
    <dataValidation allowBlank="false" errorStyle="stop" operator="between" showDropDown="false" showErrorMessage="false" showInputMessage="false" sqref="F5:F12" type="list">
      <formula1>"Finding,Observation"</formula1>
      <formula2>0</formula2>
    </dataValidation>
    <dataValidation allowBlank="false" errorStyle="stop" operator="between" showDropDown="false" showErrorMessage="false" showInputMessage="false" sqref="G5:G12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7"/>
    <col collapsed="false" customWidth="true" hidden="false" outlineLevel="0" max="3" min="3" style="0" width="70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17.35" hidden="false" customHeight="false" outlineLevel="0" collapsed="false">
      <c r="A1" s="1" t="s">
        <v>178</v>
      </c>
    </row>
    <row r="2" customFormat="false" ht="15" hidden="false" customHeight="false" outlineLevel="0" collapsed="false">
      <c r="A2" s="2" t="s">
        <v>179</v>
      </c>
    </row>
    <row r="4" customFormat="false" ht="30" hidden="false" customHeight="true" outlineLevel="0" collapsed="false">
      <c r="A4" s="38" t="s">
        <v>180</v>
      </c>
      <c r="B4" s="38" t="s">
        <v>34</v>
      </c>
      <c r="C4" s="38" t="s">
        <v>181</v>
      </c>
      <c r="D4" s="38" t="s">
        <v>145</v>
      </c>
      <c r="E4" s="38" t="s">
        <v>49</v>
      </c>
      <c r="F4" s="38" t="s">
        <v>182</v>
      </c>
      <c r="G4" s="38" t="s">
        <v>183</v>
      </c>
      <c r="H4" s="38" t="s">
        <v>184</v>
      </c>
    </row>
    <row r="5" customFormat="false" ht="15" hidden="false" customHeight="false" outlineLevel="0" collapsed="false">
      <c r="A5" s="39" t="s">
        <v>185</v>
      </c>
      <c r="B5" s="39" t="s">
        <v>108</v>
      </c>
      <c r="C5" s="52" t="s">
        <v>186</v>
      </c>
      <c r="D5" s="41" t="n">
        <v>46142</v>
      </c>
      <c r="E5" s="39" t="s">
        <v>187</v>
      </c>
      <c r="F5" s="41" t="n">
        <v>46134</v>
      </c>
      <c r="G5" s="51" t="n">
        <f aca="false">IF(E5="Closed",0,MAX(0,'Portfolio Summary'!$C$4-D5))</f>
        <v>0</v>
      </c>
      <c r="H5" s="42" t="str">
        <f aca="false">IF(G5&gt;0,"Yes","No")</f>
        <v>No</v>
      </c>
    </row>
    <row r="6" customFormat="false" ht="15" hidden="false" customHeight="false" outlineLevel="0" collapsed="false">
      <c r="A6" s="39" t="s">
        <v>188</v>
      </c>
      <c r="B6" s="39" t="s">
        <v>108</v>
      </c>
      <c r="C6" s="52" t="s">
        <v>189</v>
      </c>
      <c r="D6" s="41" t="n">
        <v>46295</v>
      </c>
      <c r="E6" s="39" t="s">
        <v>190</v>
      </c>
      <c r="F6" s="41"/>
      <c r="G6" s="51" t="n">
        <f aca="false">IF(E6="Closed",0,MAX(0,'Portfolio Summary'!$C$4-D6))</f>
        <v>0</v>
      </c>
      <c r="H6" s="42" t="str">
        <f aca="false">IF(G6&gt;0,"Yes","No")</f>
        <v>No</v>
      </c>
    </row>
    <row r="7" customFormat="false" ht="15" hidden="false" customHeight="false" outlineLevel="0" collapsed="false">
      <c r="A7" s="39" t="s">
        <v>191</v>
      </c>
      <c r="B7" s="39" t="s">
        <v>113</v>
      </c>
      <c r="C7" s="52" t="s">
        <v>192</v>
      </c>
      <c r="D7" s="41" t="n">
        <v>46112</v>
      </c>
      <c r="E7" s="39" t="s">
        <v>187</v>
      </c>
      <c r="F7" s="41" t="n">
        <v>46108</v>
      </c>
      <c r="G7" s="51" t="n">
        <f aca="false">IF(E7="Closed",0,MAX(0,'Portfolio Summary'!$C$4-D7))</f>
        <v>0</v>
      </c>
      <c r="H7" s="42" t="str">
        <f aca="false">IF(G7&gt;0,"Yes","No")</f>
        <v>No</v>
      </c>
    </row>
    <row r="8" customFormat="false" ht="23.85" hidden="false" customHeight="false" outlineLevel="0" collapsed="false">
      <c r="A8" s="39" t="s">
        <v>193</v>
      </c>
      <c r="B8" s="39" t="s">
        <v>113</v>
      </c>
      <c r="C8" s="52" t="s">
        <v>194</v>
      </c>
      <c r="D8" s="41" t="n">
        <v>46203</v>
      </c>
      <c r="E8" s="39" t="s">
        <v>195</v>
      </c>
      <c r="F8" s="41"/>
      <c r="G8" s="51" t="n">
        <f aca="false">IF(E8="Closed",0,MAX(0,'Portfolio Summary'!$C$4-D8))</f>
        <v>46</v>
      </c>
      <c r="H8" s="42" t="str">
        <f aca="false">IF(G8&gt;0,"Yes","No")</f>
        <v>Yes</v>
      </c>
    </row>
    <row r="9" customFormat="false" ht="15" hidden="false" customHeight="false" outlineLevel="0" collapsed="false">
      <c r="A9" s="39" t="s">
        <v>196</v>
      </c>
      <c r="B9" s="39" t="s">
        <v>113</v>
      </c>
      <c r="C9" s="52" t="s">
        <v>197</v>
      </c>
      <c r="D9" s="41" t="n">
        <v>46265</v>
      </c>
      <c r="E9" s="39" t="s">
        <v>190</v>
      </c>
      <c r="F9" s="41"/>
      <c r="G9" s="51" t="n">
        <f aca="false">IF(E9="Closed",0,MAX(0,'Portfolio Summary'!$C$4-D9))</f>
        <v>0</v>
      </c>
      <c r="H9" s="42" t="str">
        <f aca="false">IF(G9&gt;0,"Yes","No")</f>
        <v>No</v>
      </c>
    </row>
  </sheetData>
  <conditionalFormatting sqref="H5:H9">
    <cfRule type="cellIs" priority="2" operator="equal" aboveAverage="0" equalAverage="0" bottom="0" percent="0" rank="0" text="" dxfId="2">
      <formula>"Yes"</formula>
    </cfRule>
  </conditionalFormatting>
  <dataValidations count="1">
    <dataValidation allowBlank="false" errorStyle="stop" operator="between" showDropDown="false" showErrorMessage="false" showInputMessage="false" sqref="E5:E9" type="list">
      <formula1>Lists!$F$2:$F$4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32"/>
    <col collapsed="false" customWidth="true" hidden="false" outlineLevel="0" max="5" min="5" style="0" width="3"/>
    <col collapsed="false" customWidth="true" hidden="false" outlineLevel="0" max="6" min="6" style="0" width="14"/>
    <col collapsed="false" customWidth="true" hidden="false" outlineLevel="0" max="7" min="7" style="0" width="10"/>
  </cols>
  <sheetData>
    <row r="1" customFormat="false" ht="15" hidden="false" customHeight="false" outlineLevel="0" collapsed="false">
      <c r="A1" s="9" t="s">
        <v>40</v>
      </c>
      <c r="B1" s="9" t="s">
        <v>41</v>
      </c>
      <c r="C1" s="9" t="s">
        <v>123</v>
      </c>
      <c r="D1" s="9" t="s">
        <v>198</v>
      </c>
      <c r="E1" s="9"/>
      <c r="F1" s="9" t="s">
        <v>199</v>
      </c>
      <c r="G1" s="9" t="s">
        <v>82</v>
      </c>
    </row>
    <row r="2" customFormat="false" ht="15" hidden="false" customHeight="false" outlineLevel="0" collapsed="false">
      <c r="A2" s="20" t="s">
        <v>50</v>
      </c>
      <c r="B2" s="20" t="s">
        <v>51</v>
      </c>
      <c r="C2" s="20" t="s">
        <v>124</v>
      </c>
      <c r="D2" s="20" t="s">
        <v>200</v>
      </c>
      <c r="E2" s="20"/>
      <c r="F2" s="20" t="s">
        <v>195</v>
      </c>
      <c r="G2" s="20" t="s">
        <v>42</v>
      </c>
    </row>
    <row r="3" customFormat="false" ht="15" hidden="false" customHeight="false" outlineLevel="0" collapsed="false">
      <c r="A3" s="20" t="s">
        <v>52</v>
      </c>
      <c r="B3" s="20" t="s">
        <v>53</v>
      </c>
      <c r="C3" s="20" t="s">
        <v>125</v>
      </c>
      <c r="D3" s="20" t="s">
        <v>201</v>
      </c>
      <c r="E3" s="20"/>
      <c r="F3" s="20" t="s">
        <v>190</v>
      </c>
      <c r="G3" s="20" t="s">
        <v>43</v>
      </c>
    </row>
    <row r="4" customFormat="false" ht="15" hidden="false" customHeight="false" outlineLevel="0" collapsed="false">
      <c r="A4" s="20" t="s">
        <v>54</v>
      </c>
      <c r="B4" s="20" t="s">
        <v>55</v>
      </c>
      <c r="C4" s="20" t="s">
        <v>125</v>
      </c>
      <c r="D4" s="20" t="s">
        <v>202</v>
      </c>
      <c r="E4" s="20"/>
      <c r="F4" s="20" t="s">
        <v>187</v>
      </c>
      <c r="G4" s="20" t="s">
        <v>44</v>
      </c>
    </row>
    <row r="5" customFormat="false" ht="15" hidden="false" customHeight="false" outlineLevel="0" collapsed="false">
      <c r="A5" s="20" t="s">
        <v>56</v>
      </c>
      <c r="B5" s="20" t="s">
        <v>57</v>
      </c>
      <c r="C5" s="20" t="s">
        <v>124</v>
      </c>
      <c r="D5" s="20" t="s">
        <v>203</v>
      </c>
      <c r="E5" s="20"/>
      <c r="F5" s="20"/>
      <c r="G5" s="20" t="s">
        <v>45</v>
      </c>
    </row>
    <row r="6" customFormat="false" ht="15" hidden="false" customHeight="false" outlineLevel="0" collapsed="false">
      <c r="A6" s="20" t="s">
        <v>58</v>
      </c>
      <c r="B6" s="20" t="s">
        <v>59</v>
      </c>
      <c r="C6" s="20" t="s">
        <v>126</v>
      </c>
      <c r="D6" s="20" t="s">
        <v>204</v>
      </c>
      <c r="E6" s="20"/>
      <c r="F6" s="20"/>
      <c r="G6" s="20"/>
    </row>
    <row r="7" customFormat="false" ht="15" hidden="false" customHeight="false" outlineLevel="0" collapsed="false">
      <c r="A7" s="20" t="s">
        <v>60</v>
      </c>
      <c r="B7" s="20" t="s">
        <v>61</v>
      </c>
      <c r="C7" s="20" t="s">
        <v>125</v>
      </c>
      <c r="D7" s="20" t="s">
        <v>205</v>
      </c>
      <c r="E7" s="20"/>
      <c r="F7" s="20"/>
      <c r="G7" s="20"/>
    </row>
    <row r="8" customFormat="false" ht="15" hidden="false" customHeight="false" outlineLevel="0" collapsed="false">
      <c r="A8" s="20" t="s">
        <v>62</v>
      </c>
      <c r="B8" s="20" t="s">
        <v>63</v>
      </c>
      <c r="C8" s="20" t="s">
        <v>125</v>
      </c>
      <c r="D8" s="20" t="s">
        <v>206</v>
      </c>
      <c r="E8" s="20"/>
      <c r="F8" s="20"/>
      <c r="G8" s="20"/>
    </row>
    <row r="9" customFormat="false" ht="15" hidden="false" customHeight="false" outlineLevel="0" collapsed="false">
      <c r="A9" s="20" t="s">
        <v>64</v>
      </c>
      <c r="B9" s="20" t="s">
        <v>65</v>
      </c>
      <c r="C9" s="20" t="s">
        <v>125</v>
      </c>
      <c r="D9" s="20" t="s">
        <v>207</v>
      </c>
      <c r="E9" s="20"/>
      <c r="F9" s="20"/>
      <c r="G9" s="20"/>
    </row>
    <row r="10" customFormat="false" ht="15" hidden="false" customHeight="false" outlineLevel="0" collapsed="false">
      <c r="A10" s="20"/>
      <c r="B10" s="20"/>
      <c r="C10" s="20"/>
      <c r="D10" s="20"/>
      <c r="E10" s="20"/>
      <c r="F10" s="20"/>
      <c r="G10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2026-10-12T06:41:03Z</dcterms:created>
  <dc:creator>Brad Leake</dc:creator>
  <dc:description/>
  <dc:language>en-US</dc:language>
  <cp:lastModifiedBy>Brad Leake</cp:lastModifiedBy>
  <dcterms:modified xsi:type="dcterms:W3CDTF">2026-10-12T02:41:07Z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