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0.xml.rels" ContentType="application/vnd.openxmlformats-package.relationships+xml"/>
  <Override PartName="/xl/worksheets/_rels/sheet4.xml.rels" ContentType="application/vnd.openxmlformats-package.relationships+xml"/>
  <Override PartName="/xl/worksheets/_rels/sheet9.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5.xml.rels" ContentType="application/vnd.openxmlformats-package.relationships+xml"/>
  <Override PartName="/xl/worksheets/_rels/sheet3.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3.xml" ContentType="application/vnd.openxmlformats-officedocument.spreadsheetml.table+xml"/>
  <Override PartName="/xl/tables/table1.xml" ContentType="application/vnd.openxmlformats-officedocument.spreadsheetml.table+xml"/>
  <Override PartName="/xl/tables/table2.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CHECKS" sheetId="2" state="visible" r:id="rId4"/>
    <sheet name="INPUT" sheetId="3" state="visible" r:id="rId5"/>
    <sheet name="VISIT CHECK" sheetId="4" state="visible" r:id="rId6"/>
    <sheet name="PAY SUMMARY" sheetId="5" state="visible" r:id="rId7"/>
    <sheet name="BANK UPLOAD" sheetId="6" state="visible" r:id="rId8"/>
    <sheet name="ACCOUNTING IMPORT" sheetId="7" state="visible" r:id="rId9"/>
    <sheet name="VISITS" sheetId="8" state="visible" r:id="rId10"/>
    <sheet name="RATES" sheetId="9" state="visible" r:id="rId11"/>
    <sheet name="ROSTER" sheetId="10" state="visible" r:id="rId12"/>
    <sheet name="SETTINGS" sheetId="11" state="visible" r:id="rId13"/>
  </sheets>
  <definedNames>
    <definedName function="false" hidden="true" localSheetId="6" name="_xlnm._FilterDatabase" vbProcedure="false">'ACCOUNTING IMPORT'!$A$6:$L$306</definedName>
    <definedName function="false" hidden="true" localSheetId="2" name="_xlnm._FilterDatabase" vbProcedure="false">INPUT!$A$4:$Q$254</definedName>
    <definedName function="false" hidden="true" localSheetId="4" name="_xlnm._FilterDatabase" vbProcedure="false">'PAY SUMMARY'!$A$5:$J$65</definedName>
    <definedName function="false" hidden="true" localSheetId="3" name="_xlnm._FilterDatabase" vbProcedure="false">'VISIT CHECK'!$A$8:$M$258</definedName>
    <definedName function="false" hidden="true" localSheetId="7" name="_xlnm._FilterDatabase" vbProcedure="false">VISITS!$A$1:$N$1001</definedName>
    <definedName function="false" hidden="false" name="AcctClassList" vbProcedure="false">SETTINGS!$G$5:$G$6</definedName>
    <definedName function="false" hidden="false" name="AcctKindList" vbProcedure="false">SETTINGS!$F$9:$F$10</definedName>
    <definedName function="false" hidden="false" name="acc_Account" vbProcedure="false">'ACCOUNTING IMPORT'!$E$7:$E$306</definedName>
    <definedName function="false" hidden="false" name="acc_Credit" vbProcedure="false">'ACCOUNTING IMPORT'!$H$7:$H$306</definedName>
    <definedName function="false" hidden="false" name="acc_Debit" vbProcedure="false">'ACCOUNTING IMPORT'!$G$7:$G$306</definedName>
    <definedName function="false" hidden="false" name="acc_Produced" vbProcedure="false">'ACCOUNTING IMPORT'!$B$4</definedName>
    <definedName function="false" hidden="false" name="acc_SumAcct" vbProcedure="false">'ACCOUNTING IMPORT'!$P$7:$P$17</definedName>
    <definedName function="false" hidden="false" name="acc_SumAmt" vbProcedure="false">'ACCOUNTING IMPORT'!$R$7:$R$17</definedName>
    <definedName function="false" hidden="false" name="acc_SumLines" vbProcedure="false">'ACCOUNTING IMPORT'!$S$17</definedName>
    <definedName function="false" hidden="false" name="acc_SumName" vbProcedure="false">'ACCOUNTING IMPORT'!$Q$7:$Q$17</definedName>
    <definedName function="false" hidden="false" name="acc_SumSeq" vbProcedure="false">'ACCOUNTING IMPORT'!$S$7:$S$17</definedName>
    <definedName function="false" hidden="false" name="acc_TotalLines" vbProcedure="false">'ACCOUNTING IMPORT'!$A$4</definedName>
    <definedName function="false" hidden="false" name="acc_Type" vbProcedure="false">'ACCOUNTING IMPORT'!$D$7:$D$306</definedName>
    <definedName function="false" hidden="false" name="AgencyName" vbProcedure="false">SETTINGS!$C$5</definedName>
    <definedName function="false" hidden="false" name="APGL" vbProcedure="false">SETTINGS!$C$12</definedName>
    <definedName function="false" hidden="false" name="APGLName" vbProcedure="false">SETTINGS!$C$13</definedName>
    <definedName function="false" hidden="false" name="BankCoName" vbProcedure="false">SETTINGS!$C$15</definedName>
    <definedName function="false" hidden="false" name="bank_CCDTotal" vbProcedure="false">'BANK UPLOAD'!$I$6</definedName>
    <definedName function="false" hidden="false" name="bank_Count" vbProcedure="false">'BANK UPLOAD'!$H$7</definedName>
    <definedName function="false" hidden="false" name="bank_PPDTotal" vbProcedure="false">'BANK UPLOAD'!$I$5</definedName>
    <definedName function="false" hidden="false" name="bank_Total" vbProcedure="false">'BANK UPLOAD'!$I$7</definedName>
    <definedName function="false" hidden="false" name="CaregiverNames" vbProcedure="false">ROSTER!$C$5:$C$54</definedName>
    <definedName function="false" hidden="false" name="cg_Account" vbProcedure="false">ROSTER!$I$5:$I$64</definedName>
    <definedName function="false" hidden="false" name="cg_AcctClass" vbProcedure="false">ROSTER!$F$5:$F$64</definedName>
    <definedName function="false" hidden="false" name="cg_AcctKind" vbProcedure="false">ROSTER!$G$5:$G$64</definedName>
    <definedName function="false" hidden="false" name="cg_Business" vbProcedure="false">ROSTER!$E$5:$E$64</definedName>
    <definedName function="false" hidden="false" name="cg_ID" vbProcedure="false">ROSTER!$B$5:$B$64</definedName>
    <definedName function="false" hidden="false" name="cg_Name" vbProcedure="false">ROSTER!$C$5:$C$64</definedName>
    <definedName function="false" hidden="false" name="cg_PayeeType" vbProcedure="false">ROSTER!$D$5:$D$64</definedName>
    <definedName function="false" hidden="false" name="cg_Routing" vbProcedure="false">ROSTER!$H$5:$H$64</definedName>
    <definedName function="false" hidden="false" name="cg_Vendor" vbProcedure="false">ROSTER!$J$5:$J$64</definedName>
    <definedName function="false" hidden="false" name="ClientNames" vbProcedure="false">ROSTER!$N$5:$N$74</definedName>
    <definedName function="false" hidden="false" name="cl_ID" vbProcedure="false">ROSTER!$M$5:$M$104</definedName>
    <definedName function="false" hidden="false" name="cl_Name" vbProcedure="false">ROSTER!$N$5:$N$104</definedName>
    <definedName function="false" hidden="false" name="cl_Payer" vbProcedure="false">ROSTER!$O$5:$O$104</definedName>
    <definedName function="false" hidden="false" name="EntryDesc" vbProcedure="false">SETTINGS!$C$16</definedName>
    <definedName function="false" hidden="false" name="in_CGID" vbProcedure="false">INPUT!$J$5:$J$254</definedName>
    <definedName function="false" hidden="false" name="in_CGName" vbProcedure="false">INPUT!$B$5:$B$254</definedName>
    <definedName function="false" hidden="false" name="in_Check" vbProcedure="false">INPUT!$P$5:$P$254</definedName>
    <definedName function="false" hidden="false" name="in_Client" vbProcedure="false">INPUT!$C$5:$C$254</definedName>
    <definedName function="false" hidden="false" name="in_ClientID" vbProcedure="false">INPUT!$K$5:$K$254</definedName>
    <definedName function="false" hidden="false" name="in_Days" vbProcedure="false">INPUT!$E$5:$E$254</definedName>
    <definedName function="false" hidden="false" name="in_LineTotal" vbProcedure="false">INPUT!$O$5:$O$254</definedName>
    <definedName function="false" hidden="false" name="in_MilePay" vbProcedure="false">INPUT!$N$5:$N$254</definedName>
    <definedName function="false" hidden="false" name="in_Miles" vbProcedure="false">INPUT!$G$5:$G$254</definedName>
    <definedName function="false" hidden="false" name="in_Payable" vbProcedure="false">INPUT!$Q$5:$Q$254</definedName>
    <definedName function="false" hidden="false" name="in_PayStatus" vbProcedure="false">INPUT!$H$5:$H$254</definedName>
    <definedName function="false" hidden="false" name="in_Rate" vbProcedure="false">INPUT!$L$5:$L$254</definedName>
    <definedName function="false" hidden="false" name="in_Seq" vbProcedure="false">INPUT!$R$5:$R$254</definedName>
    <definedName function="false" hidden="false" name="in_ServicePay" vbProcedure="false">INPUT!$M$5:$M$254</definedName>
    <definedName function="false" hidden="false" name="in_Svc" vbProcedure="false">INPUT!$D$5:$D$254</definedName>
    <definedName function="false" hidden="false" name="in_Units" vbProcedure="false">INPUT!$F$5:$F$254</definedName>
    <definedName function="false" hidden="false" name="JrnPrefix" vbProcedure="false">SETTINGS!$C$14</definedName>
    <definedName function="false" hidden="false" name="MileGL" vbProcedure="false">SETTINGS!$C$10</definedName>
    <definedName function="false" hidden="false" name="MileGLName" vbProcedure="false">SETTINGS!$C$11</definedName>
    <definedName function="false" hidden="false" name="MileRate" vbProcedure="false">SETTINGS!$C$9</definedName>
    <definedName function="false" hidden="false" name="PayDate" vbProcedure="false">SETTINGS!$C$8</definedName>
    <definedName function="false" hidden="false" name="PayeeTypeList" vbProcedure="false">SETTINGS!$G$9:$G$10</definedName>
    <definedName function="false" hidden="false" name="PayerList" vbProcedure="false">SETTINGS!$H$5:$H$9</definedName>
    <definedName function="false" hidden="false" name="PayStatusList" vbProcedure="false">SETTINGS!$F$5:$F$6</definedName>
    <definedName function="false" hidden="false" name="ps_Bank" vbProcedure="false">'PAY SUMMARY'!$I$6:$I$65</definedName>
    <definedName function="false" hidden="false" name="ps_ID" vbProcedure="false">'PAY SUMMARY'!$A$6:$A$65</definedName>
    <definedName function="false" hidden="false" name="ps_KeyCCD" vbProcedure="false">'PAY SUMMARY'!$L$6:$L$65</definedName>
    <definedName function="false" hidden="false" name="ps_KeyPPD" vbProcedure="false">'PAY SUMMARY'!$K$6:$K$65</definedName>
    <definedName function="false" hidden="false" name="ps_Name" vbProcedure="false">'PAY SUMMARY'!$B$6:$B$65</definedName>
    <definedName function="false" hidden="false" name="ps_SEC" vbProcedure="false">'PAY SUMMARY'!$D$6:$D$65</definedName>
    <definedName function="false" hidden="false" name="ps_Status" vbProcedure="false">'PAY SUMMARY'!$J$6:$J$65</definedName>
    <definedName function="false" hidden="false" name="ps_Total" vbProcedure="false">'PAY SUMMARY'!$H$6:$H$65</definedName>
    <definedName function="false" hidden="false" name="rt_Code" vbProcedure="false">RATES!$B$5:$B$14</definedName>
    <definedName function="false" hidden="false" name="rt_GL" vbProcedure="false">RATES!$F$5:$F$14</definedName>
    <definedName function="false" hidden="false" name="rt_GLName" vbProcedure="false">RATES!$G$5:$G$14</definedName>
    <definedName function="false" hidden="false" name="rt_Name" vbProcedure="false">RATES!$C$5:$C$14</definedName>
    <definedName function="false" hidden="false" name="rt_Rate" vbProcedure="false">RATES!$E$5:$E$14</definedName>
    <definedName function="false" hidden="false" name="vc_PayStatus" vbProcedure="false">'VISIT CHECK'!$K$9:$K$258</definedName>
    <definedName function="false" hidden="false" name="vc_Result" vbProcedure="false">'VISIT CHECK'!$L$9:$L$258</definedName>
    <definedName function="false" hidden="false" name="vc_Unverified" vbProcedure="false">'VISIT CHECK'!$I$9:$I$258</definedName>
    <definedName function="false" hidden="false" name="vis_CGID" vbProcedure="false">VISITS!$C$2:$C$1001</definedName>
    <definedName function="false" hidden="false" name="vis_ClientID" vbProcedure="false">VISITS!$E$2:$E$1001</definedName>
    <definedName function="false" hidden="false" name="vis_Date" vbProcedure="false">VISITS!$B$2:$B$1001</definedName>
    <definedName function="false" hidden="false" name="vis_Entered" vbProcedure="false">VISITS!$N$2:$N$1001</definedName>
    <definedName function="false" hidden="false" name="vis_InWeek" vbProcedure="false">VISITS!$M$2:$M$1001</definedName>
    <definedName function="false" hidden="false" name="vis_Status" vbProcedure="false">VISITS!$L$2:$L$1001</definedName>
    <definedName function="false" hidden="false" name="vis_Svc" vbProcedure="false">VISITS!$G$2:$G$1001</definedName>
    <definedName function="false" hidden="false" name="vis_Units" vbProcedure="false">VISITS!$J$2:$J$1001</definedName>
    <definedName function="false" hidden="false" name="WeekEnd" vbProcedure="false">SETTINGS!$C$7</definedName>
    <definedName function="false" hidden="false" name="WeekStart" vbProcedure="false">SETTINGS!$C$6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<sst xmlns="http://schemas.openxmlformats.org/spreadsheetml/2006/main" count="2979" uniqueCount="872">
  <si>
    <t xml:space="preserve">Contractor payment reconciliation</t>
  </si>
  <si>
    <t xml:space="preserve">Larch Hollow Home Care pays its independent caregivers every week from this workbook.</t>
  </si>
  <si>
    <t xml:space="preserve">What this workbook does</t>
  </si>
  <si>
    <t xml:space="preserve">Operations enters the units each caregiver worked during the pay week on the INPUT sheet. The workbook prices each line from the RATES sheet, checks every line against the verified visits exported from the visit verification system, and then builds one bank file with a PPD batch and a CCD batch and one journal entry for the accounting system. The CHECKS sheet confirms that the money on INPUT, the money going to the bank, and the money posted to the books all agree to the cent before anyone releases payment.</t>
  </si>
  <si>
    <t xml:space="preserve">Each week</t>
  </si>
  <si>
    <t xml:space="preserve">Update settings</t>
  </si>
  <si>
    <t xml:space="preserve">On SETTINGS, enter the Monday that starts the pay week and the bank effective date.</t>
  </si>
  <si>
    <t xml:space="preserve">Paste the visit export</t>
  </si>
  <si>
    <t xml:space="preserve">Export the week's visits from the visit verification system and paste them over row 2 and below on VISITS. Keep the column order shown in row 1.</t>
  </si>
  <si>
    <t xml:space="preserve">Enter pay lines</t>
  </si>
  <si>
    <t xml:space="preserve">On INPUT, add one line per caregiver, client, and service. Pick from the drop-downs and type the service days, units, and any miles.</t>
  </si>
  <si>
    <t xml:space="preserve">Review the visit check</t>
  </si>
  <si>
    <t xml:space="preserve">Open VISIT CHECK. Any line marked Review before paying has units without a matching verified visit. Fix the entry, ask for a visit correction, or set the line to Hold on INPUT.</t>
  </si>
  <si>
    <t xml:space="preserve">Clear the checks</t>
  </si>
  <si>
    <t xml:space="preserve">Open CHECKS. Every row should read OK. A red row names the problem and shows the dollar or count difference so you know where to look.</t>
  </si>
  <si>
    <t xml:space="preserve">Send the bank file</t>
  </si>
  <si>
    <t xml:space="preserve">BANK UPLOAD holds the PPD batch and the CCD batch for the week. Copy them into the format your bank asks for.</t>
  </si>
  <si>
    <t xml:space="preserve">Post to the books</t>
  </si>
  <si>
    <t xml:space="preserve">Copy the ACCOUNTING IMPORT rows into your accounting system's journal import template.</t>
  </si>
  <si>
    <t xml:space="preserve">Save a copy</t>
  </si>
  <si>
    <t xml:space="preserve">Save the finished workbook with the week end date in the file name before starting the next run.</t>
  </si>
  <si>
    <t xml:space="preserve">Colors used in this workbook</t>
  </si>
  <si>
    <t xml:space="preserve">Yellow cell</t>
  </si>
  <si>
    <t xml:space="preserve">You type here. These are the only cells that are unlocked.</t>
  </si>
  <si>
    <t xml:space="preserve">White cell</t>
  </si>
  <si>
    <t xml:space="preserve">A formula fills this cell, and the cell is locked.</t>
  </si>
  <si>
    <t xml:space="preserve">OK</t>
  </si>
  <si>
    <t xml:space="preserve">The numbers tie or the line matches a verified visit.</t>
  </si>
  <si>
    <t xml:space="preserve">Review</t>
  </si>
  <si>
    <t xml:space="preserve">Something does not tie. Look at this before money goes out.</t>
  </si>
  <si>
    <t xml:space="preserve">On hold</t>
  </si>
  <si>
    <t xml:space="preserve">The line is held on purpose and stays out of the bank and accounting files.</t>
  </si>
  <si>
    <t xml:space="preserve">Sheet guide</t>
  </si>
  <si>
    <t xml:space="preserve">CHECKS</t>
  </si>
  <si>
    <t xml:space="preserve">This sheet ties the week's totals, counts exceptions, and shows an overall status at the top.</t>
  </si>
  <si>
    <t xml:space="preserve">INPUT</t>
  </si>
  <si>
    <t xml:space="preserve">Operations enters pay lines here. The calculated columns on the right are locked.</t>
  </si>
  <si>
    <t xml:space="preserve">VISIT CHECK</t>
  </si>
  <si>
    <t xml:space="preserve">This sheet compares each pay line with verified visits in the pay week for the same caregiver, client, and service.</t>
  </si>
  <si>
    <t xml:space="preserve">PAY SUMMARY</t>
  </si>
  <si>
    <t xml:space="preserve">Each caregiver gets one row for the week, with the status of their bank details.</t>
  </si>
  <si>
    <t xml:space="preserve">BANK UPLOAD</t>
  </si>
  <si>
    <t xml:space="preserve">The bank file has a PPD batch for personal accounts and a CCD batch for business accounts.</t>
  </si>
  <si>
    <t xml:space="preserve">ACCOUNTING IMPORT</t>
  </si>
  <si>
    <t xml:space="preserve">One journal entry credits accounts payable for each pay line and debits expense by service type.</t>
  </si>
  <si>
    <t xml:space="preserve">VISITS</t>
  </si>
  <si>
    <t xml:space="preserve">Paste the visit verification export here. The two gray columns on the right calculate.</t>
  </si>
  <si>
    <t xml:space="preserve">RATES</t>
  </si>
  <si>
    <t xml:space="preserve">Each service type has a pay rate and a general ledger account here.</t>
  </si>
  <si>
    <t xml:space="preserve">ROSTER</t>
  </si>
  <si>
    <t xml:space="preserve">Caregivers are listed with payee type and masked bank details, and clients are listed with their payer.</t>
  </si>
  <si>
    <t xml:space="preserve">SETTINGS</t>
  </si>
  <si>
    <t xml:space="preserve">The pay week, bank date, mileage rate, account numbers, and drop-down lists live here.</t>
  </si>
  <si>
    <t xml:space="preserve">Sheets are protected without a password so formulas are not overwritten by accident. To change a formula, use Review, then Unprotect Sheet. Columns can still be resized and filtered while a sheet is protected.</t>
  </si>
  <si>
    <t xml:space="preserve">Sample data. All names, organizations, and figures are fictional.</t>
  </si>
  <si>
    <t xml:space="preserve">Pay run checks</t>
  </si>
  <si>
    <t xml:space="preserve">Money ties</t>
  </si>
  <si>
    <t xml:space="preserve">#</t>
  </si>
  <si>
    <t xml:space="preserve">Check</t>
  </si>
  <si>
    <t xml:space="preserve">This side</t>
  </si>
  <si>
    <t xml:space="preserve">Other side</t>
  </si>
  <si>
    <t xml:space="preserve">Difference</t>
  </si>
  <si>
    <t xml:space="preserve">Status</t>
  </si>
  <si>
    <t xml:space="preserve">Payable total on INPUT (lines set to Pay) compared with the bank file total</t>
  </si>
  <si>
    <t xml:space="preserve">Pay due to personal accounts compared with the PPD batch total</t>
  </si>
  <si>
    <t xml:space="preserve">Pay due to business accounts compared with the CCD batch total</t>
  </si>
  <si>
    <t xml:space="preserve">Payable total on INPUT compared with credits to accounts payable on the accounting import</t>
  </si>
  <si>
    <t xml:space="preserve">Service pay and mileage on INPUT compared with the expense and mileage summary lines</t>
  </si>
  <si>
    <t xml:space="preserve">Accounting import debits compared with accounting import credits</t>
  </si>
  <si>
    <t xml:space="preserve">Counts and completeness</t>
  </si>
  <si>
    <t xml:space="preserve">Caregivers with pay due compared with entries in the bank file</t>
  </si>
  <si>
    <t xml:space="preserve">Accounting lines expected compared with accounting lines produced</t>
  </si>
  <si>
    <t xml:space="preserve">Units set to Pay that have no matching verified visit (should be zero)</t>
  </si>
  <si>
    <t xml:space="preserve">Caregivers with pay due but no bank details on file (should be zero)</t>
  </si>
  <si>
    <t xml:space="preserve">INPUT lines missing a caregiver, client, service, or units (should be zero)</t>
  </si>
  <si>
    <t xml:space="preserve">INPUT lines with a caregiver or client that is not on the roster (should be zero)</t>
  </si>
  <si>
    <t xml:space="preserve">Visits in the export dated outside the pay week (should be zero)</t>
  </si>
  <si>
    <t xml:space="preserve">Pay run summary</t>
  </si>
  <si>
    <t xml:space="preserve">This week</t>
  </si>
  <si>
    <t xml:space="preserve">Lines entered</t>
  </si>
  <si>
    <t xml:space="preserve">Lines on hold</t>
  </si>
  <si>
    <t xml:space="preserve">Caregivers in the bank file</t>
  </si>
  <si>
    <t xml:space="preserve">Units paid</t>
  </si>
  <si>
    <t xml:space="preserve">Service pay</t>
  </si>
  <si>
    <t xml:space="preserve">Mileage</t>
  </si>
  <si>
    <t xml:space="preserve">PPD batch (personal accounts)</t>
  </si>
  <si>
    <t xml:space="preserve">CCD batch (business accounts)</t>
  </si>
  <si>
    <t xml:space="preserve">Sheets are protected without a password so formulas are not overwritten by accident. Sample data. All names, organizations, and figures are fictional.</t>
  </si>
  <si>
    <t xml:space="preserve">Pay input</t>
  </si>
  <si>
    <t xml:space="preserve">Enter one line per caregiver, client, and service for the pay week. Type only in the yellow columns.</t>
  </si>
  <si>
    <t xml:space="preserve">Calculated, locked</t>
  </si>
  <si>
    <t xml:space="preserve">Line</t>
  </si>
  <si>
    <t xml:space="preserve">Caregiver</t>
  </si>
  <si>
    <t xml:space="preserve">Client</t>
  </si>
  <si>
    <t xml:space="preserve">Service</t>
  </si>
  <si>
    <t xml:space="preserve">Service days</t>
  </si>
  <si>
    <t xml:space="preserve">Units</t>
  </si>
  <si>
    <t xml:space="preserve">Miles</t>
  </si>
  <si>
    <t xml:space="preserve">Pay or hold</t>
  </si>
  <si>
    <t xml:space="preserve">Notes</t>
  </si>
  <si>
    <t xml:space="preserve">Caregiver ID</t>
  </si>
  <si>
    <t xml:space="preserve">Client ID</t>
  </si>
  <si>
    <t xml:space="preserve">Rate</t>
  </si>
  <si>
    <t xml:space="preserve">Mileage pay</t>
  </si>
  <si>
    <t xml:space="preserve">Line total</t>
  </si>
  <si>
    <t xml:space="preserve">Visit check</t>
  </si>
  <si>
    <t xml:space="preserve">Payable</t>
  </si>
  <si>
    <t xml:space="preserve">Line seq</t>
  </si>
  <si>
    <t xml:space="preserve">Kendra Acosta</t>
  </si>
  <si>
    <t xml:space="preserve">Chandler, L.</t>
  </si>
  <si>
    <t xml:space="preserve">CO</t>
  </si>
  <si>
    <t xml:space="preserve">Pay</t>
  </si>
  <si>
    <t xml:space="preserve">Lacy, R.</t>
  </si>
  <si>
    <t xml:space="preserve">PC</t>
  </si>
  <si>
    <t xml:space="preserve">Macias, F.</t>
  </si>
  <si>
    <t xml:space="preserve">Jada Barajas</t>
  </si>
  <si>
    <t xml:space="preserve">Abernathy, R.</t>
  </si>
  <si>
    <t xml:space="preserve">RS</t>
  </si>
  <si>
    <t xml:space="preserve">Sampson, H.</t>
  </si>
  <si>
    <t xml:space="preserve">Mireille Beasley</t>
  </si>
  <si>
    <t xml:space="preserve">Stallworth, V.</t>
  </si>
  <si>
    <t xml:space="preserve">Vanessa Bledsoe</t>
  </si>
  <si>
    <t xml:space="preserve">Landry, M.</t>
  </si>
  <si>
    <t xml:space="preserve">Ochoa, E.</t>
  </si>
  <si>
    <t xml:space="preserve">Talbot, E.</t>
  </si>
  <si>
    <t xml:space="preserve">Zora Burrell</t>
  </si>
  <si>
    <t xml:space="preserve">Crenshaw, J.</t>
  </si>
  <si>
    <t xml:space="preserve">Andre Coleman</t>
  </si>
  <si>
    <t xml:space="preserve">Pacheco, J.</t>
  </si>
  <si>
    <t xml:space="preserve">Zora Coleman</t>
  </si>
  <si>
    <t xml:space="preserve">Odom, T.</t>
  </si>
  <si>
    <t xml:space="preserve">Bernice Corbett</t>
  </si>
  <si>
    <t xml:space="preserve">Guerrero, T.</t>
  </si>
  <si>
    <t xml:space="preserve">HM</t>
  </si>
  <si>
    <t xml:space="preserve">Nadia Corbett</t>
  </si>
  <si>
    <t xml:space="preserve">Jeffries, S.</t>
  </si>
  <si>
    <t xml:space="preserve">Upchurch, J.</t>
  </si>
  <si>
    <t xml:space="preserve">Jamal Dabney</t>
  </si>
  <si>
    <t xml:space="preserve">Upchurch, N.</t>
  </si>
  <si>
    <t xml:space="preserve">Nadia Delgado</t>
  </si>
  <si>
    <t xml:space="preserve">Escobar, R.</t>
  </si>
  <si>
    <t xml:space="preserve">Fontaine, L.</t>
  </si>
  <si>
    <t xml:space="preserve">Brianna Easley</t>
  </si>
  <si>
    <t xml:space="preserve">Easley, S.</t>
  </si>
  <si>
    <t xml:space="preserve">Fulton, A.</t>
  </si>
  <si>
    <t xml:space="preserve">Wanda Easley</t>
  </si>
  <si>
    <t xml:space="preserve">Ashford, A.</t>
  </si>
  <si>
    <t xml:space="preserve">Coleman, C.</t>
  </si>
  <si>
    <t xml:space="preserve">Elise Escobar</t>
  </si>
  <si>
    <t xml:space="preserve">Shelton, L.</t>
  </si>
  <si>
    <t xml:space="preserve">Teresa Fontaine</t>
  </si>
  <si>
    <t xml:space="preserve">Aria Fulton</t>
  </si>
  <si>
    <t xml:space="preserve">Galloway, V.</t>
  </si>
  <si>
    <t xml:space="preserve">Pacheco, N.</t>
  </si>
  <si>
    <t xml:space="preserve">Veronica Garnett</t>
  </si>
  <si>
    <t xml:space="preserve">Waddell, C.</t>
  </si>
  <si>
    <t xml:space="preserve">Brianna Grayson</t>
  </si>
  <si>
    <t xml:space="preserve">NV</t>
  </si>
  <si>
    <t xml:space="preserve">Valeria Grayson</t>
  </si>
  <si>
    <t xml:space="preserve">Yancey, S.</t>
  </si>
  <si>
    <t xml:space="preserve">Alicia Haddad</t>
  </si>
  <si>
    <t xml:space="preserve">Chandler, S.</t>
  </si>
  <si>
    <t xml:space="preserve">Janelle Holloway</t>
  </si>
  <si>
    <t xml:space="preserve">Marquez, R.</t>
  </si>
  <si>
    <t xml:space="preserve">Hold</t>
  </si>
  <si>
    <t xml:space="preserve">Visit on 9/17 missing in EVV; correction requested</t>
  </si>
  <si>
    <t xml:space="preserve">Elise Kowalski</t>
  </si>
  <si>
    <t xml:space="preserve">Hana Ledbetter</t>
  </si>
  <si>
    <t xml:space="preserve">Grayson, C.</t>
  </si>
  <si>
    <t xml:space="preserve">Adrienne Macias</t>
  </si>
  <si>
    <t xml:space="preserve">Kowalski, D.</t>
  </si>
  <si>
    <t xml:space="preserve">Jasmine Mendoza</t>
  </si>
  <si>
    <t xml:space="preserve">Ledbetter, D.</t>
  </si>
  <si>
    <t xml:space="preserve">Aria Mercer</t>
  </si>
  <si>
    <t xml:space="preserve">Grayson, L.</t>
  </si>
  <si>
    <t xml:space="preserve">Andre Montoya</t>
  </si>
  <si>
    <t xml:space="preserve">Rosa Ochoa</t>
  </si>
  <si>
    <t xml:space="preserve">Elise Odom</t>
  </si>
  <si>
    <t xml:space="preserve">Desmond Overton</t>
  </si>
  <si>
    <t xml:space="preserve">Dalia Parrish</t>
  </si>
  <si>
    <t xml:space="preserve">Fairley, E.</t>
  </si>
  <si>
    <t xml:space="preserve">Corinne Prewitt</t>
  </si>
  <si>
    <t xml:space="preserve">Selena Quintero</t>
  </si>
  <si>
    <t xml:space="preserve">Pacheco, G.</t>
  </si>
  <si>
    <t xml:space="preserve">Amara Rainey</t>
  </si>
  <si>
    <t xml:space="preserve">Hector Rosales</t>
  </si>
  <si>
    <t xml:space="preserve">Ashford, D.</t>
  </si>
  <si>
    <t xml:space="preserve">Curtis Sampson</t>
  </si>
  <si>
    <t xml:space="preserve">Vance, D.</t>
  </si>
  <si>
    <t xml:space="preserve">Naomi Satterfield</t>
  </si>
  <si>
    <t xml:space="preserve">Josefina Simmons</t>
  </si>
  <si>
    <t xml:space="preserve">Brianna Tolliver</t>
  </si>
  <si>
    <t xml:space="preserve">Yolanda Vance</t>
  </si>
  <si>
    <t xml:space="preserve">Brianna Waddell</t>
  </si>
  <si>
    <t xml:space="preserve">Marlene Yancey</t>
  </si>
  <si>
    <t xml:space="preserve">Farris, A.</t>
  </si>
  <si>
    <t xml:space="preserve">Every pay line is compared with verified visits in the pay week for the same caregiver, client, and service.</t>
  </si>
  <si>
    <t xml:space="preserve">Lines checked</t>
  </si>
  <si>
    <t xml:space="preserve">Lines that match</t>
  </si>
  <si>
    <t xml:space="preserve">Lines to review</t>
  </si>
  <si>
    <t xml:space="preserve">Unverified units set to pay</t>
  </si>
  <si>
    <t xml:space="preserve">Verified visits not entered</t>
  </si>
  <si>
    <t xml:space="preserve">Only visits with a status of Verified and a date inside the pay week count. Pending visits wait for the next run.</t>
  </si>
  <si>
    <t xml:space="preserve">Days entered</t>
  </si>
  <si>
    <t xml:space="preserve">Units entered</t>
  </si>
  <si>
    <t xml:space="preserve">Verified visits</t>
  </si>
  <si>
    <t xml:space="preserve">Verified units</t>
  </si>
  <si>
    <t xml:space="preserve">Unverified units</t>
  </si>
  <si>
    <t xml:space="preserve">Unverified amount</t>
  </si>
  <si>
    <t xml:space="preserve">Result</t>
  </si>
  <si>
    <t xml:space="preserve">Action</t>
  </si>
  <si>
    <t xml:space="preserve">Pay summary by caregiver</t>
  </si>
  <si>
    <t xml:space="preserve">One row per caregiver for the pay week. Only lines set to Pay are included.</t>
  </si>
  <si>
    <t xml:space="preserve">Account class</t>
  </si>
  <si>
    <t xml:space="preserve">SEC code</t>
  </si>
  <si>
    <t xml:space="preserve">Total payable</t>
  </si>
  <si>
    <t xml:space="preserve">Bank details</t>
  </si>
  <si>
    <t xml:space="preserve">PPD key</t>
  </si>
  <si>
    <t xml:space="preserve">CCD key</t>
  </si>
  <si>
    <t xml:space="preserve">Bank payment upload</t>
  </si>
  <si>
    <t xml:space="preserve">One direct deposit file for the pay week, with a PPD batch for personal accounts and a CCD batch for business accounts.</t>
  </si>
  <si>
    <t xml:space="preserve">Company name</t>
  </si>
  <si>
    <t xml:space="preserve">Batch</t>
  </si>
  <si>
    <t xml:space="preserve">Entries</t>
  </si>
  <si>
    <t xml:space="preserve">Total</t>
  </si>
  <si>
    <t xml:space="preserve">Effective date</t>
  </si>
  <si>
    <t xml:space="preserve">PPD</t>
  </si>
  <si>
    <t xml:space="preserve">Entry description</t>
  </si>
  <si>
    <t xml:space="preserve">CCD</t>
  </si>
  <si>
    <t xml:space="preserve">Pay week</t>
  </si>
  <si>
    <t xml:space="preserve">File total</t>
  </si>
  <si>
    <t xml:space="preserve">Each ACH batch carries a single entry class and one effective date, so the two sections below go to the bank as two batches in one file.</t>
  </si>
  <si>
    <t xml:space="preserve">Batch 1. PPD entries to personal accounts</t>
  </si>
  <si>
    <t xml:space="preserve">Entry</t>
  </si>
  <si>
    <t xml:space="preserve">Txn code</t>
  </si>
  <si>
    <t xml:space="preserve">Payee ID</t>
  </si>
  <si>
    <t xml:space="preserve">Payee name</t>
  </si>
  <si>
    <t xml:space="preserve">Routing</t>
  </si>
  <si>
    <t xml:space="preserve">Account</t>
  </si>
  <si>
    <t xml:space="preserve">Amount</t>
  </si>
  <si>
    <t xml:space="preserve">Entry desc</t>
  </si>
  <si>
    <t xml:space="preserve">Memo</t>
  </si>
  <si>
    <t xml:space="preserve">Key</t>
  </si>
  <si>
    <t xml:space="preserve">Src</t>
  </si>
  <si>
    <t xml:space="preserve">Batch control: PPD</t>
  </si>
  <si>
    <t xml:space="preserve">Batch 2. CCD entries to business accounts</t>
  </si>
  <si>
    <t xml:space="preserve">Batch control: CCD</t>
  </si>
  <si>
    <t xml:space="preserve">Accounting system import</t>
  </si>
  <si>
    <t xml:space="preserve">One journal entry for the week: a credit to accounts payable for each pay line, plus one expense summary line per service type and one for mileage.</t>
  </si>
  <si>
    <t xml:space="preserve">Lines expected</t>
  </si>
  <si>
    <t xml:space="preserve">Lines produced</t>
  </si>
  <si>
    <t xml:space="preserve">Total debits</t>
  </si>
  <si>
    <t xml:space="preserve">Total credits</t>
  </si>
  <si>
    <t xml:space="preserve">Balanced</t>
  </si>
  <si>
    <t xml:space="preserve">Journal no</t>
  </si>
  <si>
    <t xml:space="preserve">Entry date</t>
  </si>
  <si>
    <t xml:space="preserve">Line type</t>
  </si>
  <si>
    <t xml:space="preserve">Account name</t>
  </si>
  <si>
    <t xml:space="preserve">Debit</t>
  </si>
  <si>
    <t xml:space="preserve">Credit</t>
  </si>
  <si>
    <t xml:space="preserve">Vendor ID</t>
  </si>
  <si>
    <t xml:space="preserve">Vendor name</t>
  </si>
  <si>
    <t xml:space="preserve">Class</t>
  </si>
  <si>
    <t xml:space="preserve">Kind</t>
  </si>
  <si>
    <t xml:space="preserve">Seq</t>
  </si>
  <si>
    <t xml:space="preserve">Visit ID</t>
  </si>
  <si>
    <t xml:space="preserve">Visit Date</t>
  </si>
  <si>
    <t xml:space="preserve">Caregiver Name</t>
  </si>
  <si>
    <t xml:space="preserve">Client Name</t>
  </si>
  <si>
    <t xml:space="preserve">Service Code</t>
  </si>
  <si>
    <t xml:space="preserve">Check In</t>
  </si>
  <si>
    <t xml:space="preserve">Check Out</t>
  </si>
  <si>
    <t xml:space="preserve">Method</t>
  </si>
  <si>
    <t xml:space="preserve">Visit Status</t>
  </si>
  <si>
    <t xml:space="preserve">In Pay Week</t>
  </si>
  <si>
    <t xml:space="preserve">Entered for Payment</t>
  </si>
  <si>
    <t xml:space="preserve">EV-918461</t>
  </si>
  <si>
    <t xml:space="preserve">CG-1036</t>
  </si>
  <si>
    <t xml:space="preserve">CL-2040</t>
  </si>
  <si>
    <t xml:space="preserve">Telephony</t>
  </si>
  <si>
    <t xml:space="preserve">Verified</t>
  </si>
  <si>
    <t xml:space="preserve">EV-914303</t>
  </si>
  <si>
    <t xml:space="preserve">CG-1001</t>
  </si>
  <si>
    <t xml:space="preserve">CL-2020</t>
  </si>
  <si>
    <t xml:space="preserve">GPS</t>
  </si>
  <si>
    <t xml:space="preserve">EV-916454</t>
  </si>
  <si>
    <t xml:space="preserve">CG-1023</t>
  </si>
  <si>
    <t xml:space="preserve">CL-2059</t>
  </si>
  <si>
    <t xml:space="preserve">Manual entry</t>
  </si>
  <si>
    <t xml:space="preserve">EV-916664</t>
  </si>
  <si>
    <t xml:space="preserve">CL-2034</t>
  </si>
  <si>
    <t xml:space="preserve">EV-918271</t>
  </si>
  <si>
    <t xml:space="preserve">CL-2031</t>
  </si>
  <si>
    <t xml:space="preserve">EV-918598</t>
  </si>
  <si>
    <t xml:space="preserve">CG-1037</t>
  </si>
  <si>
    <t xml:space="preserve">CL-2027</t>
  </si>
  <si>
    <t xml:space="preserve">EV-914445</t>
  </si>
  <si>
    <t xml:space="preserve">CG-1003</t>
  </si>
  <si>
    <t xml:space="preserve">CL-2030</t>
  </si>
  <si>
    <t xml:space="preserve">EV-914244</t>
  </si>
  <si>
    <t xml:space="preserve">CL-2054</t>
  </si>
  <si>
    <t xml:space="preserve">EV-914403</t>
  </si>
  <si>
    <t xml:space="preserve">CG-1002</t>
  </si>
  <si>
    <t xml:space="preserve">CL-2025</t>
  </si>
  <si>
    <t xml:space="preserve">EV-915246</t>
  </si>
  <si>
    <t xml:space="preserve">CG-1011</t>
  </si>
  <si>
    <t xml:space="preserve">EV-916143</t>
  </si>
  <si>
    <t xml:space="preserve">CG-1021</t>
  </si>
  <si>
    <t xml:space="preserve">EV-916285</t>
  </si>
  <si>
    <t xml:space="preserve">CG-1022</t>
  </si>
  <si>
    <t xml:space="preserve">CL-2006</t>
  </si>
  <si>
    <t xml:space="preserve">EV-917765</t>
  </si>
  <si>
    <t xml:space="preserve">CG-1032</t>
  </si>
  <si>
    <t xml:space="preserve">CL-2043</t>
  </si>
  <si>
    <t xml:space="preserve">EV-914588</t>
  </si>
  <si>
    <t xml:space="preserve">CG-1005</t>
  </si>
  <si>
    <t xml:space="preserve">CL-2007</t>
  </si>
  <si>
    <t xml:space="preserve">EV-917152</t>
  </si>
  <si>
    <t xml:space="preserve">CG-1026</t>
  </si>
  <si>
    <t xml:space="preserve">CL-2063</t>
  </si>
  <si>
    <t xml:space="preserve">EV-918370</t>
  </si>
  <si>
    <t xml:space="preserve">CL-2061</t>
  </si>
  <si>
    <t xml:space="preserve">EV-915060</t>
  </si>
  <si>
    <t xml:space="preserve">CG-1009</t>
  </si>
  <si>
    <t xml:space="preserve">EV-916344</t>
  </si>
  <si>
    <t xml:space="preserve">CL-2048</t>
  </si>
  <si>
    <t xml:space="preserve">EV-916911</t>
  </si>
  <si>
    <t xml:space="preserve">CG-1024</t>
  </si>
  <si>
    <t xml:space="preserve">EV-917928</t>
  </si>
  <si>
    <t xml:space="preserve">CG-1033</t>
  </si>
  <si>
    <t xml:space="preserve">CL-2014</t>
  </si>
  <si>
    <t xml:space="preserve">EV-917649</t>
  </si>
  <si>
    <t xml:space="preserve">CG-1031</t>
  </si>
  <si>
    <t xml:space="preserve">CL-2008</t>
  </si>
  <si>
    <t xml:space="preserve">EV-917072</t>
  </si>
  <si>
    <t xml:space="preserve">CG-1025</t>
  </si>
  <si>
    <t xml:space="preserve">EV-918664</t>
  </si>
  <si>
    <t xml:space="preserve">CL-2042</t>
  </si>
  <si>
    <t xml:space="preserve">EV-918130</t>
  </si>
  <si>
    <t xml:space="preserve">CG-1034</t>
  </si>
  <si>
    <t xml:space="preserve">CL-2058</t>
  </si>
  <si>
    <t xml:space="preserve">EV-914703</t>
  </si>
  <si>
    <t xml:space="preserve">CG-1007</t>
  </si>
  <si>
    <t xml:space="preserve">CL-2038</t>
  </si>
  <si>
    <t xml:space="preserve">EV-915138</t>
  </si>
  <si>
    <t xml:space="preserve">EV-918055</t>
  </si>
  <si>
    <t xml:space="preserve">EV-914934</t>
  </si>
  <si>
    <t xml:space="preserve">CG-1008</t>
  </si>
  <si>
    <t xml:space="preserve">CL-2032</t>
  </si>
  <si>
    <t xml:space="preserve">EV-915365</t>
  </si>
  <si>
    <t xml:space="preserve">CG-1012</t>
  </si>
  <si>
    <t xml:space="preserve">CL-2013</t>
  </si>
  <si>
    <t xml:space="preserve">EV-915924</t>
  </si>
  <si>
    <t xml:space="preserve">CG-1020</t>
  </si>
  <si>
    <t xml:space="preserve">EV-918728</t>
  </si>
  <si>
    <t xml:space="preserve">CG-1040</t>
  </si>
  <si>
    <t xml:space="preserve">EV-915505</t>
  </si>
  <si>
    <t xml:space="preserve">CG-1014</t>
  </si>
  <si>
    <t xml:space="preserve">CL-2051</t>
  </si>
  <si>
    <t xml:space="preserve">EV-918950</t>
  </si>
  <si>
    <t xml:space="preserve">CG-1043</t>
  </si>
  <si>
    <t xml:space="preserve">CL-2022</t>
  </si>
  <si>
    <t xml:space="preserve">EV-918866</t>
  </si>
  <si>
    <t xml:space="preserve">CG-1041</t>
  </si>
  <si>
    <t xml:space="preserve">CL-2016</t>
  </si>
  <si>
    <t xml:space="preserve">EV-916750</t>
  </si>
  <si>
    <t xml:space="preserve">CL-2005</t>
  </si>
  <si>
    <t xml:space="preserve">EV-914812</t>
  </si>
  <si>
    <t xml:space="preserve">EV-915811</t>
  </si>
  <si>
    <t xml:space="preserve">CG-1018</t>
  </si>
  <si>
    <t xml:space="preserve">CL-2053</t>
  </si>
  <si>
    <t xml:space="preserve">EV-916791</t>
  </si>
  <si>
    <t xml:space="preserve">EV-916552</t>
  </si>
  <si>
    <t xml:space="preserve">CL-2026</t>
  </si>
  <si>
    <t xml:space="preserve">EV-917503</t>
  </si>
  <si>
    <t xml:space="preserve">CG-1030</t>
  </si>
  <si>
    <t xml:space="preserve">EV-918869</t>
  </si>
  <si>
    <t xml:space="preserve">EV-915389</t>
  </si>
  <si>
    <t xml:space="preserve">EV-916045</t>
  </si>
  <si>
    <t xml:space="preserve">EV-914942</t>
  </si>
  <si>
    <t xml:space="preserve">EV-916179</t>
  </si>
  <si>
    <t xml:space="preserve">EV-917861</t>
  </si>
  <si>
    <t xml:space="preserve">EV-918058</t>
  </si>
  <si>
    <t xml:space="preserve">EV-918283</t>
  </si>
  <si>
    <t xml:space="preserve">EV-915464</t>
  </si>
  <si>
    <t xml:space="preserve">CG-1013</t>
  </si>
  <si>
    <t xml:space="preserve">EV-918245</t>
  </si>
  <si>
    <t xml:space="preserve">CG-1035</t>
  </si>
  <si>
    <t xml:space="preserve">CL-2009</t>
  </si>
  <si>
    <t xml:space="preserve">EV-918966</t>
  </si>
  <si>
    <t xml:space="preserve">EV-915249</t>
  </si>
  <si>
    <t xml:space="preserve">EV-916799</t>
  </si>
  <si>
    <t xml:space="preserve">EV-916379</t>
  </si>
  <si>
    <t xml:space="preserve">EV-915533</t>
  </si>
  <si>
    <t xml:space="preserve">EV-917433</t>
  </si>
  <si>
    <t xml:space="preserve">CG-1029</t>
  </si>
  <si>
    <t xml:space="preserve">CL-2049</t>
  </si>
  <si>
    <t xml:space="preserve">EV-914619</t>
  </si>
  <si>
    <t xml:space="preserve">EV-914459</t>
  </si>
  <si>
    <t xml:space="preserve">EV-914553</t>
  </si>
  <si>
    <t xml:space="preserve">CG-1004</t>
  </si>
  <si>
    <t xml:space="preserve">CL-2012</t>
  </si>
  <si>
    <t xml:space="preserve">EV-918004</t>
  </si>
  <si>
    <t xml:space="preserve">CL-2033</t>
  </si>
  <si>
    <t xml:space="preserve">EV-916460</t>
  </si>
  <si>
    <t xml:space="preserve">EV-916583</t>
  </si>
  <si>
    <t xml:space="preserve">EV-914835</t>
  </si>
  <si>
    <t xml:space="preserve">EV-918757</t>
  </si>
  <si>
    <t xml:space="preserve">EV-918833</t>
  </si>
  <si>
    <t xml:space="preserve">EV-915082</t>
  </si>
  <si>
    <t xml:space="preserve">EV-915334</t>
  </si>
  <si>
    <t xml:space="preserve">CL-2035</t>
  </si>
  <si>
    <t xml:space="preserve">EV-914307</t>
  </si>
  <si>
    <t xml:space="preserve">EV-914737</t>
  </si>
  <si>
    <t xml:space="preserve">EV-916674</t>
  </si>
  <si>
    <t xml:space="preserve">EV-918920</t>
  </si>
  <si>
    <t xml:space="preserve">CG-1042</t>
  </si>
  <si>
    <t xml:space="preserve">CL-2018</t>
  </si>
  <si>
    <t xml:space="preserve">EV-917011</t>
  </si>
  <si>
    <t xml:space="preserve">EV-915175</t>
  </si>
  <si>
    <t xml:space="preserve">EV-917287</t>
  </si>
  <si>
    <t xml:space="preserve">CG-1027</t>
  </si>
  <si>
    <t xml:space="preserve">EV-917669</t>
  </si>
  <si>
    <t xml:space="preserve">EV-918375</t>
  </si>
  <si>
    <t xml:space="preserve">EV-919140</t>
  </si>
  <si>
    <t xml:space="preserve">CG-1045</t>
  </si>
  <si>
    <t xml:space="preserve">EV-915734</t>
  </si>
  <si>
    <t xml:space="preserve">CG-1016</t>
  </si>
  <si>
    <t xml:space="preserve">EV-918480</t>
  </si>
  <si>
    <t xml:space="preserve">EV-918990</t>
  </si>
  <si>
    <t xml:space="preserve">EV-917526</t>
  </si>
  <si>
    <t xml:space="preserve">EV-914329</t>
  </si>
  <si>
    <t xml:space="preserve">EV-916216</t>
  </si>
  <si>
    <t xml:space="preserve">EV-916484</t>
  </si>
  <si>
    <t xml:space="preserve">EV-915257</t>
  </si>
  <si>
    <t xml:space="preserve">EV-918296</t>
  </si>
  <si>
    <t xml:space="preserve">EV-918670</t>
  </si>
  <si>
    <t xml:space="preserve">EV-915566</t>
  </si>
  <si>
    <t xml:space="preserve">EV-914487</t>
  </si>
  <si>
    <t xml:space="preserve">EV-916926</t>
  </si>
  <si>
    <t xml:space="preserve">EV-918519</t>
  </si>
  <si>
    <t xml:space="preserve">EV-915026</t>
  </si>
  <si>
    <t xml:space="preserve">EV-919163</t>
  </si>
  <si>
    <t xml:space="preserve">EV-915472</t>
  </si>
  <si>
    <t xml:space="preserve">EV-917581</t>
  </si>
  <si>
    <t xml:space="preserve">EV-914961</t>
  </si>
  <si>
    <t xml:space="preserve">EV-915769</t>
  </si>
  <si>
    <t xml:space="preserve">CG-1017</t>
  </si>
  <si>
    <t xml:space="preserve">EV-917870</t>
  </si>
  <si>
    <t xml:space="preserve">EV-917315</t>
  </si>
  <si>
    <t xml:space="preserve">EV-915946</t>
  </si>
  <si>
    <t xml:space="preserve">EV-914996</t>
  </si>
  <si>
    <t xml:space="preserve">CL-2055</t>
  </si>
  <si>
    <t xml:space="preserve">EV-919063</t>
  </si>
  <si>
    <t xml:space="preserve">CG-1044</t>
  </si>
  <si>
    <t xml:space="preserve">CL-2011</t>
  </si>
  <si>
    <t xml:space="preserve">EV-914755</t>
  </si>
  <si>
    <t xml:space="preserve">EV-917170</t>
  </si>
  <si>
    <t xml:space="preserve">EV-916760</t>
  </si>
  <si>
    <t xml:space="preserve">EV-914643</t>
  </si>
  <si>
    <t xml:space="preserve">EV-917691</t>
  </si>
  <si>
    <t xml:space="preserve">EV-918185</t>
  </si>
  <si>
    <t xml:space="preserve">EV-917054</t>
  </si>
  <si>
    <t xml:space="preserve">EV-914416</t>
  </si>
  <si>
    <t xml:space="preserve">EV-914570</t>
  </si>
  <si>
    <t xml:space="preserve">EV-916839</t>
  </si>
  <si>
    <t xml:space="preserve">EV-917106</t>
  </si>
  <si>
    <t xml:space="preserve">EV-918412</t>
  </si>
  <si>
    <t xml:space="preserve">EV-917948</t>
  </si>
  <si>
    <t xml:space="preserve">EV-915691</t>
  </si>
  <si>
    <t xml:space="preserve">EV-918783</t>
  </si>
  <si>
    <t xml:space="preserve">EV-915395</t>
  </si>
  <si>
    <t xml:space="preserve">EV-916082</t>
  </si>
  <si>
    <t xml:space="preserve">EV-914508</t>
  </si>
  <si>
    <t xml:space="preserve">EV-917381</t>
  </si>
  <si>
    <t xml:space="preserve">CG-1028</t>
  </si>
  <si>
    <t xml:space="preserve">CL-2044</t>
  </si>
  <si>
    <t xml:space="preserve">EV-915846</t>
  </si>
  <si>
    <t xml:space="preserve">EV-918838</t>
  </si>
  <si>
    <t xml:space="preserve">EV-917491</t>
  </si>
  <si>
    <t xml:space="preserve">EV-915983</t>
  </si>
  <si>
    <t xml:space="preserve">EV-916590</t>
  </si>
  <si>
    <t xml:space="preserve">EV-916221</t>
  </si>
  <si>
    <t xml:space="preserve">EV-917885</t>
  </si>
  <si>
    <t xml:space="preserve">EV-918323</t>
  </si>
  <si>
    <t xml:space="preserve">EV-914663</t>
  </si>
  <si>
    <t xml:space="preserve">EV-916102</t>
  </si>
  <si>
    <t xml:space="preserve">EV-916768</t>
  </si>
  <si>
    <t xml:space="preserve">EV-919093</t>
  </si>
  <si>
    <t xml:space="preserve">EV-919170</t>
  </si>
  <si>
    <t xml:space="preserve">EV-916867</t>
  </si>
  <si>
    <t xml:space="preserve">EV-914766</t>
  </si>
  <si>
    <t xml:space="preserve">EV-916511</t>
  </si>
  <si>
    <t xml:space="preserve">EV-919008</t>
  </si>
  <si>
    <t xml:space="preserve">EV-914975</t>
  </si>
  <si>
    <t xml:space="preserve">EV-917730</t>
  </si>
  <si>
    <t xml:space="preserve">EV-915749</t>
  </si>
  <si>
    <t xml:space="preserve">EV-918786</t>
  </si>
  <si>
    <t xml:space="preserve">EV-917473</t>
  </si>
  <si>
    <t xml:space="preserve">EV-916711</t>
  </si>
  <si>
    <t xml:space="preserve">EV-918263</t>
  </si>
  <si>
    <t xml:space="preserve">EV-914269</t>
  </si>
  <si>
    <t xml:space="preserve">EV-915430</t>
  </si>
  <si>
    <t xml:space="preserve">EV-918088</t>
  </si>
  <si>
    <t xml:space="preserve">EV-914872</t>
  </si>
  <si>
    <t xml:space="preserve">EV-918209</t>
  </si>
  <si>
    <t xml:space="preserve">EV-918695</t>
  </si>
  <si>
    <t xml:space="preserve">CG-1038</t>
  </si>
  <si>
    <t xml:space="preserve">CL-2036</t>
  </si>
  <si>
    <t xml:space="preserve">EV-915104</t>
  </si>
  <si>
    <t xml:space="preserve">EV-917550</t>
  </si>
  <si>
    <t xml:space="preserve">EV-915281</t>
  </si>
  <si>
    <t xml:space="preserve">EV-915203</t>
  </si>
  <si>
    <t xml:space="preserve">EV-914369</t>
  </si>
  <si>
    <t xml:space="preserve">EV-915591</t>
  </si>
  <si>
    <t xml:space="preserve">EV-917961</t>
  </si>
  <si>
    <t xml:space="preserve">EV-916316</t>
  </si>
  <si>
    <t xml:space="preserve">EV-917620</t>
  </si>
  <si>
    <t xml:space="preserve">EV-916400</t>
  </si>
  <si>
    <t xml:space="preserve">EV-917346</t>
  </si>
  <si>
    <t xml:space="preserve">EV-917186</t>
  </si>
  <si>
    <t xml:space="preserve">EV-915793</t>
  </si>
  <si>
    <t xml:space="preserve">EV-916958</t>
  </si>
  <si>
    <t xml:space="preserve">EV-918902</t>
  </si>
  <si>
    <t xml:space="preserve">EV-915345</t>
  </si>
  <si>
    <t xml:space="preserve">EV-916026</t>
  </si>
  <si>
    <t xml:space="preserve">EV-918534</t>
  </si>
  <si>
    <t xml:space="preserve">EV-915879</t>
  </si>
  <si>
    <t xml:space="preserve">CG-1019</t>
  </si>
  <si>
    <t xml:space="preserve">EV-918634</t>
  </si>
  <si>
    <t xml:space="preserve">EV-918451</t>
  </si>
  <si>
    <t xml:space="preserve">EV-914523</t>
  </si>
  <si>
    <t xml:space="preserve">EV-916010</t>
  </si>
  <si>
    <t xml:space="preserve">EV-915443</t>
  </si>
  <si>
    <t xml:space="preserve">EV-917218</t>
  </si>
  <si>
    <t xml:space="preserve">EV-918168</t>
  </si>
  <si>
    <t xml:space="preserve">EV-918561</t>
  </si>
  <si>
    <t xml:space="preserve">EV-914684</t>
  </si>
  <si>
    <t xml:space="preserve">EV-915713</t>
  </si>
  <si>
    <t xml:space="preserve">EV-917899</t>
  </si>
  <si>
    <t xml:space="preserve">EV-919106</t>
  </si>
  <si>
    <t xml:space="preserve">EV-917998</t>
  </si>
  <si>
    <t xml:space="preserve">EV-916332</t>
  </si>
  <si>
    <t xml:space="preserve">EV-916745</t>
  </si>
  <si>
    <t xml:space="preserve">EV-919207</t>
  </si>
  <si>
    <t xml:space="preserve">EV-916885</t>
  </si>
  <si>
    <t xml:space="preserve">EV-917476</t>
  </si>
  <si>
    <t xml:space="preserve">EV-919030</t>
  </si>
  <si>
    <t xml:space="preserve">EV-919221</t>
  </si>
  <si>
    <t xml:space="preserve">Pending review</t>
  </si>
  <si>
    <t xml:space="preserve">EV-919233</t>
  </si>
  <si>
    <t xml:space="preserve">EV-919267</t>
  </si>
  <si>
    <t xml:space="preserve">EV-918028</t>
  </si>
  <si>
    <t xml:space="preserve">EV-915295</t>
  </si>
  <si>
    <t xml:space="preserve">EV-917418</t>
  </si>
  <si>
    <t xml:space="preserve">EV-916257</t>
  </si>
  <si>
    <t xml:space="preserve">EV-915862</t>
  </si>
  <si>
    <t xml:space="preserve">EV-917768</t>
  </si>
  <si>
    <t xml:space="preserve">EV-916628</t>
  </si>
  <si>
    <t xml:space="preserve">EV-914785</t>
  </si>
  <si>
    <t xml:space="preserve">EV-917734</t>
  </si>
  <si>
    <t xml:space="preserve">EV-917137</t>
  </si>
  <si>
    <t xml:space="preserve">EV-916978</t>
  </si>
  <si>
    <t xml:space="preserve">EV-916537</t>
  </si>
  <si>
    <t xml:space="preserve">EV-918931</t>
  </si>
  <si>
    <t xml:space="preserve">EV-915891</t>
  </si>
  <si>
    <t xml:space="preserve">EV-918120</t>
  </si>
  <si>
    <t xml:space="preserve">EV-915023</t>
  </si>
  <si>
    <t xml:space="preserve">EV-915039</t>
  </si>
  <si>
    <t xml:space="preserve">EV-918810</t>
  </si>
  <si>
    <t xml:space="preserve">EV-915218</t>
  </si>
  <si>
    <t xml:space="preserve">EV-917631</t>
  </si>
  <si>
    <t xml:space="preserve">EV-916130</t>
  </si>
  <si>
    <t xml:space="preserve">EV-918859</t>
  </si>
  <si>
    <t xml:space="preserve">EV-916424</t>
  </si>
  <si>
    <t xml:space="preserve">EV-915629</t>
  </si>
  <si>
    <t xml:space="preserve">EV-914908</t>
  </si>
  <si>
    <t xml:space="preserve">EV-918340</t>
  </si>
  <si>
    <t xml:space="preserve">EV-917804</t>
  </si>
  <si>
    <t xml:space="preserve">EV-915655</t>
  </si>
  <si>
    <t xml:space="preserve">CG-1015</t>
  </si>
  <si>
    <t xml:space="preserve">EV-917257</t>
  </si>
  <si>
    <t xml:space="preserve">EV-919115</t>
  </si>
  <si>
    <t xml:space="preserve">EV-917021</t>
  </si>
  <si>
    <t xml:space="preserve">EV-917824</t>
  </si>
  <si>
    <t xml:space="preserve">EV-917067</t>
  </si>
  <si>
    <t xml:space="preserve">Rates by service type</t>
  </si>
  <si>
    <t xml:space="preserve">Pay rates for independent caregivers. Change a rate here and every pay line updates.</t>
  </si>
  <si>
    <t xml:space="preserve">Code</t>
  </si>
  <si>
    <t xml:space="preserve">Unit</t>
  </si>
  <si>
    <t xml:space="preserve">Rate per unit</t>
  </si>
  <si>
    <t xml:space="preserve">GL account</t>
  </si>
  <si>
    <t xml:space="preserve">GL account name</t>
  </si>
  <si>
    <t xml:space="preserve">Personal Care</t>
  </si>
  <si>
    <t xml:space="preserve">15 minutes</t>
  </si>
  <si>
    <t xml:space="preserve">5110</t>
  </si>
  <si>
    <t xml:space="preserve">Contract Care: Personal Care</t>
  </si>
  <si>
    <t xml:space="preserve">Bathing, dressing, mobility, and toileting help.</t>
  </si>
  <si>
    <t xml:space="preserve">Homemaker</t>
  </si>
  <si>
    <t xml:space="preserve">5120</t>
  </si>
  <si>
    <t xml:space="preserve">Contract Care: Homemaker</t>
  </si>
  <si>
    <t xml:space="preserve">Light housekeeping, meals, and errands.</t>
  </si>
  <si>
    <t xml:space="preserve">Companion</t>
  </si>
  <si>
    <t xml:space="preserve">5130</t>
  </si>
  <si>
    <t xml:space="preserve">Contract Care: Companion</t>
  </si>
  <si>
    <t xml:space="preserve">Supervision and social support.</t>
  </si>
  <si>
    <t xml:space="preserve">In-Home Respite</t>
  </si>
  <si>
    <t xml:space="preserve">5140</t>
  </si>
  <si>
    <t xml:space="preserve">Contract Care: Respite</t>
  </si>
  <si>
    <t xml:space="preserve">Relief for family caregivers.</t>
  </si>
  <si>
    <t xml:space="preserve">Nurse Visit (LPN)</t>
  </si>
  <si>
    <t xml:space="preserve">Visit</t>
  </si>
  <si>
    <t xml:space="preserve">5150</t>
  </si>
  <si>
    <t xml:space="preserve">Contract Care: Nurse Visits</t>
  </si>
  <si>
    <t xml:space="preserve">Paid per completed visit, not per unit.</t>
  </si>
  <si>
    <t xml:space="preserve">Rates are per 15-minute unit except nurse visits. Rates shown are fictional and only illustrate the layout.</t>
  </si>
  <si>
    <t xml:space="preserve">Caregiver and client roster</t>
  </si>
  <si>
    <t xml:space="preserve">Bank details are masked in this sample. A blank routing or account number keeps a caregiver out of the bank file.</t>
  </si>
  <si>
    <t xml:space="preserve">Caregiver name</t>
  </si>
  <si>
    <t xml:space="preserve">Payee type</t>
  </si>
  <si>
    <t xml:space="preserve">Business name (if paid as a business)</t>
  </si>
  <si>
    <t xml:space="preserve">Account kind</t>
  </si>
  <si>
    <t xml:space="preserve">Start date</t>
  </si>
  <si>
    <t xml:space="preserve">Client name</t>
  </si>
  <si>
    <t xml:space="preserve">Payer</t>
  </si>
  <si>
    <t xml:space="preserve">Individual</t>
  </si>
  <si>
    <t xml:space="preserve">Personal</t>
  </si>
  <si>
    <t xml:space="preserve">Checking</t>
  </si>
  <si>
    <t xml:space="preserve">XXXXX5242</t>
  </si>
  <si>
    <t xml:space="preserve">XXXX1011</t>
  </si>
  <si>
    <t xml:space="preserve">V3200</t>
  </si>
  <si>
    <t xml:space="preserve">CL-2001</t>
  </si>
  <si>
    <t xml:space="preserve">Corbett, Y.</t>
  </si>
  <si>
    <t xml:space="preserve">Long-Term Care Insurance</t>
  </si>
  <si>
    <t xml:space="preserve">XXXXX8997</t>
  </si>
  <si>
    <t xml:space="preserve">XXXX3000</t>
  </si>
  <si>
    <t xml:space="preserve">V3201</t>
  </si>
  <si>
    <t xml:space="preserve">CL-2002</t>
  </si>
  <si>
    <t xml:space="preserve">Lowery, P.</t>
  </si>
  <si>
    <t xml:space="preserve">VA Community Care</t>
  </si>
  <si>
    <t xml:space="preserve">XXXXX1309</t>
  </si>
  <si>
    <t xml:space="preserve">XXXX4236</t>
  </si>
  <si>
    <t xml:space="preserve">V3202</t>
  </si>
  <si>
    <t xml:space="preserve">CL-2003</t>
  </si>
  <si>
    <t xml:space="preserve">Okafor, L.</t>
  </si>
  <si>
    <t xml:space="preserve">Medicaid Waiver</t>
  </si>
  <si>
    <t xml:space="preserve">Business</t>
  </si>
  <si>
    <t xml:space="preserve">Holloway Care Services LLC</t>
  </si>
  <si>
    <t xml:space="preserve">XXXXX2041</t>
  </si>
  <si>
    <t xml:space="preserve">XXXX7231</t>
  </si>
  <si>
    <t xml:space="preserve">V3203</t>
  </si>
  <si>
    <t xml:space="preserve">CL-2004</t>
  </si>
  <si>
    <t xml:space="preserve">Hammond, H.</t>
  </si>
  <si>
    <t xml:space="preserve">XXXXX6316</t>
  </si>
  <si>
    <t xml:space="preserve">XXXX3183</t>
  </si>
  <si>
    <t xml:space="preserve">V3204</t>
  </si>
  <si>
    <t xml:space="preserve">Area Agency on Aging</t>
  </si>
  <si>
    <t xml:space="preserve">CG-1006</t>
  </si>
  <si>
    <t xml:space="preserve">Felicia Caldwell</t>
  </si>
  <si>
    <t xml:space="preserve">XXXXX9375</t>
  </si>
  <si>
    <t xml:space="preserve">XXXX9384</t>
  </si>
  <si>
    <t xml:space="preserve">V3205</t>
  </si>
  <si>
    <t xml:space="preserve">Private Pay</t>
  </si>
  <si>
    <t xml:space="preserve">XXXXX3411</t>
  </si>
  <si>
    <t xml:space="preserve">XXXX5873</t>
  </si>
  <si>
    <t xml:space="preserve">V3206</t>
  </si>
  <si>
    <t xml:space="preserve">XXXXX9753</t>
  </si>
  <si>
    <t xml:space="preserve">XXXX6131</t>
  </si>
  <si>
    <t xml:space="preserve">V3207</t>
  </si>
  <si>
    <t xml:space="preserve">Savings</t>
  </si>
  <si>
    <t xml:space="preserve">XXXXX2355</t>
  </si>
  <si>
    <t xml:space="preserve">XXXX4747</t>
  </si>
  <si>
    <t xml:space="preserve">V3208</t>
  </si>
  <si>
    <t xml:space="preserve">CG-1010</t>
  </si>
  <si>
    <t xml:space="preserve">Camille Trevino</t>
  </si>
  <si>
    <t xml:space="preserve">XXXXX8817</t>
  </si>
  <si>
    <t xml:space="preserve">XXXX4364</t>
  </si>
  <si>
    <t xml:space="preserve">V3209</t>
  </si>
  <si>
    <t xml:space="preserve">CL-2010</t>
  </si>
  <si>
    <t xml:space="preserve">Rainey, R.</t>
  </si>
  <si>
    <t xml:space="preserve">XXXXX7011</t>
  </si>
  <si>
    <t xml:space="preserve">XXXX6922</t>
  </si>
  <si>
    <t xml:space="preserve">V3210</t>
  </si>
  <si>
    <t xml:space="preserve">Easley Caregiving LLC</t>
  </si>
  <si>
    <t xml:space="preserve">XXXXX4218</t>
  </si>
  <si>
    <t xml:space="preserve">XXXX3178</t>
  </si>
  <si>
    <t xml:space="preserve">V3211</t>
  </si>
  <si>
    <t xml:space="preserve">XXXXX7760</t>
  </si>
  <si>
    <t xml:space="preserve">XXXX6898</t>
  </si>
  <si>
    <t xml:space="preserve">V3212</t>
  </si>
  <si>
    <t xml:space="preserve">Haddad Care Services LLC</t>
  </si>
  <si>
    <t xml:space="preserve">XXXXX8598</t>
  </si>
  <si>
    <t xml:space="preserve">XXXX2287</t>
  </si>
  <si>
    <t xml:space="preserve">V3213</t>
  </si>
  <si>
    <t xml:space="preserve">XXXXX9199</t>
  </si>
  <si>
    <t xml:space="preserve">XXXX7183</t>
  </si>
  <si>
    <t xml:space="preserve">V3214</t>
  </si>
  <si>
    <t xml:space="preserve">CL-2015</t>
  </si>
  <si>
    <t xml:space="preserve">Rosales, V.</t>
  </si>
  <si>
    <t xml:space="preserve">XXXXX3522</t>
  </si>
  <si>
    <t xml:space="preserve">XXXX2089</t>
  </si>
  <si>
    <t xml:space="preserve">V3215</t>
  </si>
  <si>
    <t xml:space="preserve">XXXXX6527</t>
  </si>
  <si>
    <t xml:space="preserve">XXXX5502</t>
  </si>
  <si>
    <t xml:space="preserve">V3216</t>
  </si>
  <si>
    <t xml:space="preserve">CL-2017</t>
  </si>
  <si>
    <t xml:space="preserve">Zamora, Z.</t>
  </si>
  <si>
    <t xml:space="preserve">XXXXX1335</t>
  </si>
  <si>
    <t xml:space="preserve">XXXX1299</t>
  </si>
  <si>
    <t xml:space="preserve">V3217</t>
  </si>
  <si>
    <t xml:space="preserve">XXXXX5509</t>
  </si>
  <si>
    <t xml:space="preserve">XXXX7860</t>
  </si>
  <si>
    <t xml:space="preserve">V3218</t>
  </si>
  <si>
    <t xml:space="preserve">CL-2019</t>
  </si>
  <si>
    <t xml:space="preserve">Brannon, S.</t>
  </si>
  <si>
    <t xml:space="preserve">XXXXX5867</t>
  </si>
  <si>
    <t xml:space="preserve">XXXX9741</t>
  </si>
  <si>
    <t xml:space="preserve">V3219</t>
  </si>
  <si>
    <t xml:space="preserve">XXXXX4431</t>
  </si>
  <si>
    <t xml:space="preserve">XXXX1632</t>
  </si>
  <si>
    <t xml:space="preserve">V3220</t>
  </si>
  <si>
    <t xml:space="preserve">CL-2021</t>
  </si>
  <si>
    <t xml:space="preserve">Kimbrough, R.</t>
  </si>
  <si>
    <t xml:space="preserve">Ledbetter Care Partners LLC</t>
  </si>
  <si>
    <t xml:space="preserve">XXXXX6541</t>
  </si>
  <si>
    <t xml:space="preserve">XXXX4873</t>
  </si>
  <si>
    <t xml:space="preserve">V3221</t>
  </si>
  <si>
    <t xml:space="preserve">XXXXX2946</t>
  </si>
  <si>
    <t xml:space="preserve">XXXX2610</t>
  </si>
  <si>
    <t xml:space="preserve">V3222</t>
  </si>
  <si>
    <t xml:space="preserve">CL-2023</t>
  </si>
  <si>
    <t xml:space="preserve">Rhodes, I.</t>
  </si>
  <si>
    <t xml:space="preserve">XXXXX1027</t>
  </si>
  <si>
    <t xml:space="preserve">XXXX1250</t>
  </si>
  <si>
    <t xml:space="preserve">V3223</t>
  </si>
  <si>
    <t xml:space="preserve">CL-2024</t>
  </si>
  <si>
    <t xml:space="preserve">Acosta, P.</t>
  </si>
  <si>
    <t xml:space="preserve">Fulton Care Services LLC</t>
  </si>
  <si>
    <t xml:space="preserve">XXXXX7305</t>
  </si>
  <si>
    <t xml:space="preserve">XXXX3241</t>
  </si>
  <si>
    <t xml:space="preserve">V3224</t>
  </si>
  <si>
    <t xml:space="preserve">XXXXX2688</t>
  </si>
  <si>
    <t xml:space="preserve">XXXX6504</t>
  </si>
  <si>
    <t xml:space="preserve">V3225</t>
  </si>
  <si>
    <t xml:space="preserve">XXXXX9546</t>
  </si>
  <si>
    <t xml:space="preserve">XXXX7708</t>
  </si>
  <si>
    <t xml:space="preserve">V3226</t>
  </si>
  <si>
    <t xml:space="preserve">XXXXX9956</t>
  </si>
  <si>
    <t xml:space="preserve">XXXX2605</t>
  </si>
  <si>
    <t xml:space="preserve">V3227</t>
  </si>
  <si>
    <t xml:space="preserve">CL-2028</t>
  </si>
  <si>
    <t xml:space="preserve">Fontaine, T.</t>
  </si>
  <si>
    <t xml:space="preserve">Parrish Care Partners LLC</t>
  </si>
  <si>
    <t xml:space="preserve">XXXXX1669</t>
  </si>
  <si>
    <t xml:space="preserve">XXXX4571</t>
  </si>
  <si>
    <t xml:space="preserve">V3228</t>
  </si>
  <si>
    <t xml:space="preserve">CL-2029</t>
  </si>
  <si>
    <t xml:space="preserve">Dorsey, F.</t>
  </si>
  <si>
    <t xml:space="preserve">XXXXX1590</t>
  </si>
  <si>
    <t xml:space="preserve">XXXX3012</t>
  </si>
  <si>
    <t xml:space="preserve">V3229</t>
  </si>
  <si>
    <t xml:space="preserve">Mendoza Home Support LLC</t>
  </si>
  <si>
    <t xml:space="preserve">XXXXX4533</t>
  </si>
  <si>
    <t xml:space="preserve">XXXX8895</t>
  </si>
  <si>
    <t xml:space="preserve">V3230</t>
  </si>
  <si>
    <t xml:space="preserve">XXXXX2013</t>
  </si>
  <si>
    <t xml:space="preserve">XXXX7405</t>
  </si>
  <si>
    <t xml:space="preserve">V3231</t>
  </si>
  <si>
    <t xml:space="preserve">XXXXX4951</t>
  </si>
  <si>
    <t xml:space="preserve">XXXX9869</t>
  </si>
  <si>
    <t xml:space="preserve">V3232</t>
  </si>
  <si>
    <t xml:space="preserve">XXXXX9799</t>
  </si>
  <si>
    <t xml:space="preserve">XXXX8210</t>
  </si>
  <si>
    <t xml:space="preserve">V3233</t>
  </si>
  <si>
    <t xml:space="preserve">XXXXX2069</t>
  </si>
  <si>
    <t xml:space="preserve">XXXX5401</t>
  </si>
  <si>
    <t xml:space="preserve">V3234</t>
  </si>
  <si>
    <t xml:space="preserve">XXXXX5989</t>
  </si>
  <si>
    <t xml:space="preserve">XXXX6735</t>
  </si>
  <si>
    <t xml:space="preserve">V3235</t>
  </si>
  <si>
    <t xml:space="preserve">XXXXX2089</t>
  </si>
  <si>
    <t xml:space="preserve">XXXX1033</t>
  </si>
  <si>
    <t xml:space="preserve">V3236</t>
  </si>
  <si>
    <t xml:space="preserve">CL-2037</t>
  </si>
  <si>
    <t xml:space="preserve">Stallworth, L.</t>
  </si>
  <si>
    <t xml:space="preserve">XXXXX8938</t>
  </si>
  <si>
    <t xml:space="preserve">XXXX5664</t>
  </si>
  <si>
    <t xml:space="preserve">V3237</t>
  </si>
  <si>
    <t xml:space="preserve">CG-1039</t>
  </si>
  <si>
    <t xml:space="preserve">Darnell Thibodeaux</t>
  </si>
  <si>
    <t xml:space="preserve">XXXXX3292</t>
  </si>
  <si>
    <t xml:space="preserve">XXXX8428</t>
  </si>
  <si>
    <t xml:space="preserve">V3238</t>
  </si>
  <si>
    <t xml:space="preserve">CL-2039</t>
  </si>
  <si>
    <t xml:space="preserve">Marquez, N.</t>
  </si>
  <si>
    <t xml:space="preserve">Waddell Home Support LLC</t>
  </si>
  <si>
    <t xml:space="preserve">XXXXX5407</t>
  </si>
  <si>
    <t xml:space="preserve">XXXX8110</t>
  </si>
  <si>
    <t xml:space="preserve">V3239</t>
  </si>
  <si>
    <t xml:space="preserve">XXXXX1548</t>
  </si>
  <si>
    <t xml:space="preserve">XXXX2329</t>
  </si>
  <si>
    <t xml:space="preserve">V3240</t>
  </si>
  <si>
    <t xml:space="preserve">CL-2041</t>
  </si>
  <si>
    <t xml:space="preserve">Jeffries, J.</t>
  </si>
  <si>
    <t xml:space="preserve">XXXXX4276</t>
  </si>
  <si>
    <t xml:space="preserve">XXXX4619</t>
  </si>
  <si>
    <t xml:space="preserve">V3241</t>
  </si>
  <si>
    <t xml:space="preserve">Fontaine Care Partners LLC</t>
  </si>
  <si>
    <t xml:space="preserve">XXXXX1532</t>
  </si>
  <si>
    <t xml:space="preserve">XXXX3690</t>
  </si>
  <si>
    <t xml:space="preserve">V3242</t>
  </si>
  <si>
    <t xml:space="preserve">XXXX6053</t>
  </si>
  <si>
    <t xml:space="preserve">V3243</t>
  </si>
  <si>
    <t xml:space="preserve">V3244</t>
  </si>
  <si>
    <t xml:space="preserve">CL-2045</t>
  </si>
  <si>
    <t xml:space="preserve">Adeyemi, T.</t>
  </si>
  <si>
    <t xml:space="preserve">CL-2046</t>
  </si>
  <si>
    <t xml:space="preserve">Dorsey, H.</t>
  </si>
  <si>
    <t xml:space="preserve">CL-2047</t>
  </si>
  <si>
    <t xml:space="preserve">Grayson, J.</t>
  </si>
  <si>
    <t xml:space="preserve">CL-2050</t>
  </si>
  <si>
    <t xml:space="preserve">Spivey, E.</t>
  </si>
  <si>
    <t xml:space="preserve">CL-2052</t>
  </si>
  <si>
    <t xml:space="preserve">Simmons, J.</t>
  </si>
  <si>
    <t xml:space="preserve">CL-2056</t>
  </si>
  <si>
    <t xml:space="preserve">Guerrero, N.</t>
  </si>
  <si>
    <t xml:space="preserve">CL-2057</t>
  </si>
  <si>
    <t xml:space="preserve">Odom, Q.</t>
  </si>
  <si>
    <t xml:space="preserve">CL-2060</t>
  </si>
  <si>
    <t xml:space="preserve">Thibodeaux, N.</t>
  </si>
  <si>
    <t xml:space="preserve">CL-2062</t>
  </si>
  <si>
    <t xml:space="preserve">Crenshaw, O.</t>
  </si>
  <si>
    <t xml:space="preserve">CL-2064</t>
  </si>
  <si>
    <t xml:space="preserve">Landry, B.</t>
  </si>
  <si>
    <t xml:space="preserve">Settings</t>
  </si>
  <si>
    <t xml:space="preserve">Values that change from week to week. Formulas throughout the workbook read from these cells.</t>
  </si>
  <si>
    <t xml:space="preserve">Drop-down lists</t>
  </si>
  <si>
    <t xml:space="preserve">Setting</t>
  </si>
  <si>
    <t xml:space="preserve">Value</t>
  </si>
  <si>
    <t xml:space="preserve">What it controls</t>
  </si>
  <si>
    <t xml:space="preserve">Client payer</t>
  </si>
  <si>
    <t xml:space="preserve">Agency name</t>
  </si>
  <si>
    <t xml:space="preserve">Larch Hollow Home Care</t>
  </si>
  <si>
    <t xml:space="preserve">The name prints on report headers.</t>
  </si>
  <si>
    <t xml:space="preserve">Pay week start (Monday)</t>
  </si>
  <si>
    <t xml:space="preserve">Enter the Monday that starts the pay week.</t>
  </si>
  <si>
    <t xml:space="preserve">Pay week end (Sunday)</t>
  </si>
  <si>
    <t xml:space="preserve">This date calculates itself from the week start.</t>
  </si>
  <si>
    <t xml:space="preserve">Bank effective date</t>
  </si>
  <si>
    <t xml:space="preserve">Caregivers receive this week's pay on this date.</t>
  </si>
  <si>
    <t xml:space="preserve">Mileage reimbursement per mile</t>
  </si>
  <si>
    <t xml:space="preserve">The agency pays this rate for travel between clients.</t>
  </si>
  <si>
    <t xml:space="preserve">Mileage expense account</t>
  </si>
  <si>
    <t xml:space="preserve">5190</t>
  </si>
  <si>
    <t xml:space="preserve">Mileage posts to this general ledger account.</t>
  </si>
  <si>
    <t xml:space="preserve">Mileage account name</t>
  </si>
  <si>
    <t xml:space="preserve">Caregiver Mileage Reimbursement</t>
  </si>
  <si>
    <t xml:space="preserve">This name appears on the accounting import.</t>
  </si>
  <si>
    <t xml:space="preserve">Accounts payable account</t>
  </si>
  <si>
    <t xml:space="preserve">2050</t>
  </si>
  <si>
    <t xml:space="preserve">Every caregiver line credits this account.</t>
  </si>
  <si>
    <t xml:space="preserve">Accounts payable account name</t>
  </si>
  <si>
    <t xml:space="preserve">Accounts Payable: Contract Caregivers</t>
  </si>
  <si>
    <t xml:space="preserve">Journal number prefix</t>
  </si>
  <si>
    <t xml:space="preserve">LHHC</t>
  </si>
  <si>
    <t xml:space="preserve">Journal numbers combine the prefix and the week end date.</t>
  </si>
  <si>
    <t xml:space="preserve">Company name on bank file</t>
  </si>
  <si>
    <t xml:space="preserve">LARCH HOLLOW HC</t>
  </si>
  <si>
    <t xml:space="preserve">Keep it to sixteen characters, because the bank file field is that long.</t>
  </si>
  <si>
    <t xml:space="preserve">Bank entry description</t>
  </si>
  <si>
    <t xml:space="preserve">CG PAY</t>
  </si>
  <si>
    <t xml:space="preserve">Keep it to ten characters or fewer, because it shows on caregiver bank statements.</t>
  </si>
</sst>
</file>

<file path=xl/styles.xml><?xml version="1.0" encoding="utf-8"?>
<styleSheet xmlns="http://schemas.openxmlformats.org/spreadsheetml/2006/main">
  <numFmts count="14">
    <numFmt numFmtId="164" formatCode="General"/>
    <numFmt numFmtId="165" formatCode="\$#,##0.00;&quot;-$&quot;#,##0.00;&quot;0.00&quot;"/>
    <numFmt numFmtId="166" formatCode="#,##0;\-#,##0;\0"/>
    <numFmt numFmtId="167" formatCode="#,##0"/>
    <numFmt numFmtId="168" formatCode="\$#,##0.00"/>
    <numFmt numFmtId="169" formatCode="0"/>
    <numFmt numFmtId="170" formatCode="\$#,##0.00;&quot;-$&quot;#,##0.00;\-"/>
    <numFmt numFmtId="171" formatCode="#,##0;\-#,##0;\-"/>
    <numFmt numFmtId="172" formatCode="dddd&quot;, &quot;mmm\ d&quot;, &quot;yyyy"/>
    <numFmt numFmtId="173" formatCode="m/d/yyyy"/>
    <numFmt numFmtId="174" formatCode="#,##0.00;\-#,##0.00;&quot;&quot;"/>
    <numFmt numFmtId="175" formatCode="m/d/yyyy\ h:mm\ AM/PM"/>
    <numFmt numFmtId="176" formatCode="@"/>
    <numFmt numFmtId="177" formatCode="\$0.00"/>
  </numFmts>
  <fonts count="24">
    <font>
      <sz val="11"/>
      <color theme="1"/>
      <name val="Calibri"/>
      <family val="2"/>
      <charset val="1"/>
    </font>
    <font>
      <sz val="10"/>
      <name val="Arial"/>
      <family val="0"/>
    </font>
    <font>
      <sz val="10"/>
      <name val="Arial"/>
      <family val="0"/>
    </font>
    <font>
      <sz val="10"/>
      <name val="Arial"/>
      <family val="0"/>
    </font>
    <font>
      <b val="true"/>
      <sz val="18"/>
      <color rgb="FF173A47"/>
      <name val="Arial"/>
      <family val="0"/>
      <charset val="1"/>
    </font>
    <font>
      <sz val="10"/>
      <color rgb="FF6B7280"/>
      <name val="Arial"/>
      <family val="0"/>
      <charset val="1"/>
    </font>
    <font>
      <b val="true"/>
      <sz val="12"/>
      <color rgb="FF173A47"/>
      <name val="Arial"/>
      <family val="0"/>
      <charset val="1"/>
    </font>
    <font>
      <sz val="10"/>
      <color rgb="FF1F2933"/>
      <name val="Arial"/>
      <family val="0"/>
      <charset val="1"/>
    </font>
    <font>
      <b val="true"/>
      <sz val="11"/>
      <color rgb="FFB7791F"/>
      <name val="Arial"/>
      <family val="0"/>
      <charset val="1"/>
    </font>
    <font>
      <b val="true"/>
      <sz val="10"/>
      <color rgb="FF1F2933"/>
      <name val="Arial"/>
      <family val="0"/>
      <charset val="1"/>
    </font>
    <font>
      <b val="true"/>
      <sz val="10"/>
      <color rgb="FF1A3E8C"/>
      <name val="Arial"/>
      <family val="0"/>
      <charset val="1"/>
    </font>
    <font>
      <b val="true"/>
      <sz val="10"/>
      <color rgb="FF1D6B3A"/>
      <name val="Arial"/>
      <family val="0"/>
      <charset val="1"/>
    </font>
    <font>
      <b val="true"/>
      <sz val="10"/>
      <color rgb="FFA3241A"/>
      <name val="Arial"/>
      <family val="0"/>
      <charset val="1"/>
    </font>
    <font>
      <b val="true"/>
      <sz val="10"/>
      <color rgb="FF8A4A06"/>
      <name val="Arial"/>
      <family val="0"/>
      <charset val="1"/>
    </font>
    <font>
      <b val="true"/>
      <sz val="10"/>
      <color rgb="FF1F4E5F"/>
      <name val="Arial"/>
      <family val="0"/>
      <charset val="1"/>
    </font>
    <font>
      <i val="true"/>
      <sz val="10"/>
      <color rgb="FF6B7280"/>
      <name val="Arial"/>
      <family val="0"/>
      <charset val="1"/>
    </font>
    <font>
      <b val="true"/>
      <sz val="13"/>
      <name val="Arial"/>
      <family val="0"/>
      <charset val="1"/>
    </font>
    <font>
      <b val="true"/>
      <sz val="10"/>
      <color rgb="FFFFFFFF"/>
      <name val="Arial"/>
      <family val="0"/>
      <charset val="1"/>
    </font>
    <font>
      <b val="true"/>
      <sz val="9"/>
      <color rgb="FF1F4E5F"/>
      <name val="Arial"/>
      <family val="0"/>
      <charset val="1"/>
    </font>
    <font>
      <b val="true"/>
      <sz val="9"/>
      <color rgb="FF4A5560"/>
      <name val="Arial"/>
      <family val="0"/>
      <charset val="1"/>
    </font>
    <font>
      <sz val="10"/>
      <color rgb="FF1A3E8C"/>
      <name val="Arial"/>
      <family val="0"/>
      <charset val="1"/>
    </font>
    <font>
      <sz val="9"/>
      <color rgb="FF6B7280"/>
      <name val="Arial"/>
      <family val="0"/>
      <charset val="1"/>
    </font>
    <font>
      <b val="true"/>
      <sz val="16"/>
      <color rgb="FF173A47"/>
      <name val="Arial"/>
      <family val="0"/>
      <charset val="1"/>
    </font>
    <font>
      <b val="true"/>
      <sz val="13"/>
      <color rgb="FF173A47"/>
      <name val="Arial"/>
      <family val="0"/>
      <charset val="1"/>
    </font>
  </fonts>
  <fills count="13">
    <fill>
      <patternFill patternType="none"/>
    </fill>
    <fill>
      <patternFill patternType="gray125"/>
    </fill>
    <fill>
      <patternFill patternType="solid">
        <fgColor rgb="FFFFF4CC"/>
        <bgColor rgb="FFFDE6CC"/>
      </patternFill>
    </fill>
    <fill>
      <patternFill patternType="solid">
        <fgColor rgb="FFFFFFFF"/>
        <bgColor rgb="FFF4F6F8"/>
      </patternFill>
    </fill>
    <fill>
      <patternFill patternType="solid">
        <fgColor rgb="FFDDF2E3"/>
        <bgColor rgb="FFE6EFF1"/>
      </patternFill>
    </fill>
    <fill>
      <patternFill patternType="solid">
        <fgColor rgb="FFFBE1DE"/>
        <bgColor rgb="FFFDE6CC"/>
      </patternFill>
    </fill>
    <fill>
      <patternFill patternType="solid">
        <fgColor rgb="FFFDE6CC"/>
        <bgColor rgb="FFFBE1DE"/>
      </patternFill>
    </fill>
    <fill>
      <patternFill patternType="solid">
        <fgColor rgb="FF173A47"/>
        <bgColor rgb="FF1F2933"/>
      </patternFill>
    </fill>
    <fill>
      <patternFill patternType="solid">
        <fgColor rgb="FF4A5560"/>
        <bgColor rgb="FF1F4E5F"/>
      </patternFill>
    </fill>
    <fill>
      <patternFill patternType="solid">
        <fgColor rgb="FF1F4E5F"/>
        <bgColor rgb="FF173A47"/>
      </patternFill>
    </fill>
    <fill>
      <patternFill patternType="solid">
        <fgColor rgb="FFE6EFF1"/>
        <bgColor rgb="FFE9ECEF"/>
      </patternFill>
    </fill>
    <fill>
      <patternFill patternType="solid">
        <fgColor rgb="FFE9ECEF"/>
        <bgColor rgb="FFE6E9EE"/>
      </patternFill>
    </fill>
    <fill>
      <patternFill patternType="solid">
        <fgColor rgb="FFF4F6F8"/>
        <bgColor rgb="FFFFFFFF"/>
      </patternFill>
    </fill>
  </fills>
  <borders count="8">
    <border diagonalUp="false" diagonalDown="false">
      <left/>
      <right/>
      <top/>
      <bottom/>
      <diagonal/>
    </border>
    <border diagonalUp="false" diagonalDown="false">
      <left style="thin">
        <color rgb="FFD9DDE3"/>
      </left>
      <right style="thin">
        <color rgb="FFD9DDE3"/>
      </right>
      <top style="thin">
        <color rgb="FFD9DDE3"/>
      </top>
      <bottom style="thin">
        <color rgb="FFD9DDE3"/>
      </bottom>
      <diagonal/>
    </border>
    <border diagonalUp="false" diagonalDown="false">
      <left/>
      <right/>
      <top/>
      <bottom style="thin">
        <color rgb="FFE6E9EE"/>
      </bottom>
      <diagonal/>
    </border>
    <border diagonalUp="false" diagonalDown="false">
      <left/>
      <right/>
      <top/>
      <bottom style="thin">
        <color rgb="FF173A47"/>
      </bottom>
      <diagonal/>
    </border>
    <border diagonalUp="false" diagonalDown="false">
      <left/>
      <right/>
      <top/>
      <bottom style="thin">
        <color rgb="FF1F4E5F"/>
      </bottom>
      <diagonal/>
    </border>
    <border diagonalUp="false" diagonalDown="false">
      <left/>
      <right/>
      <top/>
      <bottom style="thin">
        <color rgb="FF4A5560"/>
      </bottom>
      <diagonal/>
    </border>
    <border diagonalUp="false" diagonalDown="false">
      <left/>
      <right style="thin">
        <color rgb="FFFFFFFF"/>
      </right>
      <top/>
      <bottom style="thin">
        <color rgb="FFE8D9A0"/>
      </bottom>
      <diagonal/>
    </border>
    <border diagonalUp="false" diagonalDown="false">
      <left/>
      <right/>
      <top style="thin">
        <color rgb="FF1F4E5F"/>
      </top>
      <bottom style="thin">
        <color rgb="FF1F4E5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center"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0" fillId="2" borderId="1"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1" shrinkToFit="false"/>
      <protection locked="true" hidden="false"/>
    </xf>
    <xf numFmtId="164" fontId="9" fillId="3" borderId="1" xfId="0" applyFont="true" applyBorder="true" applyAlignment="true" applyProtection="false">
      <alignment horizontal="center" vertical="center" textRotation="0" wrapText="false" indent="0" shrinkToFit="false"/>
      <protection locked="true" hidden="false"/>
    </xf>
    <xf numFmtId="164" fontId="11" fillId="4" borderId="1" xfId="0" applyFont="true" applyBorder="true" applyAlignment="true" applyProtection="false">
      <alignment horizontal="center" vertical="center" textRotation="0" wrapText="false" indent="0" shrinkToFit="false"/>
      <protection locked="true" hidden="false"/>
    </xf>
    <xf numFmtId="164" fontId="12" fillId="5" borderId="1" xfId="0" applyFont="true" applyBorder="true" applyAlignment="true" applyProtection="false">
      <alignment horizontal="center" vertical="center" textRotation="0" wrapText="false" indent="0" shrinkToFit="false"/>
      <protection locked="true" hidden="false"/>
    </xf>
    <xf numFmtId="164" fontId="13" fillId="6" borderId="1" xfId="0" applyFont="true" applyBorder="true" applyAlignment="true" applyProtection="false">
      <alignment horizontal="center" vertical="center" textRotation="0" wrapText="false" indent="0" shrinkToFit="false"/>
      <protection locked="true" hidden="false"/>
    </xf>
    <xf numFmtId="164" fontId="14" fillId="0" borderId="2" xfId="0" applyFont="true" applyBorder="true" applyAlignment="false" applyProtection="false">
      <alignment horizontal="general" vertical="bottom" textRotation="0" wrapText="fals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true" applyAlignment="true" applyProtection="false">
      <alignment horizontal="left" vertical="center" textRotation="0" wrapText="false" indent="1" shrinkToFit="false"/>
      <protection locked="true" hidden="false"/>
    </xf>
    <xf numFmtId="164" fontId="17" fillId="7" borderId="3" xfId="0" applyFont="true" applyBorder="true" applyAlignment="true" applyProtection="false">
      <alignment horizontal="center" vertical="center" textRotation="0" wrapText="true" indent="0" shrinkToFit="false"/>
      <protection locked="true" hidden="false"/>
    </xf>
    <xf numFmtId="164" fontId="17" fillId="7" borderId="3" xfId="0" applyFont="true" applyBorder="true" applyAlignment="true" applyProtection="false">
      <alignment horizontal="left" vertical="center" textRotation="0" wrapText="false" indent="0" shrinkToFit="false"/>
      <protection locked="true" hidden="false"/>
    </xf>
    <xf numFmtId="164" fontId="5" fillId="0" borderId="2" xfId="0" applyFont="true" applyBorder="true" applyAlignment="true" applyProtection="false">
      <alignment horizontal="center" vertical="center" textRotation="0" wrapText="false" indent="0" shrinkToFit="false"/>
      <protection locked="true" hidden="false"/>
    </xf>
    <xf numFmtId="164" fontId="7" fillId="0" borderId="2" xfId="0" applyFont="true" applyBorder="true" applyAlignment="true" applyProtection="false">
      <alignment horizontal="general" vertical="center" textRotation="0" wrapText="true" indent="0" shrinkToFit="false"/>
      <protection locked="true" hidden="false"/>
    </xf>
    <xf numFmtId="165" fontId="7" fillId="0" borderId="2" xfId="0" applyFont="true" applyBorder="true" applyAlignment="true" applyProtection="false">
      <alignment horizontal="general" vertical="center" textRotation="0" wrapText="false" indent="0" shrinkToFit="false"/>
      <protection locked="true" hidden="false"/>
    </xf>
    <xf numFmtId="164" fontId="9" fillId="0" borderId="2" xfId="0" applyFont="true" applyBorder="true" applyAlignment="true" applyProtection="false">
      <alignment horizontal="center" vertical="center" textRotation="0" wrapText="false" indent="0" shrinkToFit="false"/>
      <protection locked="true" hidden="false"/>
    </xf>
    <xf numFmtId="166" fontId="7" fillId="0" borderId="2" xfId="0" applyFont="true" applyBorder="true" applyAlignment="true" applyProtection="false">
      <alignment horizontal="general" vertical="center" textRotation="0" wrapText="false" indent="0" shrinkToFit="false"/>
      <protection locked="true" hidden="false"/>
    </xf>
    <xf numFmtId="164" fontId="7" fillId="0" borderId="2" xfId="0" applyFont="true" applyBorder="true" applyAlignment="true" applyProtection="false">
      <alignment horizontal="general" vertical="center" textRotation="0" wrapText="false" indent="0" shrinkToFit="false"/>
      <protection locked="true" hidden="false"/>
    </xf>
    <xf numFmtId="167" fontId="7" fillId="0" borderId="2" xfId="0" applyFont="true" applyBorder="true" applyAlignment="true" applyProtection="false">
      <alignment horizontal="general" vertical="center" textRotation="0" wrapText="false" indent="0" shrinkToFit="false"/>
      <protection locked="true" hidden="false"/>
    </xf>
    <xf numFmtId="168" fontId="7" fillId="0" borderId="2" xfId="0" applyFont="true" applyBorder="true" applyAlignment="true" applyProtection="false">
      <alignment horizontal="general" vertical="center" textRotation="0" wrapText="false" indent="0" shrinkToFit="false"/>
      <protection locked="true" hidden="false"/>
    </xf>
    <xf numFmtId="164" fontId="15"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18" fillId="0" borderId="0" xfId="0" applyFont="true" applyBorder="true" applyAlignment="false" applyProtection="false">
      <alignment horizontal="general" vertical="bottom" textRotation="0" wrapText="false" indent="0" shrinkToFit="false"/>
      <protection locked="true" hidden="false"/>
    </xf>
    <xf numFmtId="164" fontId="19" fillId="0" borderId="0" xfId="0" applyFont="true" applyBorder="true" applyAlignment="false" applyProtection="false">
      <alignment horizontal="general" vertical="bottom" textRotation="0" wrapText="false" indent="0" shrinkToFit="false"/>
      <protection locked="true" hidden="false"/>
    </xf>
    <xf numFmtId="164" fontId="17" fillId="8" borderId="4" xfId="0" applyFont="true" applyBorder="true" applyAlignment="true" applyProtection="false">
      <alignment horizontal="center" vertical="center" textRotation="0" wrapText="true" indent="0" shrinkToFit="false"/>
      <protection locked="true" hidden="false"/>
    </xf>
    <xf numFmtId="164" fontId="17" fillId="9" borderId="4" xfId="0" applyFont="true" applyBorder="true" applyAlignment="true" applyProtection="false">
      <alignment horizontal="center" vertical="center" textRotation="0" wrapText="true" indent="0" shrinkToFit="false"/>
      <protection locked="true" hidden="false"/>
    </xf>
    <xf numFmtId="164" fontId="17" fillId="8" borderId="5" xfId="0" applyFont="true" applyBorder="true" applyAlignment="true" applyProtection="false">
      <alignment horizontal="center" vertical="center" textRotation="0" wrapText="true" indent="0" shrinkToFit="false"/>
      <protection locked="true" hidden="false"/>
    </xf>
    <xf numFmtId="169" fontId="5" fillId="0" borderId="2" xfId="0" applyFont="true" applyBorder="true" applyAlignment="true" applyProtection="false">
      <alignment horizontal="center" vertical="center" textRotation="0" wrapText="false" indent="0" shrinkToFit="false"/>
      <protection locked="true" hidden="false"/>
    </xf>
    <xf numFmtId="164" fontId="20" fillId="2" borderId="6" xfId="0" applyFont="true" applyBorder="true" applyAlignment="true" applyProtection="true">
      <alignment horizontal="general" vertical="center" textRotation="0" wrapText="false" indent="0" shrinkToFit="false"/>
      <protection locked="false" hidden="false"/>
    </xf>
    <xf numFmtId="164" fontId="20" fillId="2" borderId="6" xfId="0" applyFont="true" applyBorder="true" applyAlignment="true" applyProtection="true">
      <alignment horizontal="center" vertical="center" textRotation="0" wrapText="false" indent="0" shrinkToFit="false"/>
      <protection locked="false" hidden="false"/>
    </xf>
    <xf numFmtId="167" fontId="20" fillId="2" borderId="6" xfId="0" applyFont="true" applyBorder="true" applyAlignment="true" applyProtection="true">
      <alignment horizontal="center" vertical="center" textRotation="0" wrapText="false" indent="0" shrinkToFit="false"/>
      <protection locked="false" hidden="false"/>
    </xf>
    <xf numFmtId="164" fontId="7" fillId="0" borderId="2" xfId="0" applyFont="true" applyBorder="true" applyAlignment="true" applyProtection="false">
      <alignment horizontal="center" vertical="center" textRotation="0" wrapText="false" indent="0" shrinkToFit="false"/>
      <protection locked="true" hidden="false"/>
    </xf>
    <xf numFmtId="170" fontId="7" fillId="0" borderId="2" xfId="0" applyFont="true" applyBorder="true" applyAlignment="true" applyProtection="false">
      <alignment horizontal="general" vertical="center" textRotation="0" wrapText="false" indent="0" shrinkToFit="false"/>
      <protection locked="true" hidden="false"/>
    </xf>
    <xf numFmtId="169" fontId="5" fillId="0" borderId="2" xfId="0" applyFont="true" applyBorder="true" applyAlignment="true" applyProtection="false">
      <alignment horizontal="general" vertical="center"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7" fontId="22" fillId="0" borderId="0" xfId="0" applyFont="true" applyBorder="false" applyAlignment="true" applyProtection="false">
      <alignment horizontal="left" vertical="bottom" textRotation="0" wrapText="false" indent="0" shrinkToFit="false"/>
      <protection locked="true" hidden="false"/>
    </xf>
    <xf numFmtId="171" fontId="7" fillId="0" borderId="2" xfId="0" applyFont="true" applyBorder="true" applyAlignment="true" applyProtection="false">
      <alignment horizontal="general" vertical="center" textRotation="0" wrapText="false" indent="0" shrinkToFit="false"/>
      <protection locked="true" hidden="false"/>
    </xf>
    <xf numFmtId="164" fontId="9" fillId="0" borderId="0" xfId="0" applyFont="true" applyBorder="true" applyAlignment="true" applyProtection="false">
      <alignment horizontal="left" vertical="bottom" textRotation="0" wrapText="false" indent="0" shrinkToFit="false"/>
      <protection locked="true" hidden="false"/>
    </xf>
    <xf numFmtId="172" fontId="9" fillId="0" borderId="0" xfId="0" applyFont="true" applyBorder="true" applyAlignment="true" applyProtection="false">
      <alignment horizontal="left" vertical="bottom" textRotation="0" wrapText="false" indent="0" shrinkToFit="false"/>
      <protection locked="true" hidden="false"/>
    </xf>
    <xf numFmtId="167" fontId="7" fillId="0" borderId="2" xfId="0" applyFont="true" applyBorder="true" applyAlignment="true" applyProtection="false">
      <alignment horizontal="center" vertical="center" textRotation="0" wrapText="false" indent="0" shrinkToFit="false"/>
      <protection locked="true" hidden="false"/>
    </xf>
    <xf numFmtId="164" fontId="9" fillId="10" borderId="7" xfId="0" applyFont="true" applyBorder="true" applyAlignment="true" applyProtection="false">
      <alignment horizontal="center" vertical="center" textRotation="0" wrapText="false" indent="0" shrinkToFit="false"/>
      <protection locked="true" hidden="false"/>
    </xf>
    <xf numFmtId="167" fontId="9" fillId="10" borderId="7" xfId="0" applyFont="true" applyBorder="true" applyAlignment="true" applyProtection="false">
      <alignment horizontal="center" vertical="bottom" textRotation="0" wrapText="false" indent="0" shrinkToFit="false"/>
      <protection locked="true" hidden="false"/>
    </xf>
    <xf numFmtId="168" fontId="9" fillId="10" borderId="7" xfId="0" applyFont="true" applyBorder="true" applyAlignment="true" applyProtection="false">
      <alignment horizontal="general" vertical="center" textRotation="0" wrapText="false" indent="0" shrinkToFit="false"/>
      <protection locked="true" hidden="false"/>
    </xf>
    <xf numFmtId="169" fontId="7" fillId="0" borderId="2" xfId="0" applyFont="true" applyBorder="true" applyAlignment="true" applyProtection="false">
      <alignment horizontal="center" vertical="center" textRotation="0" wrapText="false" indent="0" shrinkToFit="false"/>
      <protection locked="true" hidden="false"/>
    </xf>
    <xf numFmtId="164" fontId="9" fillId="10" borderId="7" xfId="0" applyFont="true" applyBorder="true" applyAlignment="false" applyProtection="false">
      <alignment horizontal="general" vertical="bottom" textRotation="0" wrapText="false" indent="0" shrinkToFit="false"/>
      <protection locked="true" hidden="false"/>
    </xf>
    <xf numFmtId="168" fontId="9" fillId="10" borderId="7" xfId="0" applyFont="true" applyBorder="true" applyAlignment="false" applyProtection="false">
      <alignment horizontal="general" vertical="bottom" textRotation="0" wrapText="false" indent="0" shrinkToFit="false"/>
      <protection locked="true" hidden="false"/>
    </xf>
    <xf numFmtId="167" fontId="23" fillId="0" borderId="0" xfId="0" applyFont="true" applyBorder="false" applyAlignment="true" applyProtection="false">
      <alignment horizontal="left" vertical="bottom" textRotation="0" wrapText="false" indent="0" shrinkToFit="false"/>
      <protection locked="true" hidden="false"/>
    </xf>
    <xf numFmtId="168" fontId="23" fillId="0" borderId="0" xfId="0" applyFont="true" applyBorder="false" applyAlignment="true" applyProtection="false">
      <alignment horizontal="left" vertical="bottom" textRotation="0" wrapText="false" indent="0" shrinkToFit="false"/>
      <protection locked="true" hidden="false"/>
    </xf>
    <xf numFmtId="164" fontId="23" fillId="0" borderId="0" xfId="0" applyFont="true" applyBorder="false" applyAlignment="true" applyProtection="false">
      <alignment horizontal="left" vertical="bottom" textRotation="0" wrapText="false" indent="0" shrinkToFit="false"/>
      <protection locked="true" hidden="false"/>
    </xf>
    <xf numFmtId="173" fontId="7" fillId="0" borderId="2" xfId="0" applyFont="true" applyBorder="true" applyAlignment="true" applyProtection="false">
      <alignment horizontal="center" vertical="center" textRotation="0" wrapText="false" indent="0" shrinkToFit="false"/>
      <protection locked="true" hidden="false"/>
    </xf>
    <xf numFmtId="174" fontId="7" fillId="0" borderId="2" xfId="0" applyFont="true" applyBorder="true" applyAlignment="true" applyProtection="false">
      <alignment horizontal="general" vertical="center" textRotation="0" wrapText="false" indent="0" shrinkToFit="false"/>
      <protection locked="true" hidden="false"/>
    </xf>
    <xf numFmtId="164" fontId="5" fillId="0" borderId="2" xfId="0" applyFont="true" applyBorder="true" applyAlignment="true" applyProtection="false">
      <alignment horizontal="general" vertical="center" textRotation="0" wrapText="false" indent="0" shrinkToFit="false"/>
      <protection locked="true" hidden="false"/>
    </xf>
    <xf numFmtId="168" fontId="5" fillId="0" borderId="2" xfId="0" applyFont="true" applyBorder="true" applyAlignment="true" applyProtection="false">
      <alignment horizontal="general" vertical="center" textRotation="0" wrapText="false" indent="0" shrinkToFit="false"/>
      <protection locked="true" hidden="false"/>
    </xf>
    <xf numFmtId="164" fontId="9" fillId="11" borderId="0" xfId="0" applyFont="true" applyBorder="false" applyAlignment="true" applyProtection="false">
      <alignment horizontal="general" vertical="center" textRotation="0" wrapText="false" indent="0" shrinkToFit="false"/>
      <protection locked="true" hidden="false"/>
    </xf>
    <xf numFmtId="164" fontId="17" fillId="8"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false" hidden="false"/>
    </xf>
    <xf numFmtId="173" fontId="7" fillId="0" borderId="0" xfId="0" applyFont="true" applyBorder="false" applyAlignment="false" applyProtection="true">
      <alignment horizontal="general" vertical="bottom" textRotation="0" wrapText="false" indent="0" shrinkToFit="false"/>
      <protection locked="false" hidden="false"/>
    </xf>
    <xf numFmtId="175" fontId="7" fillId="0" borderId="0" xfId="0" applyFont="true" applyBorder="false" applyAlignment="false" applyProtection="true">
      <alignment horizontal="general" vertical="bottom" textRotation="0" wrapText="false" indent="0" shrinkToFit="false"/>
      <protection locked="false" hidden="false"/>
    </xf>
    <xf numFmtId="164" fontId="7" fillId="12" borderId="0" xfId="0" applyFont="true" applyBorder="false" applyAlignment="false" applyProtection="false">
      <alignment horizontal="general" vertical="bottom" textRotation="0" wrapText="false" indent="0" shrinkToFit="false"/>
      <protection locked="true" hidden="false"/>
    </xf>
    <xf numFmtId="168" fontId="20" fillId="2" borderId="6" xfId="0" applyFont="true" applyBorder="true" applyAlignment="true" applyProtection="true">
      <alignment horizontal="general" vertical="center" textRotation="0" wrapText="false" indent="0" shrinkToFit="false"/>
      <protection locked="false" hidden="false"/>
    </xf>
    <xf numFmtId="176" fontId="20" fillId="2" borderId="6" xfId="0" applyFont="true" applyBorder="true" applyAlignment="true" applyProtection="true">
      <alignment horizontal="general" vertical="center" textRotation="0" wrapText="false" indent="0" shrinkToFit="false"/>
      <protection locked="false" hidden="false"/>
    </xf>
    <xf numFmtId="173" fontId="20" fillId="2" borderId="6" xfId="0" applyFont="true" applyBorder="true" applyAlignment="true" applyProtection="true">
      <alignment horizontal="general" vertical="center" textRotation="0" wrapText="false" indent="0" shrinkToFit="false"/>
      <protection locked="false" hidden="false"/>
    </xf>
    <xf numFmtId="164" fontId="17" fillId="9" borderId="4" xfId="0" applyFont="true" applyBorder="true" applyAlignment="true" applyProtection="false">
      <alignment horizontal="left"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20" fillId="2" borderId="6" xfId="0" applyFont="true" applyBorder="true" applyAlignment="true" applyProtection="true">
      <alignment horizontal="left" vertical="center" textRotation="0" wrapText="false" indent="0" shrinkToFit="false"/>
      <protection locked="false" hidden="false"/>
    </xf>
    <xf numFmtId="164" fontId="5" fillId="0" borderId="0" xfId="0" applyFont="true" applyBorder="false" applyAlignment="true" applyProtection="false">
      <alignment horizontal="general" vertical="center" textRotation="0" wrapText="false" indent="1" shrinkToFit="false"/>
      <protection locked="true" hidden="false"/>
    </xf>
    <xf numFmtId="173" fontId="20" fillId="2" borderId="6" xfId="0" applyFont="true" applyBorder="true" applyAlignment="true" applyProtection="true">
      <alignment horizontal="left" vertical="center" textRotation="0" wrapText="false" indent="0" shrinkToFit="false"/>
      <protection locked="false" hidden="false"/>
    </xf>
    <xf numFmtId="173" fontId="7" fillId="0" borderId="2" xfId="0" applyFont="true" applyBorder="true" applyAlignment="true" applyProtection="false">
      <alignment horizontal="left" vertical="center" textRotation="0" wrapText="false" indent="0" shrinkToFit="false"/>
      <protection locked="true" hidden="false"/>
    </xf>
    <xf numFmtId="177" fontId="20" fillId="2" borderId="6" xfId="0" applyFont="true" applyBorder="true" applyAlignment="true" applyProtection="true">
      <alignment horizontal="left" vertical="center" textRotation="0" wrapText="false" indent="0" shrinkToFit="false"/>
      <protection locked="false" hidden="false"/>
    </xf>
    <xf numFmtId="176" fontId="20" fillId="2" borderId="6" xfId="0" applyFont="true" applyBorder="true" applyAlignment="true" applyProtection="true">
      <alignment horizontal="left" vertical="center" textRotation="0" wrapText="fals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8">
    <dxf>
      <font>
        <b val="1"/>
        <color rgb="FF1D6B3A"/>
      </font>
      <fill>
        <patternFill>
          <bgColor rgb="FFDDF2E3"/>
        </patternFill>
      </fill>
    </dxf>
    <dxf>
      <font>
        <b val="1"/>
        <color rgb="FFA3241A"/>
      </font>
      <fill>
        <patternFill>
          <bgColor rgb="FFFBE1DE"/>
        </patternFill>
      </fill>
    </dxf>
    <dxf>
      <fill>
        <patternFill patternType="solid">
          <fgColor rgb="FF4A5560"/>
          <bgColor rgb="FF000000"/>
        </patternFill>
      </fill>
    </dxf>
    <dxf>
      <fill>
        <patternFill patternType="solid">
          <bgColor rgb="FF000000"/>
        </patternFill>
      </fill>
    </dxf>
    <dxf>
      <fill>
        <patternFill patternType="solid">
          <fgColor rgb="FF6B7280"/>
          <bgColor rgb="FF000000"/>
        </patternFill>
      </fill>
    </dxf>
    <dxf>
      <fill>
        <patternFill patternType="solid">
          <fgColor rgb="FFFFFFFF"/>
          <bgColor rgb="FF000000"/>
        </patternFill>
      </fill>
    </dxf>
    <dxf>
      <fill>
        <patternFill patternType="solid">
          <fgColor rgb="FF1F4E5F"/>
          <bgColor rgb="FF000000"/>
        </patternFill>
      </fill>
    </dxf>
    <dxf>
      <fill>
        <patternFill patternType="solid">
          <fgColor rgb="FFFFF4CC"/>
          <bgColor rgb="FF000000"/>
        </patternFill>
      </fill>
    </dxf>
    <dxf>
      <fill>
        <patternFill patternType="solid">
          <fgColor rgb="FF1A3E8C"/>
          <bgColor rgb="FF000000"/>
        </patternFill>
      </fill>
    </dxf>
    <dxf>
      <fill>
        <patternFill patternType="solid">
          <fgColor rgb="FFFDE6CC"/>
          <bgColor rgb="FF000000"/>
        </patternFill>
      </fill>
    </dxf>
    <dxf>
      <fill>
        <patternFill patternType="solid">
          <fgColor rgb="FF8A4A06"/>
          <bgColor rgb="FF000000"/>
        </patternFill>
      </fill>
    </dxf>
    <dxf>
      <fill>
        <patternFill patternType="solid">
          <fgColor rgb="FF1F2933"/>
          <bgColor rgb="FF000000"/>
        </patternFill>
      </fill>
    </dxf>
    <dxf>
      <fill>
        <patternFill patternType="solid">
          <fgColor rgb="FFDDF2E3"/>
          <bgColor rgb="FF000000"/>
        </patternFill>
      </fill>
    </dxf>
    <dxf>
      <fill>
        <patternFill patternType="solid">
          <fgColor rgb="FFFBE1DE"/>
          <bgColor rgb="FF000000"/>
        </patternFill>
      </fill>
    </dxf>
    <dxf>
      <fill>
        <patternFill patternType="solid">
          <fgColor rgb="FF1D6B3A"/>
          <bgColor rgb="FF000000"/>
        </patternFill>
      </fill>
    </dxf>
    <dxf>
      <fill>
        <patternFill patternType="solid">
          <fgColor rgb="FFA3241A"/>
          <bgColor rgb="FF000000"/>
        </patternFill>
      </fill>
    </dxf>
    <dxf>
      <font>
        <color rgb="FF1D6B3A"/>
      </font>
      <fill>
        <patternFill>
          <bgColor rgb="FFDDF2E3"/>
        </patternFill>
      </fill>
    </dxf>
    <dxf>
      <font>
        <color rgb="FF8A4A06"/>
      </font>
      <fill>
        <patternFill>
          <bgColor rgb="FFFDE6CC"/>
        </patternFill>
      </fill>
    </dxf>
    <dxf>
      <font>
        <color rgb="FFA3241A"/>
      </font>
      <fill>
        <patternFill>
          <bgColor rgb="FFFBE1DE"/>
        </patternFill>
      </fill>
    </dxf>
    <dxf>
      <font>
        <b val="1"/>
        <color rgb="FF8A4A06"/>
      </font>
      <fill>
        <patternFill>
          <bgColor rgb="FFFDE6CC"/>
        </patternFill>
      </fill>
    </dxf>
    <dxf>
      <font>
        <color rgb="FFA3241A"/>
      </font>
    </dxf>
    <dxf>
      <font>
        <b val="1"/>
        <color rgb="FFA3241A"/>
      </font>
    </dxf>
    <dxf>
      <fill>
        <patternFill patternType="solid">
          <fgColor rgb="FF9AA1A9"/>
          <bgColor rgb="FF000000"/>
        </patternFill>
      </fill>
    </dxf>
    <dxf>
      <font>
        <color rgb="FF9AA1A9"/>
      </font>
    </dxf>
    <dxf>
      <fill>
        <patternFill patternType="solid">
          <fgColor rgb="FFE6EFF1"/>
          <bgColor rgb="FF000000"/>
        </patternFill>
      </fill>
    </dxf>
    <dxf>
      <fill>
        <patternFill>
          <bgColor rgb="FFE6EFF1"/>
        </patternFill>
      </fill>
    </dxf>
    <dxf>
      <fill>
        <patternFill patternType="solid">
          <fgColor rgb="FFE9ECEF"/>
          <bgColor rgb="FF000000"/>
        </patternFill>
      </fill>
    </dxf>
    <dxf>
      <fill>
        <patternFill patternType="solid">
          <fgColor rgb="FFF4F6F8"/>
          <bgColor rgb="FF000000"/>
        </patternFill>
      </fill>
    </dxf>
  </dxfs>
  <colors>
    <indexedColors>
      <rgbColor rgb="FF000000"/>
      <rgbColor rgb="FFFFFFFF"/>
      <rgbColor rgb="FFFF0000"/>
      <rgbColor rgb="FF00FF00"/>
      <rgbColor rgb="FF0000FF"/>
      <rgbColor rgb="FFFFFF00"/>
      <rgbColor rgb="FFFF00FF"/>
      <rgbColor rgb="FF00FFFF"/>
      <rgbColor rgb="FF800000"/>
      <rgbColor rgb="FF1D6B3A"/>
      <rgbColor rgb="FF000080"/>
      <rgbColor rgb="FFB7791F"/>
      <rgbColor rgb="FF800080"/>
      <rgbColor rgb="FF008080"/>
      <rgbColor rgb="FFE6E9EE"/>
      <rgbColor rgb="FF4A5560"/>
      <rgbColor rgb="FF9999FF"/>
      <rgbColor rgb="FF8A4A06"/>
      <rgbColor rgb="FFFFF4CC"/>
      <rgbColor rgb="FFE6EFF1"/>
      <rgbColor rgb="FF660066"/>
      <rgbColor rgb="FFFF8080"/>
      <rgbColor rgb="FF0066CC"/>
      <rgbColor rgb="FFD9DDE3"/>
      <rgbColor rgb="FF000080"/>
      <rgbColor rgb="FFFF00FF"/>
      <rgbColor rgb="FFFFFF00"/>
      <rgbColor rgb="FF00FFFF"/>
      <rgbColor rgb="FF800080"/>
      <rgbColor rgb="FF800000"/>
      <rgbColor rgb="FF008080"/>
      <rgbColor rgb="FF0000FF"/>
      <rgbColor rgb="FF00CCFF"/>
      <rgbColor rgb="FFE9ECEF"/>
      <rgbColor rgb="FFDDF2E3"/>
      <rgbColor rgb="FFFDE6CC"/>
      <rgbColor rgb="FFF4F6F8"/>
      <rgbColor rgb="FFFBE1DE"/>
      <rgbColor rgb="FFCC99FF"/>
      <rgbColor rgb="FFE8D9A0"/>
      <rgbColor rgb="FF3366FF"/>
      <rgbColor rgb="FF33CCCC"/>
      <rgbColor rgb="FF99CC00"/>
      <rgbColor rgb="FFFFCC00"/>
      <rgbColor rgb="FFFF9900"/>
      <rgbColor rgb="FFFF6600"/>
      <rgbColor rgb="FF6B7280"/>
      <rgbColor rgb="FF9AA1A9"/>
      <rgbColor rgb="FF173A47"/>
      <rgbColor rgb="FF339966"/>
      <rgbColor rgb="FF003300"/>
      <rgbColor rgb="FF1F4E5F"/>
      <rgbColor rgb="FFA3241A"/>
      <rgbColor rgb="FF993366"/>
      <rgbColor rgb="FF1A3E8C"/>
      <rgbColor rgb="FF1F29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tables/table1.xml><?xml version="1.0" encoding="utf-8"?>
<table xmlns="http://schemas.openxmlformats.org/spreadsheetml/2006/main" id="1" name="tblCaregivers" displayName="tblCaregivers" ref="B4:K64" headerRowCount="1" totalsRowCount="0" totalsRowShown="0">
  <autoFilter ref="B4:K64"/>
  <tableColumns count="10">
    <tableColumn id="1" name="Caregiver ID"/>
    <tableColumn id="2" name="Caregiver name"/>
    <tableColumn id="3" name="Payee type"/>
    <tableColumn id="4" name="Business name (if paid as a business)"/>
    <tableColumn id="5" name="Account class"/>
    <tableColumn id="6" name="Account kind"/>
    <tableColumn id="7" name="Routing"/>
    <tableColumn id="8" name="Account"/>
    <tableColumn id="9" name="Vendor ID"/>
    <tableColumn id="10" name="Start date"/>
  </tableColumns>
</table>
</file>

<file path=xl/tables/table2.xml><?xml version="1.0" encoding="utf-8"?>
<table xmlns="http://schemas.openxmlformats.org/spreadsheetml/2006/main" id="2" name="tblClients" displayName="tblClients" ref="M4:O104" headerRowCount="1" totalsRowCount="0" totalsRowShown="0">
  <autoFilter ref="M4:O104"/>
  <tableColumns count="3">
    <tableColumn id="1" name="Client ID"/>
    <tableColumn id="2" name="Client name"/>
    <tableColumn id="3" name="Payer"/>
  </tableColumns>
</table>
</file>

<file path=xl/tables/table3.xml><?xml version="1.0" encoding="utf-8"?>
<table xmlns="http://schemas.openxmlformats.org/spreadsheetml/2006/main" id="3" name="tblRates" displayName="tblRates" ref="B4:H14" headerRowCount="1" totalsRowCount="0" totalsRowShown="0">
  <autoFilter ref="B4:H14"/>
  <tableColumns count="7">
    <tableColumn id="1" name="Code"/>
    <tableColumn id="2" name="Service"/>
    <tableColumn id="3" name="Unit"/>
    <tableColumn id="4" name="Rate per unit"/>
    <tableColumn id="5" name="GL account"/>
    <tableColumn id="6" name="GL account name"/>
    <tableColumn id="7" name="Notes"/>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7.xml.rels><?xml version="1.0" encoding="UTF-8"?>
<Relationships xmlns="http://schemas.openxmlformats.org/package/2006/relationships"><Relationship Id="rId1" Type="http://schemas.openxmlformats.org/officeDocument/2006/relationships/drawing" Target="../drawings/drawing4.xml"/>
</Relationships>
</file>

<file path=xl/worksheets/_rels/sheet8.xml.rels><?xml version="1.0" encoding="UTF-8"?>
<Relationships xmlns="http://schemas.openxmlformats.org/package/2006/relationships"><Relationship Id="rId1" Type="http://schemas.openxmlformats.org/officeDocument/2006/relationships/drawing" Target="../drawings/drawing5.xml"/>
</Relationships>
</file>

<file path=xl/worksheets/_rels/sheet9.xml.rels><?xml version="1.0" encoding="UTF-8"?>
<Relationships xmlns="http://schemas.openxmlformats.org/package/2006/relationships"><Relationship Id="rId1" Type="http://schemas.openxmlformats.org/officeDocument/2006/relationships/table" Target="../tables/table3.xml"/>
</Relationships>
</file>

<file path=xl/worksheets/_rels/sheet10.xml.rels><?xml version="1.0" encoding="UTF-8"?>
<Relationships xmlns="http://schemas.openxmlformats.org/package/2006/relationships"><Relationship Id="rId1" Type="http://schemas.openxmlformats.org/officeDocument/2006/relationships/table" Target="../tables/table1.xml"/><Relationship Id="rId2" Type="http://schemas.openxmlformats.org/officeDocument/2006/relationships/table" Target="../tables/table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73A47"/>
    <pageSetUpPr fitToPage="true"/>
  </sheetPr>
  <dimension ref="B1:D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
    <col collapsed="false" customWidth="true" hidden="false" outlineLevel="0" max="3" min="3" style="0" width="26"/>
    <col collapsed="false" customWidth="true" hidden="false" outlineLevel="0" max="4" min="4" style="0" width="86"/>
    <col collapsed="false" customWidth="true" hidden="false" outlineLevel="0" max="5" min="5" style="0" width="3"/>
  </cols>
  <sheetData>
    <row r="1" customFormat="false" ht="33.75" hidden="false" customHeight="true" outlineLevel="0" collapsed="false">
      <c r="B1" s="1" t="s">
        <v>0</v>
      </c>
    </row>
    <row r="2" customFormat="false" ht="15" hidden="false" customHeight="false" outlineLevel="0" collapsed="false">
      <c r="B2" s="2" t="s">
        <v>1</v>
      </c>
    </row>
    <row r="4" customFormat="false" ht="15" hidden="false" customHeight="false" outlineLevel="0" collapsed="false">
      <c r="B4" s="3" t="s">
        <v>2</v>
      </c>
    </row>
    <row r="5" customFormat="false" ht="66" hidden="false" customHeight="true" outlineLevel="0" collapsed="false">
      <c r="B5" s="4" t="s">
        <v>3</v>
      </c>
      <c r="C5" s="4"/>
      <c r="D5" s="4"/>
    </row>
    <row r="7" customFormat="false" ht="15" hidden="false" customHeight="false" outlineLevel="0" collapsed="false">
      <c r="B7" s="3" t="s">
        <v>4</v>
      </c>
    </row>
    <row r="8" customFormat="false" ht="30" hidden="false" customHeight="true" outlineLevel="0" collapsed="false">
      <c r="B8" s="5" t="n">
        <v>1</v>
      </c>
      <c r="C8" s="6" t="s">
        <v>5</v>
      </c>
      <c r="D8" s="7" t="s">
        <v>6</v>
      </c>
    </row>
    <row r="9" customFormat="false" ht="30" hidden="false" customHeight="true" outlineLevel="0" collapsed="false">
      <c r="B9" s="5" t="n">
        <v>2</v>
      </c>
      <c r="C9" s="6" t="s">
        <v>7</v>
      </c>
      <c r="D9" s="7" t="s">
        <v>8</v>
      </c>
    </row>
    <row r="10" customFormat="false" ht="30" hidden="false" customHeight="true" outlineLevel="0" collapsed="false">
      <c r="B10" s="5" t="n">
        <v>3</v>
      </c>
      <c r="C10" s="6" t="s">
        <v>9</v>
      </c>
      <c r="D10" s="7" t="s">
        <v>10</v>
      </c>
    </row>
    <row r="11" customFormat="false" ht="30" hidden="false" customHeight="true" outlineLevel="0" collapsed="false">
      <c r="B11" s="5" t="n">
        <v>4</v>
      </c>
      <c r="C11" s="6" t="s">
        <v>11</v>
      </c>
      <c r="D11" s="7" t="s">
        <v>12</v>
      </c>
    </row>
    <row r="12" customFormat="false" ht="30" hidden="false" customHeight="true" outlineLevel="0" collapsed="false">
      <c r="B12" s="5" t="n">
        <v>5</v>
      </c>
      <c r="C12" s="6" t="s">
        <v>13</v>
      </c>
      <c r="D12" s="7" t="s">
        <v>14</v>
      </c>
    </row>
    <row r="13" customFormat="false" ht="30" hidden="false" customHeight="true" outlineLevel="0" collapsed="false">
      <c r="B13" s="5" t="n">
        <v>6</v>
      </c>
      <c r="C13" s="6" t="s">
        <v>15</v>
      </c>
      <c r="D13" s="7" t="s">
        <v>16</v>
      </c>
    </row>
    <row r="14" customFormat="false" ht="30" hidden="false" customHeight="true" outlineLevel="0" collapsed="false">
      <c r="B14" s="5" t="n">
        <v>7</v>
      </c>
      <c r="C14" s="6" t="s">
        <v>17</v>
      </c>
      <c r="D14" s="7" t="s">
        <v>18</v>
      </c>
    </row>
    <row r="15" customFormat="false" ht="30" hidden="false" customHeight="true" outlineLevel="0" collapsed="false">
      <c r="B15" s="5" t="n">
        <v>8</v>
      </c>
      <c r="C15" s="6" t="s">
        <v>19</v>
      </c>
      <c r="D15" s="7" t="s">
        <v>20</v>
      </c>
    </row>
    <row r="17" customFormat="false" ht="15" hidden="false" customHeight="false" outlineLevel="0" collapsed="false">
      <c r="B17" s="3" t="s">
        <v>21</v>
      </c>
    </row>
    <row r="18" customFormat="false" ht="19.5" hidden="false" customHeight="true" outlineLevel="0" collapsed="false">
      <c r="C18" s="8" t="s">
        <v>22</v>
      </c>
      <c r="D18" s="9" t="s">
        <v>23</v>
      </c>
    </row>
    <row r="19" customFormat="false" ht="19.5" hidden="false" customHeight="true" outlineLevel="0" collapsed="false">
      <c r="C19" s="10" t="s">
        <v>24</v>
      </c>
      <c r="D19" s="9" t="s">
        <v>25</v>
      </c>
    </row>
    <row r="20" customFormat="false" ht="19.5" hidden="false" customHeight="true" outlineLevel="0" collapsed="false">
      <c r="C20" s="11" t="s">
        <v>26</v>
      </c>
      <c r="D20" s="9" t="s">
        <v>27</v>
      </c>
    </row>
    <row r="21" customFormat="false" ht="19.5" hidden="false" customHeight="true" outlineLevel="0" collapsed="false">
      <c r="C21" s="12" t="s">
        <v>28</v>
      </c>
      <c r="D21" s="9" t="s">
        <v>29</v>
      </c>
    </row>
    <row r="22" customFormat="false" ht="19.5" hidden="false" customHeight="true" outlineLevel="0" collapsed="false">
      <c r="C22" s="13" t="s">
        <v>30</v>
      </c>
      <c r="D22" s="9" t="s">
        <v>31</v>
      </c>
    </row>
    <row r="24" customFormat="false" ht="15" hidden="false" customHeight="false" outlineLevel="0" collapsed="false">
      <c r="B24" s="3" t="s">
        <v>32</v>
      </c>
    </row>
    <row r="25" customFormat="false" ht="18" hidden="false" customHeight="true" outlineLevel="0" collapsed="false">
      <c r="C25" s="14" t="s">
        <v>33</v>
      </c>
      <c r="D25" s="15" t="s">
        <v>34</v>
      </c>
    </row>
    <row r="26" customFormat="false" ht="18" hidden="false" customHeight="true" outlineLevel="0" collapsed="false">
      <c r="C26" s="14" t="s">
        <v>35</v>
      </c>
      <c r="D26" s="15" t="s">
        <v>36</v>
      </c>
    </row>
    <row r="27" customFormat="false" ht="18" hidden="false" customHeight="true" outlineLevel="0" collapsed="false">
      <c r="C27" s="14" t="s">
        <v>37</v>
      </c>
      <c r="D27" s="15" t="s">
        <v>38</v>
      </c>
    </row>
    <row r="28" customFormat="false" ht="18" hidden="false" customHeight="true" outlineLevel="0" collapsed="false">
      <c r="C28" s="14" t="s">
        <v>39</v>
      </c>
      <c r="D28" s="15" t="s">
        <v>40</v>
      </c>
    </row>
    <row r="29" customFormat="false" ht="18" hidden="false" customHeight="true" outlineLevel="0" collapsed="false">
      <c r="C29" s="14" t="s">
        <v>41</v>
      </c>
      <c r="D29" s="15" t="s">
        <v>42</v>
      </c>
    </row>
    <row r="30" customFormat="false" ht="18" hidden="false" customHeight="true" outlineLevel="0" collapsed="false">
      <c r="C30" s="14" t="s">
        <v>43</v>
      </c>
      <c r="D30" s="15" t="s">
        <v>44</v>
      </c>
    </row>
    <row r="31" customFormat="false" ht="18" hidden="false" customHeight="true" outlineLevel="0" collapsed="false">
      <c r="C31" s="14" t="s">
        <v>45</v>
      </c>
      <c r="D31" s="15" t="s">
        <v>46</v>
      </c>
    </row>
    <row r="32" customFormat="false" ht="18" hidden="false" customHeight="true" outlineLevel="0" collapsed="false">
      <c r="C32" s="14" t="s">
        <v>47</v>
      </c>
      <c r="D32" s="15" t="s">
        <v>48</v>
      </c>
    </row>
    <row r="33" customFormat="false" ht="18" hidden="false" customHeight="true" outlineLevel="0" collapsed="false">
      <c r="C33" s="14" t="s">
        <v>49</v>
      </c>
      <c r="D33" s="15" t="s">
        <v>50</v>
      </c>
    </row>
    <row r="34" customFormat="false" ht="18" hidden="false" customHeight="true" outlineLevel="0" collapsed="false">
      <c r="C34" s="14" t="s">
        <v>51</v>
      </c>
      <c r="D34" s="15" t="s">
        <v>52</v>
      </c>
    </row>
    <row r="36" customFormat="false" ht="30" hidden="false" customHeight="true" outlineLevel="0" collapsed="false">
      <c r="B36" s="16" t="s">
        <v>53</v>
      </c>
      <c r="C36" s="16"/>
      <c r="D36" s="16"/>
    </row>
    <row r="37" customFormat="false" ht="15" hidden="false" customHeight="false" outlineLevel="0" collapsed="false">
      <c r="B37" s="17" t="s">
        <v>54</v>
      </c>
    </row>
  </sheetData>
  <sheetProtection sheet="true" formatColumns="false" formatRows="false" sort="false" autoFilter="false"/>
  <mergeCells count="2">
    <mergeCell ref="B5:D5"/>
    <mergeCell ref="B36:D36"/>
  </mergeCells>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7A4D"/>
    <pageSetUpPr fitToPage="true"/>
  </sheetPr>
  <dimension ref="B1:G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
    <col collapsed="false" customWidth="true" hidden="false" outlineLevel="0" max="3" min="3" style="0" width="58"/>
    <col collapsed="false" customWidth="true" hidden="false" outlineLevel="0" max="5" min="4" style="0" width="16"/>
    <col collapsed="false" customWidth="true" hidden="false" outlineLevel="0" max="6" min="6" style="0" width="14"/>
    <col collapsed="false" customWidth="true" hidden="false" outlineLevel="0" max="7" min="7" style="0" width="12"/>
    <col collapsed="false" customWidth="true" hidden="false" outlineLevel="0" max="8" min="8" style="0" width="3"/>
  </cols>
  <sheetData>
    <row r="1" customFormat="false" ht="33.75" hidden="false" customHeight="true" outlineLevel="0" collapsed="false">
      <c r="B1" s="1" t="s">
        <v>55</v>
      </c>
    </row>
    <row r="2" customFormat="false" ht="15" hidden="false" customHeight="false" outlineLevel="0" collapsed="false">
      <c r="B2" s="2" t="str">
        <f aca="false">AgencyName&amp;", pay week "&amp;TEXT(WeekStart,"mmm d")&amp;" to "&amp;TEXT(WeekEnd,"mmm d, yyyy")&amp;". Green means the numbers tie to the cent. Red means stop and look."</f>
        <v>Larch Hollow Home Care, pay week Sep 14 to Sep 20, 2026. Green means the numbers tie to the cent. Red means stop and look.</v>
      </c>
    </row>
    <row r="4" customFormat="false" ht="36" hidden="false" customHeight="true" outlineLevel="0" collapsed="false">
      <c r="B4" s="18" t="str">
        <f aca="false">IF(COUNTIF(G8:G26,"Review")=0,"All checks pass. This pay run is ready to send to the bank.",COUNTIF(G8:G26,"Review")&amp;IF(COUNTIF(G8:G26,"Review")=1," check needs"," checks need")&amp;" review before this pay run goes to the bank.")</f>
        <v>5 checks need review before this pay run goes to the bank.</v>
      </c>
      <c r="C4" s="18"/>
      <c r="D4" s="18"/>
      <c r="E4" s="18"/>
      <c r="F4" s="18"/>
      <c r="G4" s="18"/>
    </row>
    <row r="6" customFormat="false" ht="21.75" hidden="false" customHeight="true" outlineLevel="0" collapsed="false">
      <c r="B6" s="3" t="s">
        <v>56</v>
      </c>
    </row>
    <row r="7" customFormat="false" ht="21.75" hidden="false" customHeight="true" outlineLevel="0" collapsed="false">
      <c r="B7" s="19" t="s">
        <v>57</v>
      </c>
      <c r="C7" s="20" t="s">
        <v>58</v>
      </c>
      <c r="D7" s="19" t="s">
        <v>59</v>
      </c>
      <c r="E7" s="19" t="s">
        <v>60</v>
      </c>
      <c r="F7" s="19" t="s">
        <v>61</v>
      </c>
      <c r="G7" s="19" t="s">
        <v>62</v>
      </c>
    </row>
    <row r="8" customFormat="false" ht="30" hidden="false" customHeight="true" outlineLevel="0" collapsed="false">
      <c r="B8" s="21" t="n">
        <v>1</v>
      </c>
      <c r="C8" s="22" t="s">
        <v>63</v>
      </c>
      <c r="D8" s="23" t="n">
        <f aca="false">SUM(in_Payable)</f>
        <v>14178.7</v>
      </c>
      <c r="E8" s="23" t="n">
        <f aca="false">bank_Total</f>
        <v>13982.92</v>
      </c>
      <c r="F8" s="23" t="n">
        <f aca="false">ROUND(D8-E8,2)</f>
        <v>195.78</v>
      </c>
      <c r="G8" s="24" t="str">
        <f aca="false">IF(F8=0,"OK","Review")</f>
        <v>Review</v>
      </c>
    </row>
    <row r="9" customFormat="false" ht="30" hidden="false" customHeight="true" outlineLevel="0" collapsed="false">
      <c r="B9" s="21" t="n">
        <v>2</v>
      </c>
      <c r="C9" s="22" t="s">
        <v>64</v>
      </c>
      <c r="D9" s="23" t="n">
        <f aca="false">SUMIFS(ps_Total,ps_SEC,"PPD")</f>
        <v>11323.78</v>
      </c>
      <c r="E9" s="23" t="n">
        <f aca="false">bank_PPDTotal</f>
        <v>11128</v>
      </c>
      <c r="F9" s="23" t="n">
        <f aca="false">ROUND(D9-E9,2)</f>
        <v>195.78</v>
      </c>
      <c r="G9" s="24" t="str">
        <f aca="false">IF(F9=0,"OK","Review")</f>
        <v>Review</v>
      </c>
    </row>
    <row r="10" customFormat="false" ht="30" hidden="false" customHeight="true" outlineLevel="0" collapsed="false">
      <c r="B10" s="21" t="n">
        <v>3</v>
      </c>
      <c r="C10" s="22" t="s">
        <v>65</v>
      </c>
      <c r="D10" s="23" t="n">
        <f aca="false">SUMIFS(ps_Total,ps_SEC,"CCD")</f>
        <v>2854.92</v>
      </c>
      <c r="E10" s="23" t="n">
        <f aca="false">bank_CCDTotal</f>
        <v>2854.92</v>
      </c>
      <c r="F10" s="23" t="n">
        <f aca="false">ROUND(D10-E10,2)</f>
        <v>0</v>
      </c>
      <c r="G10" s="24" t="str">
        <f aca="false">IF(F10=0,"OK","Review")</f>
        <v>OK</v>
      </c>
    </row>
    <row r="11" customFormat="false" ht="30" hidden="false" customHeight="true" outlineLevel="0" collapsed="false">
      <c r="B11" s="21" t="n">
        <v>4</v>
      </c>
      <c r="C11" s="22" t="s">
        <v>66</v>
      </c>
      <c r="D11" s="23" t="n">
        <f aca="false">SUM(in_Payable)</f>
        <v>14178.7</v>
      </c>
      <c r="E11" s="23" t="n">
        <f aca="false">SUMIF(acc_Type,"Caregiver payable",acc_Credit)</f>
        <v>14178.7</v>
      </c>
      <c r="F11" s="23" t="n">
        <f aca="false">ROUND(D11-E11,2)</f>
        <v>0</v>
      </c>
      <c r="G11" s="24" t="str">
        <f aca="false">IF(F11=0,"OK","Review")</f>
        <v>OK</v>
      </c>
    </row>
    <row r="12" customFormat="false" ht="30" hidden="false" customHeight="true" outlineLevel="0" collapsed="false">
      <c r="B12" s="21" t="n">
        <v>5</v>
      </c>
      <c r="C12" s="22" t="s">
        <v>67</v>
      </c>
      <c r="D12" s="23" t="n">
        <f aca="false">SUMIFS(in_ServicePay,in_PayStatus,"Pay")+SUMIFS(in_MilePay,in_PayStatus,"Pay")</f>
        <v>14178.7</v>
      </c>
      <c r="E12" s="23" t="n">
        <f aca="false">SUMIF(acc_Type,"*summary",acc_Debit)</f>
        <v>14178.7</v>
      </c>
      <c r="F12" s="23" t="n">
        <f aca="false">ROUND(D12-E12,2)</f>
        <v>0</v>
      </c>
      <c r="G12" s="24" t="str">
        <f aca="false">IF(F12=0,"OK","Review")</f>
        <v>OK</v>
      </c>
    </row>
    <row r="13" customFormat="false" ht="30" hidden="false" customHeight="true" outlineLevel="0" collapsed="false">
      <c r="B13" s="21" t="n">
        <v>6</v>
      </c>
      <c r="C13" s="22" t="s">
        <v>68</v>
      </c>
      <c r="D13" s="23" t="n">
        <f aca="false">SUM(acc_Debit)</f>
        <v>14178.7</v>
      </c>
      <c r="E13" s="23" t="n">
        <f aca="false">SUM(acc_Credit)</f>
        <v>14178.7</v>
      </c>
      <c r="F13" s="23" t="n">
        <f aca="false">ROUND(D13-E13,2)</f>
        <v>0</v>
      </c>
      <c r="G13" s="24" t="str">
        <f aca="false">IF(F13=0,"OK","Review")</f>
        <v>OK</v>
      </c>
    </row>
    <row r="15" customFormat="false" ht="21.75" hidden="false" customHeight="true" outlineLevel="0" collapsed="false">
      <c r="B15" s="3" t="s">
        <v>69</v>
      </c>
    </row>
    <row r="16" customFormat="false" ht="21.75" hidden="false" customHeight="true" outlineLevel="0" collapsed="false">
      <c r="B16" s="19" t="s">
        <v>57</v>
      </c>
      <c r="C16" s="20" t="s">
        <v>58</v>
      </c>
      <c r="D16" s="19" t="s">
        <v>59</v>
      </c>
      <c r="E16" s="19" t="s">
        <v>60</v>
      </c>
      <c r="F16" s="19" t="s">
        <v>61</v>
      </c>
      <c r="G16" s="19" t="s">
        <v>62</v>
      </c>
    </row>
    <row r="17" customFormat="false" ht="30" hidden="false" customHeight="true" outlineLevel="0" collapsed="false">
      <c r="B17" s="21" t="n">
        <v>7</v>
      </c>
      <c r="C17" s="22" t="s">
        <v>70</v>
      </c>
      <c r="D17" s="25" t="n">
        <f aca="false">COUNTIFS(ps_Total,"&gt;0")</f>
        <v>41</v>
      </c>
      <c r="E17" s="25" t="n">
        <f aca="false">bank_Count</f>
        <v>40</v>
      </c>
      <c r="F17" s="25" t="n">
        <f aca="false">ROUND(D17-E17,2)</f>
        <v>1</v>
      </c>
      <c r="G17" s="24" t="str">
        <f aca="false">IF(F17=0,"OK","Review")</f>
        <v>Review</v>
      </c>
    </row>
    <row r="18" customFormat="false" ht="30" hidden="false" customHeight="true" outlineLevel="0" collapsed="false">
      <c r="B18" s="21" t="n">
        <v>8</v>
      </c>
      <c r="C18" s="22" t="s">
        <v>71</v>
      </c>
      <c r="D18" s="25" t="n">
        <f aca="false">acc_TotalLines</f>
        <v>74</v>
      </c>
      <c r="E18" s="25" t="n">
        <f aca="false">acc_Produced</f>
        <v>74</v>
      </c>
      <c r="F18" s="25" t="n">
        <f aca="false">ROUND(D18-E18,2)</f>
        <v>0</v>
      </c>
      <c r="G18" s="24" t="str">
        <f aca="false">IF(F18=0,"OK","Review")</f>
        <v>OK</v>
      </c>
    </row>
    <row r="19" customFormat="false" ht="30" hidden="false" customHeight="true" outlineLevel="0" collapsed="false">
      <c r="B19" s="21" t="n">
        <v>9</v>
      </c>
      <c r="C19" s="22" t="s">
        <v>72</v>
      </c>
      <c r="D19" s="25" t="n">
        <f aca="false">SUMIFS(vc_Unverified,vc_PayStatus,"Pay")</f>
        <v>76</v>
      </c>
      <c r="E19" s="25" t="n">
        <f aca="false">0</f>
        <v>0</v>
      </c>
      <c r="F19" s="25" t="n">
        <f aca="false">ROUND(D19-E19,2)</f>
        <v>76</v>
      </c>
      <c r="G19" s="24" t="str">
        <f aca="false">IF(F19=0,"OK","Review")</f>
        <v>Review</v>
      </c>
    </row>
    <row r="20" customFormat="false" ht="30" hidden="false" customHeight="true" outlineLevel="0" collapsed="false">
      <c r="B20" s="21" t="n">
        <v>10</v>
      </c>
      <c r="C20" s="22" t="s">
        <v>73</v>
      </c>
      <c r="D20" s="25" t="n">
        <f aca="false">COUNTIF(ps_Status,"Held: no bank details")</f>
        <v>1</v>
      </c>
      <c r="E20" s="25" t="n">
        <f aca="false">0</f>
        <v>0</v>
      </c>
      <c r="F20" s="25" t="n">
        <f aca="false">ROUND(D20-E20,2)</f>
        <v>1</v>
      </c>
      <c r="G20" s="24" t="str">
        <f aca="false">IF(F20=0,"OK","Review")</f>
        <v>Review</v>
      </c>
    </row>
    <row r="21" customFormat="false" ht="30" hidden="false" customHeight="true" outlineLevel="0" collapsed="false">
      <c r="B21" s="21" t="n">
        <v>11</v>
      </c>
      <c r="C21" s="22" t="s">
        <v>74</v>
      </c>
      <c r="D21" s="25" t="n">
        <f aca="false">SUMPRODUCT(((in_CGName&lt;&gt;"")+(in_Client&lt;&gt;"")+(in_Svc&lt;&gt;"")+(in_Units&lt;&gt;"")&gt;0)*((in_CGName="")+(in_Client="")+(in_Svc="")+(in_Units="")&gt;0))</f>
        <v>0</v>
      </c>
      <c r="E21" s="25" t="n">
        <f aca="false">0</f>
        <v>0</v>
      </c>
      <c r="F21" s="25" t="n">
        <f aca="false">ROUND(D21-E21,2)</f>
        <v>0</v>
      </c>
      <c r="G21" s="24" t="str">
        <f aca="false">IF(F21=0,"OK","Review")</f>
        <v>OK</v>
      </c>
    </row>
    <row r="22" customFormat="false" ht="30" hidden="false" customHeight="true" outlineLevel="0" collapsed="false">
      <c r="B22" s="21" t="n">
        <v>12</v>
      </c>
      <c r="C22" s="22" t="s">
        <v>75</v>
      </c>
      <c r="D22" s="25" t="n">
        <f aca="false">COUNTIF(in_CGID,"Not on roster")+COUNTIF(in_ClientID,"Not on roster")</f>
        <v>0</v>
      </c>
      <c r="E22" s="25" t="n">
        <f aca="false">0</f>
        <v>0</v>
      </c>
      <c r="F22" s="25" t="n">
        <f aca="false">ROUND(D22-E22,2)</f>
        <v>0</v>
      </c>
      <c r="G22" s="24" t="str">
        <f aca="false">IF(F22=0,"OK","Review")</f>
        <v>OK</v>
      </c>
    </row>
    <row r="23" customFormat="false" ht="30" hidden="false" customHeight="true" outlineLevel="0" collapsed="false">
      <c r="B23" s="21" t="n">
        <v>13</v>
      </c>
      <c r="C23" s="22" t="s">
        <v>76</v>
      </c>
      <c r="D23" s="25" t="n">
        <f aca="false">COUNTIF(vis_InWeek,"No")</f>
        <v>0</v>
      </c>
      <c r="E23" s="25" t="n">
        <f aca="false">0</f>
        <v>0</v>
      </c>
      <c r="F23" s="25" t="n">
        <f aca="false">ROUND(D23-E23,2)</f>
        <v>0</v>
      </c>
      <c r="G23" s="24" t="str">
        <f aca="false">IF(F23=0,"OK","Review")</f>
        <v>OK</v>
      </c>
    </row>
    <row r="25" customFormat="false" ht="15" hidden="false" customHeight="false" outlineLevel="0" collapsed="false">
      <c r="B25" s="3" t="s">
        <v>77</v>
      </c>
    </row>
    <row r="26" customFormat="false" ht="21.75" hidden="false" customHeight="true" outlineLevel="0" collapsed="false">
      <c r="B26" s="19"/>
      <c r="C26" s="19"/>
      <c r="D26" s="19" t="s">
        <v>78</v>
      </c>
      <c r="E26" s="19"/>
      <c r="F26" s="19"/>
      <c r="G26" s="19"/>
    </row>
    <row r="27" customFormat="false" ht="18" hidden="false" customHeight="true" outlineLevel="0" collapsed="false">
      <c r="B27" s="26" t="s">
        <v>79</v>
      </c>
      <c r="C27" s="26"/>
      <c r="D27" s="27" t="n">
        <f aca="false">COUNTIF(in_CGName,"?*")</f>
        <v>69</v>
      </c>
    </row>
    <row r="28" customFormat="false" ht="18" hidden="false" customHeight="true" outlineLevel="0" collapsed="false">
      <c r="B28" s="26" t="s">
        <v>80</v>
      </c>
      <c r="C28" s="26"/>
      <c r="D28" s="27" t="n">
        <f aca="false">COUNTIF(in_PayStatus,"Hold")</f>
        <v>1</v>
      </c>
    </row>
    <row r="29" customFormat="false" ht="18" hidden="false" customHeight="true" outlineLevel="0" collapsed="false">
      <c r="B29" s="26" t="s">
        <v>81</v>
      </c>
      <c r="C29" s="26"/>
      <c r="D29" s="27" t="n">
        <f aca="false">bank_Count</f>
        <v>40</v>
      </c>
    </row>
    <row r="30" customFormat="false" ht="18" hidden="false" customHeight="true" outlineLevel="0" collapsed="false">
      <c r="B30" s="26" t="s">
        <v>82</v>
      </c>
      <c r="C30" s="26"/>
      <c r="D30" s="27" t="n">
        <f aca="false">SUMIFS(in_Units,in_PayStatus,"Pay")</f>
        <v>2703</v>
      </c>
    </row>
    <row r="31" customFormat="false" ht="18" hidden="false" customHeight="true" outlineLevel="0" collapsed="false">
      <c r="B31" s="26" t="s">
        <v>83</v>
      </c>
      <c r="C31" s="26"/>
      <c r="D31" s="28" t="n">
        <f aca="false">SUMIFS(in_ServicePay,in_PayStatus,"Pay")</f>
        <v>13958.6</v>
      </c>
    </row>
    <row r="32" customFormat="false" ht="18" hidden="false" customHeight="true" outlineLevel="0" collapsed="false">
      <c r="B32" s="26" t="s">
        <v>84</v>
      </c>
      <c r="C32" s="26"/>
      <c r="D32" s="28" t="n">
        <f aca="false">SUMIFS(in_MilePay,in_PayStatus,"Pay")</f>
        <v>220.1</v>
      </c>
    </row>
    <row r="33" customFormat="false" ht="18" hidden="false" customHeight="true" outlineLevel="0" collapsed="false">
      <c r="B33" s="26" t="s">
        <v>85</v>
      </c>
      <c r="C33" s="26"/>
      <c r="D33" s="28" t="n">
        <f aca="false">bank_PPDTotal</f>
        <v>11128</v>
      </c>
    </row>
    <row r="34" customFormat="false" ht="18" hidden="false" customHeight="true" outlineLevel="0" collapsed="false">
      <c r="B34" s="26" t="s">
        <v>86</v>
      </c>
      <c r="C34" s="26"/>
      <c r="D34" s="28" t="n">
        <f aca="false">bank_CCDTotal</f>
        <v>2854.92</v>
      </c>
    </row>
    <row r="36" customFormat="false" ht="15" hidden="false" customHeight="false" outlineLevel="0" collapsed="false">
      <c r="B36" s="29" t="s">
        <v>87</v>
      </c>
    </row>
  </sheetData>
  <sheetProtection sheet="true" formatColumns="false" formatRows="false" sort="false" autoFilter="false"/>
  <mergeCells count="9">
    <mergeCell ref="B4:G4"/>
    <mergeCell ref="B27:C27"/>
    <mergeCell ref="B28:C28"/>
    <mergeCell ref="B29:C29"/>
    <mergeCell ref="B30:C30"/>
    <mergeCell ref="B31:C31"/>
    <mergeCell ref="B32:C32"/>
    <mergeCell ref="B33:C33"/>
    <mergeCell ref="B34:C34"/>
  </mergeCells>
  <conditionalFormatting sqref="B4:G4">
    <cfRule type="expression" priority="2" aboveAverage="0" equalAverage="0" bottom="0" percent="0" rank="0" text="" dxfId="0">
      <formula>COUNTIF($G$8:$G$26,"Review")=0</formula>
    </cfRule>
    <cfRule type="expression" priority="3" aboveAverage="0" equalAverage="0" bottom="0" percent="0" rank="0" text="" dxfId="1">
      <formula>COUNTIF($G$8:$G$26,"Review")&gt;0</formula>
    </cfRule>
  </conditionalFormatting>
  <conditionalFormatting sqref="G8:G13">
    <cfRule type="expression" priority="4" aboveAverage="0" equalAverage="0" bottom="0" percent="0" rank="0" text="" dxfId="0">
      <formula>$G8="OK"</formula>
    </cfRule>
    <cfRule type="expression" priority="5" aboveAverage="0" equalAverage="0" bottom="0" percent="0" rank="0" text="" dxfId="1">
      <formula>AND($G8&lt;&gt;"",$G8&lt;&gt;"OK")</formula>
    </cfRule>
  </conditionalFormatting>
  <conditionalFormatting sqref="G17:G23">
    <cfRule type="expression" priority="6" aboveAverage="0" equalAverage="0" bottom="0" percent="0" rank="0" text="" dxfId="0">
      <formula>$G17="OK"</formula>
    </cfRule>
    <cfRule type="expression" priority="7" aboveAverage="0" equalAverage="0" bottom="0" percent="0" rank="0" text="" dxfId="1">
      <formula>AND($G17&lt;&gt;"",$G17&lt;&gt;"OK")</formula>
    </cfRule>
  </conditionalFormatting>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7791F"/>
    <pageSetUpPr fitToPage="true"/>
  </sheetPr>
  <dimension ref="A1:R2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1"/>
    <col collapsed="false" customWidth="true" hidden="false" outlineLevel="0" max="3" min="3" style="0" width="17"/>
    <col collapsed="false" customWidth="true" hidden="false" outlineLevel="0" max="6" min="4" style="0" width="8"/>
    <col collapsed="false" customWidth="true" hidden="false" outlineLevel="0" max="7" min="7" style="0" width="7"/>
    <col collapsed="false" customWidth="true" hidden="false" outlineLevel="0" max="8" min="8" style="0" width="8"/>
    <col collapsed="false" customWidth="true" hidden="false" outlineLevel="0" max="9" min="9" style="0" width="30"/>
    <col collapsed="false" customWidth="true" hidden="false" outlineLevel="0" max="11" min="10" style="0" width="10"/>
    <col collapsed="false" customWidth="true" hidden="false" outlineLevel="0" max="12" min="12" style="0" width="8"/>
    <col collapsed="false" customWidth="true" hidden="false" outlineLevel="0" max="13" min="13" style="0" width="11"/>
    <col collapsed="false" customWidth="true" hidden="false" outlineLevel="0" max="14" min="14" style="0" width="10"/>
    <col collapsed="false" customWidth="true" hidden="false" outlineLevel="0" max="15" min="15" style="0" width="11"/>
    <col collapsed="false" customWidth="true" hidden="false" outlineLevel="0" max="16" min="16" style="0" width="19"/>
    <col collapsed="false" customWidth="true" hidden="false" outlineLevel="0" max="17" min="17" style="0" width="11"/>
    <col collapsed="false" customWidth="true" hidden="true" outlineLevel="0" max="18" min="18" style="0" width="7"/>
  </cols>
  <sheetData>
    <row r="1" customFormat="false" ht="33.75" hidden="false" customHeight="true" outlineLevel="0" collapsed="false">
      <c r="A1" s="1" t="s">
        <v>88</v>
      </c>
    </row>
    <row r="2" customFormat="false" ht="18" hidden="false" customHeight="true" outlineLevel="0" collapsed="false">
      <c r="A2" s="30" t="s">
        <v>89</v>
      </c>
    </row>
    <row r="3" customFormat="false" ht="15" hidden="false" customHeight="false" outlineLevel="0" collapsed="false">
      <c r="B3" s="31" t="str">
        <f aca="false">"Entered by operations for the week of "&amp;TEXT(WeekStart,"mmm d")&amp;" to "&amp;TEXT(WeekEnd,"mmm d, yyyy")</f>
        <v>Entered by operations for the week of Sep 14 to Sep 20, 2026</v>
      </c>
      <c r="C3" s="31"/>
      <c r="D3" s="31"/>
      <c r="E3" s="31"/>
      <c r="F3" s="31"/>
      <c r="G3" s="31"/>
      <c r="H3" s="31"/>
      <c r="I3" s="31"/>
      <c r="J3" s="32" t="s">
        <v>90</v>
      </c>
      <c r="K3" s="32"/>
      <c r="L3" s="32"/>
      <c r="M3" s="32"/>
      <c r="N3" s="32"/>
      <c r="O3" s="32"/>
      <c r="P3" s="32"/>
      <c r="Q3" s="32"/>
    </row>
    <row r="4" customFormat="false" ht="31.5" hidden="false" customHeight="true" outlineLevel="0" collapsed="false">
      <c r="A4" s="33" t="s">
        <v>91</v>
      </c>
      <c r="B4" s="34" t="s">
        <v>92</v>
      </c>
      <c r="C4" s="34" t="s">
        <v>93</v>
      </c>
      <c r="D4" s="34" t="s">
        <v>94</v>
      </c>
      <c r="E4" s="34" t="s">
        <v>95</v>
      </c>
      <c r="F4" s="34" t="s">
        <v>96</v>
      </c>
      <c r="G4" s="34" t="s">
        <v>97</v>
      </c>
      <c r="H4" s="34" t="s">
        <v>98</v>
      </c>
      <c r="I4" s="34" t="s">
        <v>99</v>
      </c>
      <c r="J4" s="35" t="s">
        <v>100</v>
      </c>
      <c r="K4" s="35" t="s">
        <v>101</v>
      </c>
      <c r="L4" s="35" t="s">
        <v>102</v>
      </c>
      <c r="M4" s="35" t="s">
        <v>83</v>
      </c>
      <c r="N4" s="35" t="s">
        <v>103</v>
      </c>
      <c r="O4" s="35" t="s">
        <v>104</v>
      </c>
      <c r="P4" s="35" t="s">
        <v>105</v>
      </c>
      <c r="Q4" s="35" t="s">
        <v>106</v>
      </c>
      <c r="R4" s="35" t="s">
        <v>107</v>
      </c>
    </row>
    <row r="5" customFormat="false" ht="15" hidden="false" customHeight="false" outlineLevel="0" collapsed="false">
      <c r="A5" s="36" t="n">
        <f aca="false">IF(B5="","",ROW()-4)</f>
        <v>1</v>
      </c>
      <c r="B5" s="37" t="s">
        <v>108</v>
      </c>
      <c r="C5" s="37" t="s">
        <v>109</v>
      </c>
      <c r="D5" s="38" t="s">
        <v>110</v>
      </c>
      <c r="E5" s="39" t="n">
        <v>5</v>
      </c>
      <c r="F5" s="39" t="n">
        <v>68</v>
      </c>
      <c r="G5" s="39" t="n">
        <v>8</v>
      </c>
      <c r="H5" s="38" t="s">
        <v>111</v>
      </c>
      <c r="I5" s="37"/>
      <c r="J5" s="40" t="str">
        <f aca="false">IF(B5="","",IFERROR(INDEX(cg_ID,MATCH(B5,cg_Name,0)),"Not on roster"))</f>
        <v>CG-1036</v>
      </c>
      <c r="K5" s="40" t="str">
        <f aca="false">IF(C5="","",IFERROR(INDEX(cl_ID,MATCH(C5,cl_Name,0)),"Not on roster"))</f>
        <v>CL-2040</v>
      </c>
      <c r="L5" s="28" t="n">
        <f aca="false">IF(OR(B5="",D5=""),"",IFERROR(INDEX(rt_Rate,MATCH(D5,rt_Code,0)),0))</f>
        <v>4.25</v>
      </c>
      <c r="M5" s="28" t="n">
        <f aca="false">IF(OR(B5="",D5=""),"",ROUND(N(F5)*L5,2))</f>
        <v>289</v>
      </c>
      <c r="N5" s="41" t="n">
        <f aca="false">IF(B5="","",ROUND(N(G5)*MileRate,2))</f>
        <v>4.96</v>
      </c>
      <c r="O5" s="28" t="n">
        <f aca="false">IF(B5="","",N(M5)+N5)</f>
        <v>293.96</v>
      </c>
      <c r="P5" s="40" t="str">
        <f aca="false">IF(B5="","",IF(INDEX(vc_Result,ROW()-4)="OK","OK",IF(H5="Hold","On hold",INDEX(vc_Result,ROW()-4))))</f>
        <v>OK</v>
      </c>
      <c r="Q5" s="28" t="n">
        <f aca="false">IF(B5="","",IF(H5="Pay",O5,0))</f>
        <v>293.96</v>
      </c>
      <c r="R5" s="42" t="n">
        <f aca="false">IF(N(Q5)&gt;0,1,0)</f>
        <v>1</v>
      </c>
    </row>
    <row r="6" customFormat="false" ht="15" hidden="false" customHeight="false" outlineLevel="0" collapsed="false">
      <c r="A6" s="36" t="n">
        <f aca="false">IF(B6="","",ROW()-4)</f>
        <v>2</v>
      </c>
      <c r="B6" s="37" t="s">
        <v>108</v>
      </c>
      <c r="C6" s="37" t="s">
        <v>112</v>
      </c>
      <c r="D6" s="38" t="s">
        <v>113</v>
      </c>
      <c r="E6" s="39" t="n">
        <v>4</v>
      </c>
      <c r="F6" s="39" t="n">
        <v>46</v>
      </c>
      <c r="G6" s="39"/>
      <c r="H6" s="38" t="s">
        <v>111</v>
      </c>
      <c r="I6" s="37"/>
      <c r="J6" s="40" t="str">
        <f aca="false">IF(B6="","",IFERROR(INDEX(cg_ID,MATCH(B6,cg_Name,0)),"Not on roster"))</f>
        <v>CG-1036</v>
      </c>
      <c r="K6" s="40" t="str">
        <f aca="false">IF(C6="","",IFERROR(INDEX(cl_ID,MATCH(C6,cl_Name,0)),"Not on roster"))</f>
        <v>CL-2061</v>
      </c>
      <c r="L6" s="28" t="n">
        <f aca="false">IF(OR(B6="",D6=""),"",IFERROR(INDEX(rt_Rate,MATCH(D6,rt_Code,0)),0))</f>
        <v>5.5</v>
      </c>
      <c r="M6" s="28" t="n">
        <f aca="false">IF(OR(B6="",D6=""),"",ROUND(N(F6)*L6,2))</f>
        <v>253</v>
      </c>
      <c r="N6" s="41" t="n">
        <f aca="false">IF(B6="","",ROUND(N(G6)*MileRate,2))</f>
        <v>0</v>
      </c>
      <c r="O6" s="28" t="n">
        <f aca="false">IF(B6="","",N(M6)+N6)</f>
        <v>253</v>
      </c>
      <c r="P6" s="40" t="str">
        <f aca="false">IF(B6="","",IF(INDEX(vc_Result,ROW()-4)="OK","OK",IF(H6="Hold","On hold",INDEX(vc_Result,ROW()-4))))</f>
        <v>OK</v>
      </c>
      <c r="Q6" s="28" t="n">
        <f aca="false">IF(B6="","",IF(H6="Pay",O6,0))</f>
        <v>253</v>
      </c>
      <c r="R6" s="42" t="n">
        <f aca="false">R5+IF(N(Q6)&gt;0,1,0)</f>
        <v>2</v>
      </c>
    </row>
    <row r="7" customFormat="false" ht="15" hidden="false" customHeight="false" outlineLevel="0" collapsed="false">
      <c r="A7" s="36" t="n">
        <f aca="false">IF(B7="","",ROW()-4)</f>
        <v>3</v>
      </c>
      <c r="B7" s="37" t="s">
        <v>108</v>
      </c>
      <c r="C7" s="37" t="s">
        <v>114</v>
      </c>
      <c r="D7" s="38" t="s">
        <v>110</v>
      </c>
      <c r="E7" s="39" t="n">
        <v>5</v>
      </c>
      <c r="F7" s="39" t="n">
        <v>58</v>
      </c>
      <c r="G7" s="39" t="n">
        <v>12</v>
      </c>
      <c r="H7" s="38" t="s">
        <v>111</v>
      </c>
      <c r="I7" s="37"/>
      <c r="J7" s="40" t="str">
        <f aca="false">IF(B7="","",IFERROR(INDEX(cg_ID,MATCH(B7,cg_Name,0)),"Not on roster"))</f>
        <v>CG-1036</v>
      </c>
      <c r="K7" s="40" t="str">
        <f aca="false">IF(C7="","",IFERROR(INDEX(cl_ID,MATCH(C7,cl_Name,0)),"Not on roster"))</f>
        <v>CL-2031</v>
      </c>
      <c r="L7" s="28" t="n">
        <f aca="false">IF(OR(B7="",D7=""),"",IFERROR(INDEX(rt_Rate,MATCH(D7,rt_Code,0)),0))</f>
        <v>4.25</v>
      </c>
      <c r="M7" s="28" t="n">
        <f aca="false">IF(OR(B7="",D7=""),"",ROUND(N(F7)*L7,2))</f>
        <v>246.5</v>
      </c>
      <c r="N7" s="41" t="n">
        <f aca="false">IF(B7="","",ROUND(N(G7)*MileRate,2))</f>
        <v>7.44</v>
      </c>
      <c r="O7" s="28" t="n">
        <f aca="false">IF(B7="","",N(M7)+N7)</f>
        <v>253.94</v>
      </c>
      <c r="P7" s="40" t="str">
        <f aca="false">IF(B7="","",IF(INDEX(vc_Result,ROW()-4)="OK","OK",IF(H7="Hold","On hold",INDEX(vc_Result,ROW()-4))))</f>
        <v>OK</v>
      </c>
      <c r="Q7" s="28" t="n">
        <f aca="false">IF(B7="","",IF(H7="Pay",O7,0))</f>
        <v>253.94</v>
      </c>
      <c r="R7" s="42" t="n">
        <f aca="false">R6+IF(N(Q7)&gt;0,1,0)</f>
        <v>3</v>
      </c>
    </row>
    <row r="8" customFormat="false" ht="15" hidden="false" customHeight="false" outlineLevel="0" collapsed="false">
      <c r="A8" s="36" t="n">
        <f aca="false">IF(B8="","",ROW()-4)</f>
        <v>4</v>
      </c>
      <c r="B8" s="37" t="s">
        <v>115</v>
      </c>
      <c r="C8" s="37" t="s">
        <v>116</v>
      </c>
      <c r="D8" s="38" t="s">
        <v>117</v>
      </c>
      <c r="E8" s="39" t="n">
        <v>2</v>
      </c>
      <c r="F8" s="39" t="n">
        <v>48</v>
      </c>
      <c r="G8" s="39" t="n">
        <v>5</v>
      </c>
      <c r="H8" s="38" t="s">
        <v>111</v>
      </c>
      <c r="I8" s="37"/>
      <c r="J8" s="40" t="str">
        <f aca="false">IF(B8="","",IFERROR(INDEX(cg_ID,MATCH(B8,cg_Name,0)),"Not on roster"))</f>
        <v>CG-1009</v>
      </c>
      <c r="K8" s="40" t="str">
        <f aca="false">IF(C8="","",IFERROR(INDEX(cl_ID,MATCH(C8,cl_Name,0)),"Not on roster"))</f>
        <v>CL-2033</v>
      </c>
      <c r="L8" s="28" t="n">
        <f aca="false">IF(OR(B8="",D8=""),"",IFERROR(INDEX(rt_Rate,MATCH(D8,rt_Code,0)),0))</f>
        <v>5.1</v>
      </c>
      <c r="M8" s="28" t="n">
        <f aca="false">IF(OR(B8="",D8=""),"",ROUND(N(F8)*L8,2))</f>
        <v>244.8</v>
      </c>
      <c r="N8" s="41" t="n">
        <f aca="false">IF(B8="","",ROUND(N(G8)*MileRate,2))</f>
        <v>3.1</v>
      </c>
      <c r="O8" s="28" t="n">
        <f aca="false">IF(B8="","",N(M8)+N8)</f>
        <v>247.9</v>
      </c>
      <c r="P8" s="40" t="str">
        <f aca="false">IF(B8="","",IF(INDEX(vc_Result,ROW()-4)="OK","OK",IF(H8="Hold","On hold",INDEX(vc_Result,ROW()-4))))</f>
        <v>OK</v>
      </c>
      <c r="Q8" s="28" t="n">
        <f aca="false">IF(B8="","",IF(H8="Pay",O8,0))</f>
        <v>247.9</v>
      </c>
      <c r="R8" s="42" t="n">
        <f aca="false">R7+IF(N(Q8)&gt;0,1,0)</f>
        <v>4</v>
      </c>
    </row>
    <row r="9" customFormat="false" ht="15" hidden="false" customHeight="false" outlineLevel="0" collapsed="false">
      <c r="A9" s="36" t="n">
        <f aca="false">IF(B9="","",ROW()-4)</f>
        <v>5</v>
      </c>
      <c r="B9" s="37" t="s">
        <v>115</v>
      </c>
      <c r="C9" s="37" t="s">
        <v>118</v>
      </c>
      <c r="D9" s="38" t="s">
        <v>113</v>
      </c>
      <c r="E9" s="39" t="n">
        <v>3</v>
      </c>
      <c r="F9" s="39" t="n">
        <v>40</v>
      </c>
      <c r="G9" s="39"/>
      <c r="H9" s="38" t="s">
        <v>111</v>
      </c>
      <c r="I9" s="37"/>
      <c r="J9" s="40" t="str">
        <f aca="false">IF(B9="","",IFERROR(INDEX(cg_ID,MATCH(B9,cg_Name,0)),"Not on roster"))</f>
        <v>CG-1009</v>
      </c>
      <c r="K9" s="40" t="str">
        <f aca="false">IF(C9="","",IFERROR(INDEX(cl_ID,MATCH(C9,cl_Name,0)),"Not on roster"))</f>
        <v>CL-2006</v>
      </c>
      <c r="L9" s="28" t="n">
        <f aca="false">IF(OR(B9="",D9=""),"",IFERROR(INDEX(rt_Rate,MATCH(D9,rt_Code,0)),0))</f>
        <v>5.5</v>
      </c>
      <c r="M9" s="28" t="n">
        <f aca="false">IF(OR(B9="",D9=""),"",ROUND(N(F9)*L9,2))</f>
        <v>220</v>
      </c>
      <c r="N9" s="41" t="n">
        <f aca="false">IF(B9="","",ROUND(N(G9)*MileRate,2))</f>
        <v>0</v>
      </c>
      <c r="O9" s="28" t="n">
        <f aca="false">IF(B9="","",N(M9)+N9)</f>
        <v>220</v>
      </c>
      <c r="P9" s="40" t="str">
        <f aca="false">IF(B9="","",IF(INDEX(vc_Result,ROW()-4)="OK","OK",IF(H9="Hold","On hold",INDEX(vc_Result,ROW()-4))))</f>
        <v>OK</v>
      </c>
      <c r="Q9" s="28" t="n">
        <f aca="false">IF(B9="","",IF(H9="Pay",O9,0))</f>
        <v>220</v>
      </c>
      <c r="R9" s="42" t="n">
        <f aca="false">R8+IF(N(Q9)&gt;0,1,0)</f>
        <v>5</v>
      </c>
    </row>
    <row r="10" customFormat="false" ht="15" hidden="false" customHeight="false" outlineLevel="0" collapsed="false">
      <c r="A10" s="36" t="n">
        <f aca="false">IF(B10="","",ROW()-4)</f>
        <v>6</v>
      </c>
      <c r="B10" s="37" t="s">
        <v>119</v>
      </c>
      <c r="C10" s="37" t="s">
        <v>120</v>
      </c>
      <c r="D10" s="38" t="s">
        <v>117</v>
      </c>
      <c r="E10" s="39" t="n">
        <v>2</v>
      </c>
      <c r="F10" s="39" t="n">
        <v>42</v>
      </c>
      <c r="G10" s="39" t="n">
        <v>13</v>
      </c>
      <c r="H10" s="38" t="s">
        <v>111</v>
      </c>
      <c r="I10" s="37"/>
      <c r="J10" s="40" t="str">
        <f aca="false">IF(B10="","",IFERROR(INDEX(cg_ID,MATCH(B10,cg_Name,0)),"Not on roster"))</f>
        <v>CG-1002</v>
      </c>
      <c r="K10" s="40" t="str">
        <f aca="false">IF(C10="","",IFERROR(INDEX(cl_ID,MATCH(C10,cl_Name,0)),"Not on roster"))</f>
        <v>CL-2025</v>
      </c>
      <c r="L10" s="28" t="n">
        <f aca="false">IF(OR(B10="",D10=""),"",IFERROR(INDEX(rt_Rate,MATCH(D10,rt_Code,0)),0))</f>
        <v>5.1</v>
      </c>
      <c r="M10" s="28" t="n">
        <f aca="false">IF(OR(B10="",D10=""),"",ROUND(N(F10)*L10,2))</f>
        <v>214.2</v>
      </c>
      <c r="N10" s="41" t="n">
        <f aca="false">IF(B10="","",ROUND(N(G10)*MileRate,2))</f>
        <v>8.06</v>
      </c>
      <c r="O10" s="28" t="n">
        <f aca="false">IF(B10="","",N(M10)+N10)</f>
        <v>222.26</v>
      </c>
      <c r="P10" s="40" t="str">
        <f aca="false">IF(B10="","",IF(INDEX(vc_Result,ROW()-4)="OK","OK",IF(H10="Hold","On hold",INDEX(vc_Result,ROW()-4))))</f>
        <v>OK</v>
      </c>
      <c r="Q10" s="28" t="n">
        <f aca="false">IF(B10="","",IF(H10="Pay",O10,0))</f>
        <v>222.26</v>
      </c>
      <c r="R10" s="42" t="n">
        <f aca="false">R9+IF(N(Q10)&gt;0,1,0)</f>
        <v>6</v>
      </c>
    </row>
    <row r="11" customFormat="false" ht="15" hidden="false" customHeight="false" outlineLevel="0" collapsed="false">
      <c r="A11" s="36" t="n">
        <f aca="false">IF(B11="","",ROW()-4)</f>
        <v>7</v>
      </c>
      <c r="B11" s="37" t="s">
        <v>121</v>
      </c>
      <c r="C11" s="37" t="s">
        <v>122</v>
      </c>
      <c r="D11" s="38" t="s">
        <v>113</v>
      </c>
      <c r="E11" s="39" t="n">
        <v>5</v>
      </c>
      <c r="F11" s="39" t="n">
        <v>66</v>
      </c>
      <c r="G11" s="39"/>
      <c r="H11" s="38" t="s">
        <v>111</v>
      </c>
      <c r="I11" s="37"/>
      <c r="J11" s="40" t="str">
        <f aca="false">IF(B11="","",IFERROR(INDEX(cg_ID,MATCH(B11,cg_Name,0)),"Not on roster"))</f>
        <v>CG-1011</v>
      </c>
      <c r="K11" s="40" t="str">
        <f aca="false">IF(C11="","",IFERROR(INDEX(cl_ID,MATCH(C11,cl_Name,0)),"Not on roster"))</f>
        <v>CL-2034</v>
      </c>
      <c r="L11" s="28" t="n">
        <f aca="false">IF(OR(B11="",D11=""),"",IFERROR(INDEX(rt_Rate,MATCH(D11,rt_Code,0)),0))</f>
        <v>5.5</v>
      </c>
      <c r="M11" s="28" t="n">
        <f aca="false">IF(OR(B11="",D11=""),"",ROUND(N(F11)*L11,2))</f>
        <v>363</v>
      </c>
      <c r="N11" s="41" t="n">
        <f aca="false">IF(B11="","",ROUND(N(G11)*MileRate,2))</f>
        <v>0</v>
      </c>
      <c r="O11" s="28" t="n">
        <f aca="false">IF(B11="","",N(M11)+N11)</f>
        <v>363</v>
      </c>
      <c r="P11" s="40" t="str">
        <f aca="false">IF(B11="","",IF(INDEX(vc_Result,ROW()-4)="OK","OK",IF(H11="Hold","On hold",INDEX(vc_Result,ROW()-4))))</f>
        <v>OK</v>
      </c>
      <c r="Q11" s="28" t="n">
        <f aca="false">IF(B11="","",IF(H11="Pay",O11,0))</f>
        <v>363</v>
      </c>
      <c r="R11" s="42" t="n">
        <f aca="false">R10+IF(N(Q11)&gt;0,1,0)</f>
        <v>7</v>
      </c>
    </row>
    <row r="12" customFormat="false" ht="15" hidden="false" customHeight="false" outlineLevel="0" collapsed="false">
      <c r="A12" s="36" t="n">
        <f aca="false">IF(B12="","",ROW()-4)</f>
        <v>8</v>
      </c>
      <c r="B12" s="37" t="s">
        <v>121</v>
      </c>
      <c r="C12" s="37" t="s">
        <v>123</v>
      </c>
      <c r="D12" s="38" t="s">
        <v>113</v>
      </c>
      <c r="E12" s="39" t="n">
        <v>4</v>
      </c>
      <c r="F12" s="39" t="n">
        <v>44</v>
      </c>
      <c r="G12" s="39"/>
      <c r="H12" s="38" t="s">
        <v>111</v>
      </c>
      <c r="I12" s="37"/>
      <c r="J12" s="40" t="str">
        <f aca="false">IF(B12="","",IFERROR(INDEX(cg_ID,MATCH(B12,cg_Name,0)),"Not on roster"))</f>
        <v>CG-1011</v>
      </c>
      <c r="K12" s="40" t="str">
        <f aca="false">IF(C12="","",IFERROR(INDEX(cl_ID,MATCH(C12,cl_Name,0)),"Not on roster"))</f>
        <v>CL-2042</v>
      </c>
      <c r="L12" s="28" t="n">
        <f aca="false">IF(OR(B12="",D12=""),"",IFERROR(INDEX(rt_Rate,MATCH(D12,rt_Code,0)),0))</f>
        <v>5.5</v>
      </c>
      <c r="M12" s="28" t="n">
        <f aca="false">IF(OR(B12="",D12=""),"",ROUND(N(F12)*L12,2))</f>
        <v>242</v>
      </c>
      <c r="N12" s="41" t="n">
        <f aca="false">IF(B12="","",ROUND(N(G12)*MileRate,2))</f>
        <v>0</v>
      </c>
      <c r="O12" s="28" t="n">
        <f aca="false">IF(B12="","",N(M12)+N12)</f>
        <v>242</v>
      </c>
      <c r="P12" s="40" t="str">
        <f aca="false">IF(B12="","",IF(INDEX(vc_Result,ROW()-4)="OK","OK",IF(H12="Hold","On hold",INDEX(vc_Result,ROW()-4))))</f>
        <v>OK</v>
      </c>
      <c r="Q12" s="28" t="n">
        <f aca="false">IF(B12="","",IF(H12="Pay",O12,0))</f>
        <v>242</v>
      </c>
      <c r="R12" s="42" t="n">
        <f aca="false">R11+IF(N(Q12)&gt;0,1,0)</f>
        <v>8</v>
      </c>
    </row>
    <row r="13" customFormat="false" ht="15" hidden="false" customHeight="false" outlineLevel="0" collapsed="false">
      <c r="A13" s="36" t="n">
        <f aca="false">IF(B13="","",ROW()-4)</f>
        <v>9</v>
      </c>
      <c r="B13" s="37" t="s">
        <v>121</v>
      </c>
      <c r="C13" s="37" t="s">
        <v>124</v>
      </c>
      <c r="D13" s="38" t="s">
        <v>110</v>
      </c>
      <c r="E13" s="39" t="n">
        <v>2</v>
      </c>
      <c r="F13" s="39" t="n">
        <v>22</v>
      </c>
      <c r="G13" s="39" t="n">
        <v>19</v>
      </c>
      <c r="H13" s="38" t="s">
        <v>111</v>
      </c>
      <c r="I13" s="37"/>
      <c r="J13" s="40" t="str">
        <f aca="false">IF(B13="","",IFERROR(INDEX(cg_ID,MATCH(B13,cg_Name,0)),"Not on roster"))</f>
        <v>CG-1011</v>
      </c>
      <c r="K13" s="40" t="str">
        <f aca="false">IF(C13="","",IFERROR(INDEX(cl_ID,MATCH(C13,cl_Name,0)),"Not on roster"))</f>
        <v>CL-2035</v>
      </c>
      <c r="L13" s="28" t="n">
        <f aca="false">IF(OR(B13="",D13=""),"",IFERROR(INDEX(rt_Rate,MATCH(D13,rt_Code,0)),0))</f>
        <v>4.25</v>
      </c>
      <c r="M13" s="28" t="n">
        <f aca="false">IF(OR(B13="",D13=""),"",ROUND(N(F13)*L13,2))</f>
        <v>93.5</v>
      </c>
      <c r="N13" s="41" t="n">
        <f aca="false">IF(B13="","",ROUND(N(G13)*MileRate,2))</f>
        <v>11.78</v>
      </c>
      <c r="O13" s="28" t="n">
        <f aca="false">IF(B13="","",N(M13)+N13)</f>
        <v>105.28</v>
      </c>
      <c r="P13" s="40" t="str">
        <f aca="false">IF(B13="","",IF(INDEX(vc_Result,ROW()-4)="OK","OK",IF(H13="Hold","On hold",INDEX(vc_Result,ROW()-4))))</f>
        <v>OK</v>
      </c>
      <c r="Q13" s="28" t="n">
        <f aca="false">IF(B13="","",IF(H13="Pay",O13,0))</f>
        <v>105.28</v>
      </c>
      <c r="R13" s="42" t="n">
        <f aca="false">R12+IF(N(Q13)&gt;0,1,0)</f>
        <v>9</v>
      </c>
    </row>
    <row r="14" customFormat="false" ht="15" hidden="false" customHeight="false" outlineLevel="0" collapsed="false">
      <c r="A14" s="36" t="n">
        <f aca="false">IF(B14="","",ROW()-4)</f>
        <v>10</v>
      </c>
      <c r="B14" s="37" t="s">
        <v>125</v>
      </c>
      <c r="C14" s="37" t="s">
        <v>126</v>
      </c>
      <c r="D14" s="38" t="s">
        <v>117</v>
      </c>
      <c r="E14" s="39" t="n">
        <v>1</v>
      </c>
      <c r="F14" s="39" t="n">
        <v>20</v>
      </c>
      <c r="G14" s="39"/>
      <c r="H14" s="38" t="s">
        <v>111</v>
      </c>
      <c r="I14" s="37"/>
      <c r="J14" s="40" t="str">
        <f aca="false">IF(B14="","",IFERROR(INDEX(cg_ID,MATCH(B14,cg_Name,0)),"Not on roster"))</f>
        <v>CG-1038</v>
      </c>
      <c r="K14" s="40" t="str">
        <f aca="false">IF(C14="","",IFERROR(INDEX(cl_ID,MATCH(C14,cl_Name,0)),"Not on roster"))</f>
        <v>CL-2036</v>
      </c>
      <c r="L14" s="28" t="n">
        <f aca="false">IF(OR(B14="",D14=""),"",IFERROR(INDEX(rt_Rate,MATCH(D14,rt_Code,0)),0))</f>
        <v>5.1</v>
      </c>
      <c r="M14" s="28" t="n">
        <f aca="false">IF(OR(B14="",D14=""),"",ROUND(N(F14)*L14,2))</f>
        <v>102</v>
      </c>
      <c r="N14" s="41" t="n">
        <f aca="false">IF(B14="","",ROUND(N(G14)*MileRate,2))</f>
        <v>0</v>
      </c>
      <c r="O14" s="28" t="n">
        <f aca="false">IF(B14="","",N(M14)+N14)</f>
        <v>102</v>
      </c>
      <c r="P14" s="40" t="str">
        <f aca="false">IF(B14="","",IF(INDEX(vc_Result,ROW()-4)="OK","OK",IF(H14="Hold","On hold",INDEX(vc_Result,ROW()-4))))</f>
        <v>OK</v>
      </c>
      <c r="Q14" s="28" t="n">
        <f aca="false">IF(B14="","",IF(H14="Pay",O14,0))</f>
        <v>102</v>
      </c>
      <c r="R14" s="42" t="n">
        <f aca="false">R13+IF(N(Q14)&gt;0,1,0)</f>
        <v>10</v>
      </c>
    </row>
    <row r="15" customFormat="false" ht="15" hidden="false" customHeight="false" outlineLevel="0" collapsed="false">
      <c r="A15" s="36" t="n">
        <f aca="false">IF(B15="","",ROW()-4)</f>
        <v>11</v>
      </c>
      <c r="B15" s="37" t="s">
        <v>127</v>
      </c>
      <c r="C15" s="37" t="s">
        <v>128</v>
      </c>
      <c r="D15" s="38" t="s">
        <v>113</v>
      </c>
      <c r="E15" s="39" t="n">
        <v>3</v>
      </c>
      <c r="F15" s="39" t="n">
        <v>28</v>
      </c>
      <c r="G15" s="39" t="n">
        <v>4</v>
      </c>
      <c r="H15" s="38" t="s">
        <v>111</v>
      </c>
      <c r="I15" s="37"/>
      <c r="J15" s="40" t="str">
        <f aca="false">IF(B15="","",IFERROR(INDEX(cg_ID,MATCH(B15,cg_Name,0)),"Not on roster"))</f>
        <v>CG-1027</v>
      </c>
      <c r="K15" s="40" t="str">
        <f aca="false">IF(C15="","",IFERROR(INDEX(cl_ID,MATCH(C15,cl_Name,0)),"Not on roster"))</f>
        <v>CL-2018</v>
      </c>
      <c r="L15" s="28" t="n">
        <f aca="false">IF(OR(B15="",D15=""),"",IFERROR(INDEX(rt_Rate,MATCH(D15,rt_Code,0)),0))</f>
        <v>5.5</v>
      </c>
      <c r="M15" s="28" t="n">
        <f aca="false">IF(OR(B15="",D15=""),"",ROUND(N(F15)*L15,2))</f>
        <v>154</v>
      </c>
      <c r="N15" s="41" t="n">
        <f aca="false">IF(B15="","",ROUND(N(G15)*MileRate,2))</f>
        <v>2.48</v>
      </c>
      <c r="O15" s="28" t="n">
        <f aca="false">IF(B15="","",N(M15)+N15)</f>
        <v>156.48</v>
      </c>
      <c r="P15" s="40" t="str">
        <f aca="false">IF(B15="","",IF(INDEX(vc_Result,ROW()-4)="OK","OK",IF(H15="Hold","On hold",INDEX(vc_Result,ROW()-4))))</f>
        <v>OK</v>
      </c>
      <c r="Q15" s="28" t="n">
        <f aca="false">IF(B15="","",IF(H15="Pay",O15,0))</f>
        <v>156.48</v>
      </c>
      <c r="R15" s="42" t="n">
        <f aca="false">R14+IF(N(Q15)&gt;0,1,0)</f>
        <v>11</v>
      </c>
    </row>
    <row r="16" customFormat="false" ht="15" hidden="false" customHeight="false" outlineLevel="0" collapsed="false">
      <c r="A16" s="36" t="n">
        <f aca="false">IF(B16="","",ROW()-4)</f>
        <v>12</v>
      </c>
      <c r="B16" s="37" t="s">
        <v>129</v>
      </c>
      <c r="C16" s="37" t="s">
        <v>130</v>
      </c>
      <c r="D16" s="38" t="s">
        <v>117</v>
      </c>
      <c r="E16" s="39" t="n">
        <v>2</v>
      </c>
      <c r="F16" s="39" t="n">
        <v>52</v>
      </c>
      <c r="G16" s="39"/>
      <c r="H16" s="38" t="s">
        <v>111</v>
      </c>
      <c r="I16" s="37"/>
      <c r="J16" s="40" t="str">
        <f aca="false">IF(B16="","",IFERROR(INDEX(cg_ID,MATCH(B16,cg_Name,0)),"Not on roster"))</f>
        <v>CG-1028</v>
      </c>
      <c r="K16" s="40" t="str">
        <f aca="false">IF(C16="","",IFERROR(INDEX(cl_ID,MATCH(C16,cl_Name,0)),"Not on roster"))</f>
        <v>CL-2044</v>
      </c>
      <c r="L16" s="28" t="n">
        <f aca="false">IF(OR(B16="",D16=""),"",IFERROR(INDEX(rt_Rate,MATCH(D16,rt_Code,0)),0))</f>
        <v>5.1</v>
      </c>
      <c r="M16" s="28" t="n">
        <f aca="false">IF(OR(B16="",D16=""),"",ROUND(N(F16)*L16,2))</f>
        <v>265.2</v>
      </c>
      <c r="N16" s="41" t="n">
        <f aca="false">IF(B16="","",ROUND(N(G16)*MileRate,2))</f>
        <v>0</v>
      </c>
      <c r="O16" s="28" t="n">
        <f aca="false">IF(B16="","",N(M16)+N16)</f>
        <v>265.2</v>
      </c>
      <c r="P16" s="40" t="str">
        <f aca="false">IF(B16="","",IF(INDEX(vc_Result,ROW()-4)="OK","OK",IF(H16="Hold","On hold",INDEX(vc_Result,ROW()-4))))</f>
        <v>OK</v>
      </c>
      <c r="Q16" s="28" t="n">
        <f aca="false">IF(B16="","",IF(H16="Pay",O16,0))</f>
        <v>265.2</v>
      </c>
      <c r="R16" s="42" t="n">
        <f aca="false">R15+IF(N(Q16)&gt;0,1,0)</f>
        <v>12</v>
      </c>
    </row>
    <row r="17" customFormat="false" ht="15" hidden="false" customHeight="false" outlineLevel="0" collapsed="false">
      <c r="A17" s="36" t="n">
        <f aca="false">IF(B17="","",ROW()-4)</f>
        <v>13</v>
      </c>
      <c r="B17" s="37" t="s">
        <v>131</v>
      </c>
      <c r="C17" s="37" t="s">
        <v>132</v>
      </c>
      <c r="D17" s="38" t="s">
        <v>133</v>
      </c>
      <c r="E17" s="39" t="n">
        <v>4</v>
      </c>
      <c r="F17" s="39" t="n">
        <v>40</v>
      </c>
      <c r="G17" s="39" t="n">
        <v>19</v>
      </c>
      <c r="H17" s="38" t="s">
        <v>111</v>
      </c>
      <c r="I17" s="37"/>
      <c r="J17" s="40" t="str">
        <f aca="false">IF(B17="","",IFERROR(INDEX(cg_ID,MATCH(B17,cg_Name,0)),"Not on roster"))</f>
        <v>CG-1045</v>
      </c>
      <c r="K17" s="40" t="str">
        <f aca="false">IF(C17="","",IFERROR(INDEX(cl_ID,MATCH(C17,cl_Name,0)),"Not on roster"))</f>
        <v>CL-2022</v>
      </c>
      <c r="L17" s="28" t="n">
        <f aca="false">IF(OR(B17="",D17=""),"",IFERROR(INDEX(rt_Rate,MATCH(D17,rt_Code,0)),0))</f>
        <v>4.6</v>
      </c>
      <c r="M17" s="28" t="n">
        <f aca="false">IF(OR(B17="",D17=""),"",ROUND(N(F17)*L17,2))</f>
        <v>184</v>
      </c>
      <c r="N17" s="41" t="n">
        <f aca="false">IF(B17="","",ROUND(N(G17)*MileRate,2))</f>
        <v>11.78</v>
      </c>
      <c r="O17" s="28" t="n">
        <f aca="false">IF(B17="","",N(M17)+N17)</f>
        <v>195.78</v>
      </c>
      <c r="P17" s="40" t="str">
        <f aca="false">IF(B17="","",IF(INDEX(vc_Result,ROW()-4)="OK","OK",IF(H17="Hold","On hold",INDEX(vc_Result,ROW()-4))))</f>
        <v>OK</v>
      </c>
      <c r="Q17" s="28" t="n">
        <f aca="false">IF(B17="","",IF(H17="Pay",O17,0))</f>
        <v>195.78</v>
      </c>
      <c r="R17" s="42" t="n">
        <f aca="false">R16+IF(N(Q17)&gt;0,1,0)</f>
        <v>13</v>
      </c>
    </row>
    <row r="18" customFormat="false" ht="15" hidden="false" customHeight="false" outlineLevel="0" collapsed="false">
      <c r="A18" s="36" t="n">
        <f aca="false">IF(B18="","",ROW()-4)</f>
        <v>14</v>
      </c>
      <c r="B18" s="37" t="s">
        <v>134</v>
      </c>
      <c r="C18" s="37" t="s">
        <v>132</v>
      </c>
      <c r="D18" s="38" t="s">
        <v>113</v>
      </c>
      <c r="E18" s="39" t="n">
        <v>4</v>
      </c>
      <c r="F18" s="39" t="n">
        <v>50</v>
      </c>
      <c r="G18" s="39" t="n">
        <v>8</v>
      </c>
      <c r="H18" s="38" t="s">
        <v>111</v>
      </c>
      <c r="I18" s="37"/>
      <c r="J18" s="40" t="str">
        <f aca="false">IF(B18="","",IFERROR(INDEX(cg_ID,MATCH(B18,cg_Name,0)),"Not on roster"))</f>
        <v>CG-1008</v>
      </c>
      <c r="K18" s="40" t="str">
        <f aca="false">IF(C18="","",IFERROR(INDEX(cl_ID,MATCH(C18,cl_Name,0)),"Not on roster"))</f>
        <v>CL-2022</v>
      </c>
      <c r="L18" s="28" t="n">
        <f aca="false">IF(OR(B18="",D18=""),"",IFERROR(INDEX(rt_Rate,MATCH(D18,rt_Code,0)),0))</f>
        <v>5.5</v>
      </c>
      <c r="M18" s="28" t="n">
        <f aca="false">IF(OR(B18="",D18=""),"",ROUND(N(F18)*L18,2))</f>
        <v>275</v>
      </c>
      <c r="N18" s="41" t="n">
        <f aca="false">IF(B18="","",ROUND(N(G18)*MileRate,2))</f>
        <v>4.96</v>
      </c>
      <c r="O18" s="28" t="n">
        <f aca="false">IF(B18="","",N(M18)+N18)</f>
        <v>279.96</v>
      </c>
      <c r="P18" s="40" t="str">
        <f aca="false">IF(B18="","",IF(INDEX(vc_Result,ROW()-4)="OK","OK",IF(H18="Hold","On hold",INDEX(vc_Result,ROW()-4))))</f>
        <v>Units exceed visits</v>
      </c>
      <c r="Q18" s="28" t="n">
        <f aca="false">IF(B18="","",IF(H18="Pay",O18,0))</f>
        <v>279.96</v>
      </c>
      <c r="R18" s="42" t="n">
        <f aca="false">R17+IF(N(Q18)&gt;0,1,0)</f>
        <v>14</v>
      </c>
    </row>
    <row r="19" customFormat="false" ht="15" hidden="false" customHeight="false" outlineLevel="0" collapsed="false">
      <c r="A19" s="36" t="n">
        <f aca="false">IF(B19="","",ROW()-4)</f>
        <v>15</v>
      </c>
      <c r="B19" s="37" t="s">
        <v>134</v>
      </c>
      <c r="C19" s="37" t="s">
        <v>135</v>
      </c>
      <c r="D19" s="38" t="s">
        <v>133</v>
      </c>
      <c r="E19" s="39" t="n">
        <v>2</v>
      </c>
      <c r="F19" s="39" t="n">
        <v>20</v>
      </c>
      <c r="G19" s="39"/>
      <c r="H19" s="38" t="s">
        <v>111</v>
      </c>
      <c r="I19" s="37"/>
      <c r="J19" s="40" t="str">
        <f aca="false">IF(B19="","",IFERROR(INDEX(cg_ID,MATCH(B19,cg_Name,0)),"Not on roster"))</f>
        <v>CG-1008</v>
      </c>
      <c r="K19" s="40" t="str">
        <f aca="false">IF(C19="","",IFERROR(INDEX(cl_ID,MATCH(C19,cl_Name,0)),"Not on roster"))</f>
        <v>CL-2055</v>
      </c>
      <c r="L19" s="28" t="n">
        <f aca="false">IF(OR(B19="",D19=""),"",IFERROR(INDEX(rt_Rate,MATCH(D19,rt_Code,0)),0))</f>
        <v>4.6</v>
      </c>
      <c r="M19" s="28" t="n">
        <f aca="false">IF(OR(B19="",D19=""),"",ROUND(N(F19)*L19,2))</f>
        <v>92</v>
      </c>
      <c r="N19" s="41" t="n">
        <f aca="false">IF(B19="","",ROUND(N(G19)*MileRate,2))</f>
        <v>0</v>
      </c>
      <c r="O19" s="28" t="n">
        <f aca="false">IF(B19="","",N(M19)+N19)</f>
        <v>92</v>
      </c>
      <c r="P19" s="40" t="str">
        <f aca="false">IF(B19="","",IF(INDEX(vc_Result,ROW()-4)="OK","OK",IF(H19="Hold","On hold",INDEX(vc_Result,ROW()-4))))</f>
        <v>OK</v>
      </c>
      <c r="Q19" s="28" t="n">
        <f aca="false">IF(B19="","",IF(H19="Pay",O19,0))</f>
        <v>92</v>
      </c>
      <c r="R19" s="42" t="n">
        <f aca="false">R18+IF(N(Q19)&gt;0,1,0)</f>
        <v>15</v>
      </c>
    </row>
    <row r="20" customFormat="false" ht="15" hidden="false" customHeight="false" outlineLevel="0" collapsed="false">
      <c r="A20" s="36" t="n">
        <f aca="false">IF(B20="","",ROW()-4)</f>
        <v>16</v>
      </c>
      <c r="B20" s="37" t="s">
        <v>134</v>
      </c>
      <c r="C20" s="37" t="s">
        <v>136</v>
      </c>
      <c r="D20" s="38" t="s">
        <v>113</v>
      </c>
      <c r="E20" s="39" t="n">
        <v>4</v>
      </c>
      <c r="F20" s="39" t="n">
        <v>48</v>
      </c>
      <c r="G20" s="39" t="n">
        <v>13</v>
      </c>
      <c r="H20" s="38" t="s">
        <v>111</v>
      </c>
      <c r="I20" s="37"/>
      <c r="J20" s="40" t="str">
        <f aca="false">IF(B20="","",IFERROR(INDEX(cg_ID,MATCH(B20,cg_Name,0)),"Not on roster"))</f>
        <v>CG-1008</v>
      </c>
      <c r="K20" s="40" t="str">
        <f aca="false">IF(C20="","",IFERROR(INDEX(cl_ID,MATCH(C20,cl_Name,0)),"Not on roster"))</f>
        <v>CL-2032</v>
      </c>
      <c r="L20" s="28" t="n">
        <f aca="false">IF(OR(B20="",D20=""),"",IFERROR(INDEX(rt_Rate,MATCH(D20,rt_Code,0)),0))</f>
        <v>5.5</v>
      </c>
      <c r="M20" s="28" t="n">
        <f aca="false">IF(OR(B20="",D20=""),"",ROUND(N(F20)*L20,2))</f>
        <v>264</v>
      </c>
      <c r="N20" s="41" t="n">
        <f aca="false">IF(B20="","",ROUND(N(G20)*MileRate,2))</f>
        <v>8.06</v>
      </c>
      <c r="O20" s="28" t="n">
        <f aca="false">IF(B20="","",N(M20)+N20)</f>
        <v>272.06</v>
      </c>
      <c r="P20" s="40" t="str">
        <f aca="false">IF(B20="","",IF(INDEX(vc_Result,ROW()-4)="OK","OK",IF(H20="Hold","On hold",INDEX(vc_Result,ROW()-4))))</f>
        <v>OK</v>
      </c>
      <c r="Q20" s="28" t="n">
        <f aca="false">IF(B20="","",IF(H20="Pay",O20,0))</f>
        <v>272.06</v>
      </c>
      <c r="R20" s="42" t="n">
        <f aca="false">R19+IF(N(Q20)&gt;0,1,0)</f>
        <v>16</v>
      </c>
    </row>
    <row r="21" customFormat="false" ht="15" hidden="false" customHeight="false" outlineLevel="0" collapsed="false">
      <c r="A21" s="36" t="n">
        <f aca="false">IF(B21="","",ROW()-4)</f>
        <v>17</v>
      </c>
      <c r="B21" s="37" t="s">
        <v>137</v>
      </c>
      <c r="C21" s="37" t="s">
        <v>138</v>
      </c>
      <c r="D21" s="38" t="s">
        <v>117</v>
      </c>
      <c r="E21" s="39" t="n">
        <v>5</v>
      </c>
      <c r="F21" s="39" t="n">
        <v>68</v>
      </c>
      <c r="G21" s="39"/>
      <c r="H21" s="38" t="s">
        <v>111</v>
      </c>
      <c r="I21" s="37"/>
      <c r="J21" s="40" t="str">
        <f aca="false">IF(B21="","",IFERROR(INDEX(cg_ID,MATCH(B21,cg_Name,0)),"Not on roster"))</f>
        <v>CG-1007</v>
      </c>
      <c r="K21" s="40" t="str">
        <f aca="false">IF(C21="","",IFERROR(INDEX(cl_ID,MATCH(C21,cl_Name,0)),"Not on roster"))</f>
        <v>CL-2038</v>
      </c>
      <c r="L21" s="28" t="n">
        <f aca="false">IF(OR(B21="",D21=""),"",IFERROR(INDEX(rt_Rate,MATCH(D21,rt_Code,0)),0))</f>
        <v>5.1</v>
      </c>
      <c r="M21" s="28" t="n">
        <f aca="false">IF(OR(B21="",D21=""),"",ROUND(N(F21)*L21,2))</f>
        <v>346.8</v>
      </c>
      <c r="N21" s="41" t="n">
        <f aca="false">IF(B21="","",ROUND(N(G21)*MileRate,2))</f>
        <v>0</v>
      </c>
      <c r="O21" s="28" t="n">
        <f aca="false">IF(B21="","",N(M21)+N21)</f>
        <v>346.8</v>
      </c>
      <c r="P21" s="40" t="str">
        <f aca="false">IF(B21="","",IF(INDEX(vc_Result,ROW()-4)="OK","OK",IF(H21="Hold","On hold",INDEX(vc_Result,ROW()-4))))</f>
        <v>No matching visits</v>
      </c>
      <c r="Q21" s="28" t="n">
        <f aca="false">IF(B21="","",IF(H21="Pay",O21,0))</f>
        <v>346.8</v>
      </c>
      <c r="R21" s="42" t="n">
        <f aca="false">R20+IF(N(Q21)&gt;0,1,0)</f>
        <v>17</v>
      </c>
    </row>
    <row r="22" customFormat="false" ht="15" hidden="false" customHeight="false" outlineLevel="0" collapsed="false">
      <c r="A22" s="36" t="n">
        <f aca="false">IF(B22="","",ROW()-4)</f>
        <v>18</v>
      </c>
      <c r="B22" s="37" t="s">
        <v>139</v>
      </c>
      <c r="C22" s="37" t="s">
        <v>140</v>
      </c>
      <c r="D22" s="38" t="s">
        <v>113</v>
      </c>
      <c r="E22" s="39" t="n">
        <v>4</v>
      </c>
      <c r="F22" s="39" t="n">
        <v>56</v>
      </c>
      <c r="G22" s="39"/>
      <c r="H22" s="38" t="s">
        <v>111</v>
      </c>
      <c r="I22" s="37"/>
      <c r="J22" s="40" t="str">
        <f aca="false">IF(B22="","",IFERROR(INDEX(cg_ID,MATCH(B22,cg_Name,0)),"Not on roster"))</f>
        <v>CG-1023</v>
      </c>
      <c r="K22" s="40" t="str">
        <f aca="false">IF(C22="","",IFERROR(INDEX(cl_ID,MATCH(C22,cl_Name,0)),"Not on roster"))</f>
        <v>CL-2026</v>
      </c>
      <c r="L22" s="28" t="n">
        <f aca="false">IF(OR(B22="",D22=""),"",IFERROR(INDEX(rt_Rate,MATCH(D22,rt_Code,0)),0))</f>
        <v>5.5</v>
      </c>
      <c r="M22" s="28" t="n">
        <f aca="false">IF(OR(B22="",D22=""),"",ROUND(N(F22)*L22,2))</f>
        <v>308</v>
      </c>
      <c r="N22" s="41" t="n">
        <f aca="false">IF(B22="","",ROUND(N(G22)*MileRate,2))</f>
        <v>0</v>
      </c>
      <c r="O22" s="28" t="n">
        <f aca="false">IF(B22="","",N(M22)+N22)</f>
        <v>308</v>
      </c>
      <c r="P22" s="40" t="str">
        <f aca="false">IF(B22="","",IF(INDEX(vc_Result,ROW()-4)="OK","OK",IF(H22="Hold","On hold",INDEX(vc_Result,ROW()-4))))</f>
        <v>OK</v>
      </c>
      <c r="Q22" s="28" t="n">
        <f aca="false">IF(B22="","",IF(H22="Pay",O22,0))</f>
        <v>308</v>
      </c>
      <c r="R22" s="42" t="n">
        <f aca="false">R21+IF(N(Q22)&gt;0,1,0)</f>
        <v>18</v>
      </c>
    </row>
    <row r="23" customFormat="false" ht="15" hidden="false" customHeight="false" outlineLevel="0" collapsed="false">
      <c r="A23" s="36" t="n">
        <f aca="false">IF(B23="","",ROW()-4)</f>
        <v>19</v>
      </c>
      <c r="B23" s="37" t="s">
        <v>139</v>
      </c>
      <c r="C23" s="37" t="s">
        <v>141</v>
      </c>
      <c r="D23" s="38" t="s">
        <v>133</v>
      </c>
      <c r="E23" s="39" t="n">
        <v>5</v>
      </c>
      <c r="F23" s="39" t="n">
        <v>50</v>
      </c>
      <c r="G23" s="39"/>
      <c r="H23" s="38" t="s">
        <v>111</v>
      </c>
      <c r="I23" s="37"/>
      <c r="J23" s="40" t="str">
        <f aca="false">IF(B23="","",IFERROR(INDEX(cg_ID,MATCH(B23,cg_Name,0)),"Not on roster"))</f>
        <v>CG-1023</v>
      </c>
      <c r="K23" s="40" t="str">
        <f aca="false">IF(C23="","",IFERROR(INDEX(cl_ID,MATCH(C23,cl_Name,0)),"Not on roster"))</f>
        <v>CL-2059</v>
      </c>
      <c r="L23" s="28" t="n">
        <f aca="false">IF(OR(B23="",D23=""),"",IFERROR(INDEX(rt_Rate,MATCH(D23,rt_Code,0)),0))</f>
        <v>4.6</v>
      </c>
      <c r="M23" s="28" t="n">
        <f aca="false">IF(OR(B23="",D23=""),"",ROUND(N(F23)*L23,2))</f>
        <v>230</v>
      </c>
      <c r="N23" s="41" t="n">
        <f aca="false">IF(B23="","",ROUND(N(G23)*MileRate,2))</f>
        <v>0</v>
      </c>
      <c r="O23" s="28" t="n">
        <f aca="false">IF(B23="","",N(M23)+N23)</f>
        <v>230</v>
      </c>
      <c r="P23" s="40" t="str">
        <f aca="false">IF(B23="","",IF(INDEX(vc_Result,ROW()-4)="OK","OK",IF(H23="Hold","On hold",INDEX(vc_Result,ROW()-4))))</f>
        <v>OK</v>
      </c>
      <c r="Q23" s="28" t="n">
        <f aca="false">IF(B23="","",IF(H23="Pay",O23,0))</f>
        <v>230</v>
      </c>
      <c r="R23" s="42" t="n">
        <f aca="false">R22+IF(N(Q23)&gt;0,1,0)</f>
        <v>19</v>
      </c>
    </row>
    <row r="24" customFormat="false" ht="15" hidden="false" customHeight="false" outlineLevel="0" collapsed="false">
      <c r="A24" s="36" t="n">
        <f aca="false">IF(B24="","",ROW()-4)</f>
        <v>20</v>
      </c>
      <c r="B24" s="37" t="s">
        <v>139</v>
      </c>
      <c r="C24" s="37" t="s">
        <v>122</v>
      </c>
      <c r="D24" s="38" t="s">
        <v>113</v>
      </c>
      <c r="E24" s="39" t="n">
        <v>4</v>
      </c>
      <c r="F24" s="39" t="n">
        <v>36</v>
      </c>
      <c r="G24" s="39"/>
      <c r="H24" s="38" t="s">
        <v>111</v>
      </c>
      <c r="I24" s="37"/>
      <c r="J24" s="40" t="str">
        <f aca="false">IF(B24="","",IFERROR(INDEX(cg_ID,MATCH(B24,cg_Name,0)),"Not on roster"))</f>
        <v>CG-1023</v>
      </c>
      <c r="K24" s="40" t="str">
        <f aca="false">IF(C24="","",IFERROR(INDEX(cl_ID,MATCH(C24,cl_Name,0)),"Not on roster"))</f>
        <v>CL-2034</v>
      </c>
      <c r="L24" s="28" t="n">
        <f aca="false">IF(OR(B24="",D24=""),"",IFERROR(INDEX(rt_Rate,MATCH(D24,rt_Code,0)),0))</f>
        <v>5.5</v>
      </c>
      <c r="M24" s="28" t="n">
        <f aca="false">IF(OR(B24="",D24=""),"",ROUND(N(F24)*L24,2))</f>
        <v>198</v>
      </c>
      <c r="N24" s="41" t="n">
        <f aca="false">IF(B24="","",ROUND(N(G24)*MileRate,2))</f>
        <v>0</v>
      </c>
      <c r="O24" s="28" t="n">
        <f aca="false">IF(B24="","",N(M24)+N24)</f>
        <v>198</v>
      </c>
      <c r="P24" s="40" t="str">
        <f aca="false">IF(B24="","",IF(INDEX(vc_Result,ROW()-4)="OK","OK",IF(H24="Hold","On hold",INDEX(vc_Result,ROW()-4))))</f>
        <v>OK</v>
      </c>
      <c r="Q24" s="28" t="n">
        <f aca="false">IF(B24="","",IF(H24="Pay",O24,0))</f>
        <v>198</v>
      </c>
      <c r="R24" s="42" t="n">
        <f aca="false">R23+IF(N(Q24)&gt;0,1,0)</f>
        <v>20</v>
      </c>
    </row>
    <row r="25" customFormat="false" ht="15" hidden="false" customHeight="false" outlineLevel="0" collapsed="false">
      <c r="A25" s="36" t="n">
        <f aca="false">IF(B25="","",ROW()-4)</f>
        <v>21</v>
      </c>
      <c r="B25" s="37" t="s">
        <v>142</v>
      </c>
      <c r="C25" s="37" t="s">
        <v>143</v>
      </c>
      <c r="D25" s="38" t="s">
        <v>113</v>
      </c>
      <c r="E25" s="39" t="n">
        <v>4</v>
      </c>
      <c r="F25" s="39" t="n">
        <v>36</v>
      </c>
      <c r="G25" s="39"/>
      <c r="H25" s="38" t="s">
        <v>111</v>
      </c>
      <c r="I25" s="37"/>
      <c r="J25" s="40" t="str">
        <f aca="false">IF(B25="","",IFERROR(INDEX(cg_ID,MATCH(B25,cg_Name,0)),"Not on roster"))</f>
        <v>CG-1012</v>
      </c>
      <c r="K25" s="40" t="str">
        <f aca="false">IF(C25="","",IFERROR(INDEX(cl_ID,MATCH(C25,cl_Name,0)),"Not on roster"))</f>
        <v>CL-2058</v>
      </c>
      <c r="L25" s="28" t="n">
        <f aca="false">IF(OR(B25="",D25=""),"",IFERROR(INDEX(rt_Rate,MATCH(D25,rt_Code,0)),0))</f>
        <v>5.5</v>
      </c>
      <c r="M25" s="28" t="n">
        <f aca="false">IF(OR(B25="",D25=""),"",ROUND(N(F25)*L25,2))</f>
        <v>198</v>
      </c>
      <c r="N25" s="41" t="n">
        <f aca="false">IF(B25="","",ROUND(N(G25)*MileRate,2))</f>
        <v>0</v>
      </c>
      <c r="O25" s="28" t="n">
        <f aca="false">IF(B25="","",N(M25)+N25)</f>
        <v>198</v>
      </c>
      <c r="P25" s="40" t="str">
        <f aca="false">IF(B25="","",IF(INDEX(vc_Result,ROW()-4)="OK","OK",IF(H25="Hold","On hold",INDEX(vc_Result,ROW()-4))))</f>
        <v>OK</v>
      </c>
      <c r="Q25" s="28" t="n">
        <f aca="false">IF(B25="","",IF(H25="Pay",O25,0))</f>
        <v>198</v>
      </c>
      <c r="R25" s="42" t="n">
        <f aca="false">R24+IF(N(Q25)&gt;0,1,0)</f>
        <v>21</v>
      </c>
    </row>
    <row r="26" customFormat="false" ht="15" hidden="false" customHeight="false" outlineLevel="0" collapsed="false">
      <c r="A26" s="36" t="n">
        <f aca="false">IF(B26="","",ROW()-4)</f>
        <v>22</v>
      </c>
      <c r="B26" s="37" t="s">
        <v>142</v>
      </c>
      <c r="C26" s="37" t="s">
        <v>144</v>
      </c>
      <c r="D26" s="38" t="s">
        <v>117</v>
      </c>
      <c r="E26" s="39" t="n">
        <v>1</v>
      </c>
      <c r="F26" s="39" t="n">
        <v>16</v>
      </c>
      <c r="G26" s="39"/>
      <c r="H26" s="38" t="s">
        <v>111</v>
      </c>
      <c r="I26" s="37"/>
      <c r="J26" s="40" t="str">
        <f aca="false">IF(B26="","",IFERROR(INDEX(cg_ID,MATCH(B26,cg_Name,0)),"Not on roster"))</f>
        <v>CG-1012</v>
      </c>
      <c r="K26" s="40" t="str">
        <f aca="false">IF(C26="","",IFERROR(INDEX(cl_ID,MATCH(C26,cl_Name,0)),"Not on roster"))</f>
        <v>CL-2013</v>
      </c>
      <c r="L26" s="28" t="n">
        <f aca="false">IF(OR(B26="",D26=""),"",IFERROR(INDEX(rt_Rate,MATCH(D26,rt_Code,0)),0))</f>
        <v>5.1</v>
      </c>
      <c r="M26" s="28" t="n">
        <f aca="false">IF(OR(B26="",D26=""),"",ROUND(N(F26)*L26,2))</f>
        <v>81.6</v>
      </c>
      <c r="N26" s="41" t="n">
        <f aca="false">IF(B26="","",ROUND(N(G26)*MileRate,2))</f>
        <v>0</v>
      </c>
      <c r="O26" s="28" t="n">
        <f aca="false">IF(B26="","",N(M26)+N26)</f>
        <v>81.6</v>
      </c>
      <c r="P26" s="40" t="str">
        <f aca="false">IF(B26="","",IF(INDEX(vc_Result,ROW()-4)="OK","OK",IF(H26="Hold","On hold",INDEX(vc_Result,ROW()-4))))</f>
        <v>OK</v>
      </c>
      <c r="Q26" s="28" t="n">
        <f aca="false">IF(B26="","",IF(H26="Pay",O26,0))</f>
        <v>81.6</v>
      </c>
      <c r="R26" s="42" t="n">
        <f aca="false">R25+IF(N(Q26)&gt;0,1,0)</f>
        <v>22</v>
      </c>
    </row>
    <row r="27" customFormat="false" ht="15" hidden="false" customHeight="false" outlineLevel="0" collapsed="false">
      <c r="A27" s="36" t="n">
        <f aca="false">IF(B27="","",ROW()-4)</f>
        <v>23</v>
      </c>
      <c r="B27" s="37" t="s">
        <v>145</v>
      </c>
      <c r="C27" s="37" t="s">
        <v>146</v>
      </c>
      <c r="D27" s="38" t="s">
        <v>117</v>
      </c>
      <c r="E27" s="39" t="n">
        <v>2</v>
      </c>
      <c r="F27" s="39" t="n">
        <v>42</v>
      </c>
      <c r="G27" s="39"/>
      <c r="H27" s="38" t="s">
        <v>111</v>
      </c>
      <c r="I27" s="37"/>
      <c r="J27" s="40" t="str">
        <f aca="false">IF(B27="","",IFERROR(INDEX(cg_ID,MATCH(B27,cg_Name,0)),"Not on roster"))</f>
        <v>CG-1001</v>
      </c>
      <c r="K27" s="40" t="str">
        <f aca="false">IF(C27="","",IFERROR(INDEX(cl_ID,MATCH(C27,cl_Name,0)),"Not on roster"))</f>
        <v>CL-2054</v>
      </c>
      <c r="L27" s="28" t="n">
        <f aca="false">IF(OR(B27="",D27=""),"",IFERROR(INDEX(rt_Rate,MATCH(D27,rt_Code,0)),0))</f>
        <v>5.1</v>
      </c>
      <c r="M27" s="28" t="n">
        <f aca="false">IF(OR(B27="",D27=""),"",ROUND(N(F27)*L27,2))</f>
        <v>214.2</v>
      </c>
      <c r="N27" s="41" t="n">
        <f aca="false">IF(B27="","",ROUND(N(G27)*MileRate,2))</f>
        <v>0</v>
      </c>
      <c r="O27" s="28" t="n">
        <f aca="false">IF(B27="","",N(M27)+N27)</f>
        <v>214.2</v>
      </c>
      <c r="P27" s="40" t="str">
        <f aca="false">IF(B27="","",IF(INDEX(vc_Result,ROW()-4)="OK","OK",IF(H27="Hold","On hold",INDEX(vc_Result,ROW()-4))))</f>
        <v>OK</v>
      </c>
      <c r="Q27" s="28" t="n">
        <f aca="false">IF(B27="","",IF(H27="Pay",O27,0))</f>
        <v>214.2</v>
      </c>
      <c r="R27" s="42" t="n">
        <f aca="false">R26+IF(N(Q27)&gt;0,1,0)</f>
        <v>23</v>
      </c>
    </row>
    <row r="28" customFormat="false" ht="15" hidden="false" customHeight="false" outlineLevel="0" collapsed="false">
      <c r="A28" s="36" t="n">
        <f aca="false">IF(B28="","",ROW()-4)</f>
        <v>24</v>
      </c>
      <c r="B28" s="37" t="s">
        <v>145</v>
      </c>
      <c r="C28" s="37" t="s">
        <v>147</v>
      </c>
      <c r="D28" s="38" t="s">
        <v>110</v>
      </c>
      <c r="E28" s="39" t="n">
        <v>4</v>
      </c>
      <c r="F28" s="39" t="n">
        <v>44</v>
      </c>
      <c r="G28" s="39"/>
      <c r="H28" s="38" t="s">
        <v>111</v>
      </c>
      <c r="I28" s="37"/>
      <c r="J28" s="40" t="str">
        <f aca="false">IF(B28="","",IFERROR(INDEX(cg_ID,MATCH(B28,cg_Name,0)),"Not on roster"))</f>
        <v>CG-1001</v>
      </c>
      <c r="K28" s="40" t="str">
        <f aca="false">IF(C28="","",IFERROR(INDEX(cl_ID,MATCH(C28,cl_Name,0)),"Not on roster"))</f>
        <v>CL-2020</v>
      </c>
      <c r="L28" s="28" t="n">
        <f aca="false">IF(OR(B28="",D28=""),"",IFERROR(INDEX(rt_Rate,MATCH(D28,rt_Code,0)),0))</f>
        <v>4.25</v>
      </c>
      <c r="M28" s="28" t="n">
        <f aca="false">IF(OR(B28="",D28=""),"",ROUND(N(F28)*L28,2))</f>
        <v>187</v>
      </c>
      <c r="N28" s="41" t="n">
        <f aca="false">IF(B28="","",ROUND(N(G28)*MileRate,2))</f>
        <v>0</v>
      </c>
      <c r="O28" s="28" t="n">
        <f aca="false">IF(B28="","",N(M28)+N28)</f>
        <v>187</v>
      </c>
      <c r="P28" s="40" t="str">
        <f aca="false">IF(B28="","",IF(INDEX(vc_Result,ROW()-4)="OK","OK",IF(H28="Hold","On hold",INDEX(vc_Result,ROW()-4))))</f>
        <v>OK</v>
      </c>
      <c r="Q28" s="28" t="n">
        <f aca="false">IF(B28="","",IF(H28="Pay",O28,0))</f>
        <v>187</v>
      </c>
      <c r="R28" s="42" t="n">
        <f aca="false">R27+IF(N(Q28)&gt;0,1,0)</f>
        <v>24</v>
      </c>
    </row>
    <row r="29" customFormat="false" ht="15" hidden="false" customHeight="false" outlineLevel="0" collapsed="false">
      <c r="A29" s="36" t="n">
        <f aca="false">IF(B29="","",ROW()-4)</f>
        <v>25</v>
      </c>
      <c r="B29" s="37" t="s">
        <v>148</v>
      </c>
      <c r="C29" s="37" t="s">
        <v>149</v>
      </c>
      <c r="D29" s="38" t="s">
        <v>110</v>
      </c>
      <c r="E29" s="39" t="n">
        <v>2</v>
      </c>
      <c r="F29" s="39" t="n">
        <v>22</v>
      </c>
      <c r="G29" s="39" t="n">
        <v>9</v>
      </c>
      <c r="H29" s="38" t="s">
        <v>111</v>
      </c>
      <c r="I29" s="37"/>
      <c r="J29" s="40" t="str">
        <f aca="false">IF(B29="","",IFERROR(INDEX(cg_ID,MATCH(B29,cg_Name,0)),"Not on roster"))</f>
        <v>CG-1019</v>
      </c>
      <c r="K29" s="40" t="str">
        <f aca="false">IF(C29="","",IFERROR(INDEX(cl_ID,MATCH(C29,cl_Name,0)),"Not on roster"))</f>
        <v>CL-2016</v>
      </c>
      <c r="L29" s="28" t="n">
        <f aca="false">IF(OR(B29="",D29=""),"",IFERROR(INDEX(rt_Rate,MATCH(D29,rt_Code,0)),0))</f>
        <v>4.25</v>
      </c>
      <c r="M29" s="28" t="n">
        <f aca="false">IF(OR(B29="",D29=""),"",ROUND(N(F29)*L29,2))</f>
        <v>93.5</v>
      </c>
      <c r="N29" s="41" t="n">
        <f aca="false">IF(B29="","",ROUND(N(G29)*MileRate,2))</f>
        <v>5.58</v>
      </c>
      <c r="O29" s="28" t="n">
        <f aca="false">IF(B29="","",N(M29)+N29)</f>
        <v>99.08</v>
      </c>
      <c r="P29" s="40" t="str">
        <f aca="false">IF(B29="","",IF(INDEX(vc_Result,ROW()-4)="OK","OK",IF(H29="Hold","On hold",INDEX(vc_Result,ROW()-4))))</f>
        <v>OK</v>
      </c>
      <c r="Q29" s="28" t="n">
        <f aca="false">IF(B29="","",IF(H29="Pay",O29,0))</f>
        <v>99.08</v>
      </c>
      <c r="R29" s="42" t="n">
        <f aca="false">R28+IF(N(Q29)&gt;0,1,0)</f>
        <v>25</v>
      </c>
    </row>
    <row r="30" customFormat="false" ht="15" hidden="false" customHeight="false" outlineLevel="0" collapsed="false">
      <c r="A30" s="36" t="n">
        <f aca="false">IF(B30="","",ROW()-4)</f>
        <v>26</v>
      </c>
      <c r="B30" s="37" t="s">
        <v>150</v>
      </c>
      <c r="C30" s="37" t="s">
        <v>132</v>
      </c>
      <c r="D30" s="38" t="s">
        <v>133</v>
      </c>
      <c r="E30" s="39" t="n">
        <v>5</v>
      </c>
      <c r="F30" s="39" t="n">
        <v>52</v>
      </c>
      <c r="G30" s="39"/>
      <c r="H30" s="38" t="s">
        <v>111</v>
      </c>
      <c r="I30" s="37"/>
      <c r="J30" s="40" t="str">
        <f aca="false">IF(B30="","",IFERROR(INDEX(cg_ID,MATCH(B30,cg_Name,0)),"Not on roster"))</f>
        <v>CG-1043</v>
      </c>
      <c r="K30" s="40" t="str">
        <f aca="false">IF(C30="","",IFERROR(INDEX(cl_ID,MATCH(C30,cl_Name,0)),"Not on roster"))</f>
        <v>CL-2022</v>
      </c>
      <c r="L30" s="28" t="n">
        <f aca="false">IF(OR(B30="",D30=""),"",IFERROR(INDEX(rt_Rate,MATCH(D30,rt_Code,0)),0))</f>
        <v>4.6</v>
      </c>
      <c r="M30" s="28" t="n">
        <f aca="false">IF(OR(B30="",D30=""),"",ROUND(N(F30)*L30,2))</f>
        <v>239.2</v>
      </c>
      <c r="N30" s="41" t="n">
        <f aca="false">IF(B30="","",ROUND(N(G30)*MileRate,2))</f>
        <v>0</v>
      </c>
      <c r="O30" s="28" t="n">
        <f aca="false">IF(B30="","",N(M30)+N30)</f>
        <v>239.2</v>
      </c>
      <c r="P30" s="40" t="str">
        <f aca="false">IF(B30="","",IF(INDEX(vc_Result,ROW()-4)="OK","OK",IF(H30="Hold","On hold",INDEX(vc_Result,ROW()-4))))</f>
        <v>OK</v>
      </c>
      <c r="Q30" s="28" t="n">
        <f aca="false">IF(B30="","",IF(H30="Pay",O30,0))</f>
        <v>239.2</v>
      </c>
      <c r="R30" s="42" t="n">
        <f aca="false">R29+IF(N(Q30)&gt;0,1,0)</f>
        <v>26</v>
      </c>
    </row>
    <row r="31" customFormat="false" ht="15" hidden="false" customHeight="false" outlineLevel="0" collapsed="false">
      <c r="A31" s="36" t="n">
        <f aca="false">IF(B31="","",ROW()-4)</f>
        <v>27</v>
      </c>
      <c r="B31" s="37" t="s">
        <v>151</v>
      </c>
      <c r="C31" s="37" t="s">
        <v>152</v>
      </c>
      <c r="D31" s="38" t="s">
        <v>113</v>
      </c>
      <c r="E31" s="39" t="n">
        <v>3</v>
      </c>
      <c r="F31" s="39" t="n">
        <v>28</v>
      </c>
      <c r="G31" s="39"/>
      <c r="H31" s="38" t="s">
        <v>111</v>
      </c>
      <c r="I31" s="37"/>
      <c r="J31" s="40" t="str">
        <f aca="false">IF(B31="","",IFERROR(INDEX(cg_ID,MATCH(B31,cg_Name,0)),"Not on roster"))</f>
        <v>CG-1025</v>
      </c>
      <c r="K31" s="40" t="str">
        <f aca="false">IF(C31="","",IFERROR(INDEX(cl_ID,MATCH(C31,cl_Name,0)),"Not on roster"))</f>
        <v>CL-2014</v>
      </c>
      <c r="L31" s="28" t="n">
        <f aca="false">IF(OR(B31="",D31=""),"",IFERROR(INDEX(rt_Rate,MATCH(D31,rt_Code,0)),0))</f>
        <v>5.5</v>
      </c>
      <c r="M31" s="28" t="n">
        <f aca="false">IF(OR(B31="",D31=""),"",ROUND(N(F31)*L31,2))</f>
        <v>154</v>
      </c>
      <c r="N31" s="41" t="n">
        <f aca="false">IF(B31="","",ROUND(N(G31)*MileRate,2))</f>
        <v>0</v>
      </c>
      <c r="O31" s="28" t="n">
        <f aca="false">IF(B31="","",N(M31)+N31)</f>
        <v>154</v>
      </c>
      <c r="P31" s="40" t="str">
        <f aca="false">IF(B31="","",IF(INDEX(vc_Result,ROW()-4)="OK","OK",IF(H31="Hold","On hold",INDEX(vc_Result,ROW()-4))))</f>
        <v>OK</v>
      </c>
      <c r="Q31" s="28" t="n">
        <f aca="false">IF(B31="","",IF(H31="Pay",O31,0))</f>
        <v>154</v>
      </c>
      <c r="R31" s="42" t="n">
        <f aca="false">R30+IF(N(Q31)&gt;0,1,0)</f>
        <v>27</v>
      </c>
    </row>
    <row r="32" customFormat="false" ht="15" hidden="false" customHeight="false" outlineLevel="0" collapsed="false">
      <c r="A32" s="36" t="n">
        <f aca="false">IF(B32="","",ROW()-4)</f>
        <v>28</v>
      </c>
      <c r="B32" s="37" t="s">
        <v>151</v>
      </c>
      <c r="C32" s="37" t="s">
        <v>123</v>
      </c>
      <c r="D32" s="38" t="s">
        <v>113</v>
      </c>
      <c r="E32" s="39" t="n">
        <v>2</v>
      </c>
      <c r="F32" s="39" t="n">
        <v>22</v>
      </c>
      <c r="G32" s="39" t="n">
        <v>6</v>
      </c>
      <c r="H32" s="38" t="s">
        <v>111</v>
      </c>
      <c r="I32" s="37"/>
      <c r="J32" s="40" t="str">
        <f aca="false">IF(B32="","",IFERROR(INDEX(cg_ID,MATCH(B32,cg_Name,0)),"Not on roster"))</f>
        <v>CG-1025</v>
      </c>
      <c r="K32" s="40" t="str">
        <f aca="false">IF(C32="","",IFERROR(INDEX(cl_ID,MATCH(C32,cl_Name,0)),"Not on roster"))</f>
        <v>CL-2042</v>
      </c>
      <c r="L32" s="28" t="n">
        <f aca="false">IF(OR(B32="",D32=""),"",IFERROR(INDEX(rt_Rate,MATCH(D32,rt_Code,0)),0))</f>
        <v>5.5</v>
      </c>
      <c r="M32" s="28" t="n">
        <f aca="false">IF(OR(B32="",D32=""),"",ROUND(N(F32)*L32,2))</f>
        <v>121</v>
      </c>
      <c r="N32" s="41" t="n">
        <f aca="false">IF(B32="","",ROUND(N(G32)*MileRate,2))</f>
        <v>3.72</v>
      </c>
      <c r="O32" s="28" t="n">
        <f aca="false">IF(B32="","",N(M32)+N32)</f>
        <v>124.72</v>
      </c>
      <c r="P32" s="40" t="str">
        <f aca="false">IF(B32="","",IF(INDEX(vc_Result,ROW()-4)="OK","OK",IF(H32="Hold","On hold",INDEX(vc_Result,ROW()-4))))</f>
        <v>OK</v>
      </c>
      <c r="Q32" s="28" t="n">
        <f aca="false">IF(B32="","",IF(H32="Pay",O32,0))</f>
        <v>124.72</v>
      </c>
      <c r="R32" s="42" t="n">
        <f aca="false">R31+IF(N(Q32)&gt;0,1,0)</f>
        <v>28</v>
      </c>
    </row>
    <row r="33" customFormat="false" ht="15" hidden="false" customHeight="false" outlineLevel="0" collapsed="false">
      <c r="A33" s="36" t="n">
        <f aca="false">IF(B33="","",ROW()-4)</f>
        <v>29</v>
      </c>
      <c r="B33" s="37" t="s">
        <v>151</v>
      </c>
      <c r="C33" s="37" t="s">
        <v>153</v>
      </c>
      <c r="D33" s="38" t="s">
        <v>117</v>
      </c>
      <c r="E33" s="39" t="n">
        <v>2</v>
      </c>
      <c r="F33" s="39" t="n">
        <v>54</v>
      </c>
      <c r="G33" s="39"/>
      <c r="H33" s="38" t="s">
        <v>111</v>
      </c>
      <c r="I33" s="37"/>
      <c r="J33" s="40" t="str">
        <f aca="false">IF(B33="","",IFERROR(INDEX(cg_ID,MATCH(B33,cg_Name,0)),"Not on roster"))</f>
        <v>CG-1025</v>
      </c>
      <c r="K33" s="40" t="str">
        <f aca="false">IF(C33="","",IFERROR(INDEX(cl_ID,MATCH(C33,cl_Name,0)),"Not on roster"))</f>
        <v>CL-2027</v>
      </c>
      <c r="L33" s="28" t="n">
        <f aca="false">IF(OR(B33="",D33=""),"",IFERROR(INDEX(rt_Rate,MATCH(D33,rt_Code,0)),0))</f>
        <v>5.1</v>
      </c>
      <c r="M33" s="28" t="n">
        <f aca="false">IF(OR(B33="",D33=""),"",ROUND(N(F33)*L33,2))</f>
        <v>275.4</v>
      </c>
      <c r="N33" s="41" t="n">
        <f aca="false">IF(B33="","",ROUND(N(G33)*MileRate,2))</f>
        <v>0</v>
      </c>
      <c r="O33" s="28" t="n">
        <f aca="false">IF(B33="","",N(M33)+N33)</f>
        <v>275.4</v>
      </c>
      <c r="P33" s="40" t="str">
        <f aca="false">IF(B33="","",IF(INDEX(vc_Result,ROW()-4)="OK","OK",IF(H33="Hold","On hold",INDEX(vc_Result,ROW()-4))))</f>
        <v>OK</v>
      </c>
      <c r="Q33" s="28" t="n">
        <f aca="false">IF(B33="","",IF(H33="Pay",O33,0))</f>
        <v>275.4</v>
      </c>
      <c r="R33" s="42" t="n">
        <f aca="false">R32+IF(N(Q33)&gt;0,1,0)</f>
        <v>29</v>
      </c>
    </row>
    <row r="34" customFormat="false" ht="15" hidden="false" customHeight="false" outlineLevel="0" collapsed="false">
      <c r="A34" s="36" t="n">
        <f aca="false">IF(B34="","",ROW()-4)</f>
        <v>30</v>
      </c>
      <c r="B34" s="37" t="s">
        <v>154</v>
      </c>
      <c r="C34" s="37" t="s">
        <v>136</v>
      </c>
      <c r="D34" s="38" t="s">
        <v>113</v>
      </c>
      <c r="E34" s="39" t="n">
        <v>4</v>
      </c>
      <c r="F34" s="39" t="n">
        <v>44</v>
      </c>
      <c r="G34" s="39" t="n">
        <v>22</v>
      </c>
      <c r="H34" s="38" t="s">
        <v>111</v>
      </c>
      <c r="I34" s="37"/>
      <c r="J34" s="40" t="str">
        <f aca="false">IF(B34="","",IFERROR(INDEX(cg_ID,MATCH(B34,cg_Name,0)),"Not on roster"))</f>
        <v>CG-1032</v>
      </c>
      <c r="K34" s="40" t="str">
        <f aca="false">IF(C34="","",IFERROR(INDEX(cl_ID,MATCH(C34,cl_Name,0)),"Not on roster"))</f>
        <v>CL-2032</v>
      </c>
      <c r="L34" s="28" t="n">
        <f aca="false">IF(OR(B34="",D34=""),"",IFERROR(INDEX(rt_Rate,MATCH(D34,rt_Code,0)),0))</f>
        <v>5.5</v>
      </c>
      <c r="M34" s="28" t="n">
        <f aca="false">IF(OR(B34="",D34=""),"",ROUND(N(F34)*L34,2))</f>
        <v>242</v>
      </c>
      <c r="N34" s="41" t="n">
        <f aca="false">IF(B34="","",ROUND(N(G34)*MileRate,2))</f>
        <v>13.64</v>
      </c>
      <c r="O34" s="28" t="n">
        <f aca="false">IF(B34="","",N(M34)+N34)</f>
        <v>255.64</v>
      </c>
      <c r="P34" s="40" t="str">
        <f aca="false">IF(B34="","",IF(INDEX(vc_Result,ROW()-4)="OK","OK",IF(H34="Hold","On hold",INDEX(vc_Result,ROW()-4))))</f>
        <v>OK</v>
      </c>
      <c r="Q34" s="28" t="n">
        <f aca="false">IF(B34="","",IF(H34="Pay",O34,0))</f>
        <v>255.64</v>
      </c>
      <c r="R34" s="42" t="n">
        <f aca="false">R33+IF(N(Q34)&gt;0,1,0)</f>
        <v>30</v>
      </c>
    </row>
    <row r="35" customFormat="false" ht="15" hidden="false" customHeight="false" outlineLevel="0" collapsed="false">
      <c r="A35" s="36" t="n">
        <f aca="false">IF(B35="","",ROW()-4)</f>
        <v>31</v>
      </c>
      <c r="B35" s="37" t="s">
        <v>154</v>
      </c>
      <c r="C35" s="37" t="s">
        <v>155</v>
      </c>
      <c r="D35" s="38" t="s">
        <v>113</v>
      </c>
      <c r="E35" s="39" t="n">
        <v>4</v>
      </c>
      <c r="F35" s="39" t="n">
        <v>54</v>
      </c>
      <c r="G35" s="39"/>
      <c r="H35" s="38" t="s">
        <v>111</v>
      </c>
      <c r="I35" s="37"/>
      <c r="J35" s="40" t="str">
        <f aca="false">IF(B35="","",IFERROR(INDEX(cg_ID,MATCH(B35,cg_Name,0)),"Not on roster"))</f>
        <v>CG-1032</v>
      </c>
      <c r="K35" s="40" t="str">
        <f aca="false">IF(C35="","",IFERROR(INDEX(cl_ID,MATCH(C35,cl_Name,0)),"Not on roster"))</f>
        <v>CL-2043</v>
      </c>
      <c r="L35" s="28" t="n">
        <f aca="false">IF(OR(B35="",D35=""),"",IFERROR(INDEX(rt_Rate,MATCH(D35,rt_Code,0)),0))</f>
        <v>5.5</v>
      </c>
      <c r="M35" s="28" t="n">
        <f aca="false">IF(OR(B35="",D35=""),"",ROUND(N(F35)*L35,2))</f>
        <v>297</v>
      </c>
      <c r="N35" s="41" t="n">
        <f aca="false">IF(B35="","",ROUND(N(G35)*MileRate,2))</f>
        <v>0</v>
      </c>
      <c r="O35" s="28" t="n">
        <f aca="false">IF(B35="","",N(M35)+N35)</f>
        <v>297</v>
      </c>
      <c r="P35" s="40" t="str">
        <f aca="false">IF(B35="","",IF(INDEX(vc_Result,ROW()-4)="OK","OK",IF(H35="Hold","On hold",INDEX(vc_Result,ROW()-4))))</f>
        <v>OK</v>
      </c>
      <c r="Q35" s="28" t="n">
        <f aca="false">IF(B35="","",IF(H35="Pay",O35,0))</f>
        <v>297</v>
      </c>
      <c r="R35" s="42" t="n">
        <f aca="false">R34+IF(N(Q35)&gt;0,1,0)</f>
        <v>31</v>
      </c>
    </row>
    <row r="36" customFormat="false" ht="15" hidden="false" customHeight="false" outlineLevel="0" collapsed="false">
      <c r="A36" s="36" t="n">
        <f aca="false">IF(B36="","",ROW()-4)</f>
        <v>32</v>
      </c>
      <c r="B36" s="37" t="s">
        <v>156</v>
      </c>
      <c r="C36" s="37" t="s">
        <v>152</v>
      </c>
      <c r="D36" s="38" t="s">
        <v>157</v>
      </c>
      <c r="E36" s="39" t="n">
        <v>1</v>
      </c>
      <c r="F36" s="39" t="n">
        <v>1</v>
      </c>
      <c r="G36" s="39" t="n">
        <v>7</v>
      </c>
      <c r="H36" s="38" t="s">
        <v>111</v>
      </c>
      <c r="I36" s="37"/>
      <c r="J36" s="40" t="str">
        <f aca="false">IF(B36="","",IFERROR(INDEX(cg_ID,MATCH(B36,cg_Name,0)),"Not on roster"))</f>
        <v>CG-1015</v>
      </c>
      <c r="K36" s="40" t="str">
        <f aca="false">IF(C36="","",IFERROR(INDEX(cl_ID,MATCH(C36,cl_Name,0)),"Not on roster"))</f>
        <v>CL-2014</v>
      </c>
      <c r="L36" s="28" t="n">
        <f aca="false">IF(OR(B36="",D36=""),"",IFERROR(INDEX(rt_Rate,MATCH(D36,rt_Code,0)),0))</f>
        <v>62</v>
      </c>
      <c r="M36" s="28" t="n">
        <f aca="false">IF(OR(B36="",D36=""),"",ROUND(N(F36)*L36,2))</f>
        <v>62</v>
      </c>
      <c r="N36" s="41" t="n">
        <f aca="false">IF(B36="","",ROUND(N(G36)*MileRate,2))</f>
        <v>4.34</v>
      </c>
      <c r="O36" s="28" t="n">
        <f aca="false">IF(B36="","",N(M36)+N36)</f>
        <v>66.34</v>
      </c>
      <c r="P36" s="40" t="str">
        <f aca="false">IF(B36="","",IF(INDEX(vc_Result,ROW()-4)="OK","OK",IF(H36="Hold","On hold",INDEX(vc_Result,ROW()-4))))</f>
        <v>OK</v>
      </c>
      <c r="Q36" s="28" t="n">
        <f aca="false">IF(B36="","",IF(H36="Pay",O36,0))</f>
        <v>66.34</v>
      </c>
      <c r="R36" s="42" t="n">
        <f aca="false">R35+IF(N(Q36)&gt;0,1,0)</f>
        <v>32</v>
      </c>
    </row>
    <row r="37" customFormat="false" ht="15" hidden="false" customHeight="false" outlineLevel="0" collapsed="false">
      <c r="A37" s="36" t="n">
        <f aca="false">IF(B37="","",ROW()-4)</f>
        <v>33</v>
      </c>
      <c r="B37" s="37" t="s">
        <v>158</v>
      </c>
      <c r="C37" s="37" t="s">
        <v>159</v>
      </c>
      <c r="D37" s="38" t="s">
        <v>113</v>
      </c>
      <c r="E37" s="39" t="n">
        <v>5</v>
      </c>
      <c r="F37" s="39" t="n">
        <v>58</v>
      </c>
      <c r="G37" s="39" t="n">
        <v>22</v>
      </c>
      <c r="H37" s="38" t="s">
        <v>111</v>
      </c>
      <c r="I37" s="37"/>
      <c r="J37" s="40" t="str">
        <f aca="false">IF(B37="","",IFERROR(INDEX(cg_ID,MATCH(B37,cg_Name,0)),"Not on roster"))</f>
        <v>CG-1005</v>
      </c>
      <c r="K37" s="40" t="str">
        <f aca="false">IF(C37="","",IFERROR(INDEX(cl_ID,MATCH(C37,cl_Name,0)),"Not on roster"))</f>
        <v>CL-2007</v>
      </c>
      <c r="L37" s="28" t="n">
        <f aca="false">IF(OR(B37="",D37=""),"",IFERROR(INDEX(rt_Rate,MATCH(D37,rt_Code,0)),0))</f>
        <v>5.5</v>
      </c>
      <c r="M37" s="28" t="n">
        <f aca="false">IF(OR(B37="",D37=""),"",ROUND(N(F37)*L37,2))</f>
        <v>319</v>
      </c>
      <c r="N37" s="41" t="n">
        <f aca="false">IF(B37="","",ROUND(N(G37)*MileRate,2))</f>
        <v>13.64</v>
      </c>
      <c r="O37" s="28" t="n">
        <f aca="false">IF(B37="","",N(M37)+N37)</f>
        <v>332.64</v>
      </c>
      <c r="P37" s="40" t="str">
        <f aca="false">IF(B37="","",IF(INDEX(vc_Result,ROW()-4)="OK","OK",IF(H37="Hold","On hold",INDEX(vc_Result,ROW()-4))))</f>
        <v>OK</v>
      </c>
      <c r="Q37" s="28" t="n">
        <f aca="false">IF(B37="","",IF(H37="Pay",O37,0))</f>
        <v>332.64</v>
      </c>
      <c r="R37" s="42" t="n">
        <f aca="false">R36+IF(N(Q37)&gt;0,1,0)</f>
        <v>33</v>
      </c>
    </row>
    <row r="38" customFormat="false" ht="15" hidden="false" customHeight="false" outlineLevel="0" collapsed="false">
      <c r="A38" s="36" t="n">
        <f aca="false">IF(B38="","",ROW()-4)</f>
        <v>34</v>
      </c>
      <c r="B38" s="37" t="s">
        <v>160</v>
      </c>
      <c r="C38" s="37" t="s">
        <v>161</v>
      </c>
      <c r="D38" s="38" t="s">
        <v>110</v>
      </c>
      <c r="E38" s="39" t="n">
        <v>5</v>
      </c>
      <c r="F38" s="39" t="n">
        <v>58</v>
      </c>
      <c r="G38" s="39" t="n">
        <v>4</v>
      </c>
      <c r="H38" s="38" t="s">
        <v>111</v>
      </c>
      <c r="I38" s="37"/>
      <c r="J38" s="40" t="str">
        <f aca="false">IF(B38="","",IFERROR(INDEX(cg_ID,MATCH(B38,cg_Name,0)),"Not on roster"))</f>
        <v>CG-1014</v>
      </c>
      <c r="K38" s="40" t="str">
        <f aca="false">IF(C38="","",IFERROR(INDEX(cl_ID,MATCH(C38,cl_Name,0)),"Not on roster"))</f>
        <v>CL-2051</v>
      </c>
      <c r="L38" s="28" t="n">
        <f aca="false">IF(OR(B38="",D38=""),"",IFERROR(INDEX(rt_Rate,MATCH(D38,rt_Code,0)),0))</f>
        <v>4.25</v>
      </c>
      <c r="M38" s="28" t="n">
        <f aca="false">IF(OR(B38="",D38=""),"",ROUND(N(F38)*L38,2))</f>
        <v>246.5</v>
      </c>
      <c r="N38" s="41" t="n">
        <f aca="false">IF(B38="","",ROUND(N(G38)*MileRate,2))</f>
        <v>2.48</v>
      </c>
      <c r="O38" s="28" t="n">
        <f aca="false">IF(B38="","",N(M38)+N38)</f>
        <v>248.98</v>
      </c>
      <c r="P38" s="40" t="str">
        <f aca="false">IF(B38="","",IF(INDEX(vc_Result,ROW()-4)="OK","OK",IF(H38="Hold","On hold",INDEX(vc_Result,ROW()-4))))</f>
        <v>OK</v>
      </c>
      <c r="Q38" s="28" t="n">
        <f aca="false">IF(B38="","",IF(H38="Pay",O38,0))</f>
        <v>248.98</v>
      </c>
      <c r="R38" s="42" t="n">
        <f aca="false">R37+IF(N(Q38)&gt;0,1,0)</f>
        <v>34</v>
      </c>
    </row>
    <row r="39" customFormat="false" ht="15" hidden="false" customHeight="false" outlineLevel="0" collapsed="false">
      <c r="A39" s="36" t="n">
        <f aca="false">IF(B39="","",ROW()-4)</f>
        <v>35</v>
      </c>
      <c r="B39" s="37" t="s">
        <v>162</v>
      </c>
      <c r="C39" s="37" t="s">
        <v>163</v>
      </c>
      <c r="D39" s="38" t="s">
        <v>133</v>
      </c>
      <c r="E39" s="39" t="n">
        <v>3</v>
      </c>
      <c r="F39" s="39" t="n">
        <v>26</v>
      </c>
      <c r="G39" s="39" t="n">
        <v>28</v>
      </c>
      <c r="H39" s="38" t="s">
        <v>164</v>
      </c>
      <c r="I39" s="37" t="s">
        <v>165</v>
      </c>
      <c r="J39" s="40" t="str">
        <f aca="false">IF(B39="","",IFERROR(INDEX(cg_ID,MATCH(B39,cg_Name,0)),"Not on roster"))</f>
        <v>CG-1004</v>
      </c>
      <c r="K39" s="40" t="str">
        <f aca="false">IF(C39="","",IFERROR(INDEX(cl_ID,MATCH(C39,cl_Name,0)),"Not on roster"))</f>
        <v>CL-2012</v>
      </c>
      <c r="L39" s="28" t="n">
        <f aca="false">IF(OR(B39="",D39=""),"",IFERROR(INDEX(rt_Rate,MATCH(D39,rt_Code,0)),0))</f>
        <v>4.6</v>
      </c>
      <c r="M39" s="28" t="n">
        <f aca="false">IF(OR(B39="",D39=""),"",ROUND(N(F39)*L39,2))</f>
        <v>119.6</v>
      </c>
      <c r="N39" s="41" t="n">
        <f aca="false">IF(B39="","",ROUND(N(G39)*MileRate,2))</f>
        <v>17.36</v>
      </c>
      <c r="O39" s="28" t="n">
        <f aca="false">IF(B39="","",N(M39)+N39)</f>
        <v>136.96</v>
      </c>
      <c r="P39" s="40" t="str">
        <f aca="false">IF(B39="","",IF(INDEX(vc_Result,ROW()-4)="OK","OK",IF(H39="Hold","On hold",INDEX(vc_Result,ROW()-4))))</f>
        <v>On hold</v>
      </c>
      <c r="Q39" s="28" t="n">
        <f aca="false">IF(B39="","",IF(H39="Pay",O39,0))</f>
        <v>0</v>
      </c>
      <c r="R39" s="42" t="n">
        <f aca="false">R38+IF(N(Q39)&gt;0,1,0)</f>
        <v>34</v>
      </c>
    </row>
    <row r="40" customFormat="false" ht="15" hidden="false" customHeight="false" outlineLevel="0" collapsed="false">
      <c r="A40" s="36" t="n">
        <f aca="false">IF(B40="","",ROW()-4)</f>
        <v>36</v>
      </c>
      <c r="B40" s="37" t="s">
        <v>166</v>
      </c>
      <c r="C40" s="37" t="s">
        <v>122</v>
      </c>
      <c r="D40" s="38" t="s">
        <v>133</v>
      </c>
      <c r="E40" s="39" t="n">
        <v>5</v>
      </c>
      <c r="F40" s="39" t="n">
        <v>46</v>
      </c>
      <c r="G40" s="39"/>
      <c r="H40" s="38" t="s">
        <v>111</v>
      </c>
      <c r="I40" s="37"/>
      <c r="J40" s="40" t="str">
        <f aca="false">IF(B40="","",IFERROR(INDEX(cg_ID,MATCH(B40,cg_Name,0)),"Not on roster"))</f>
        <v>CG-1021</v>
      </c>
      <c r="K40" s="40" t="str">
        <f aca="false">IF(C40="","",IFERROR(INDEX(cl_ID,MATCH(C40,cl_Name,0)),"Not on roster"))</f>
        <v>CL-2034</v>
      </c>
      <c r="L40" s="28" t="n">
        <f aca="false">IF(OR(B40="",D40=""),"",IFERROR(INDEX(rt_Rate,MATCH(D40,rt_Code,0)),0))</f>
        <v>4.6</v>
      </c>
      <c r="M40" s="28" t="n">
        <f aca="false">IF(OR(B40="",D40=""),"",ROUND(N(F40)*L40,2))</f>
        <v>211.6</v>
      </c>
      <c r="N40" s="41" t="n">
        <f aca="false">IF(B40="","",ROUND(N(G40)*MileRate,2))</f>
        <v>0</v>
      </c>
      <c r="O40" s="28" t="n">
        <f aca="false">IF(B40="","",N(M40)+N40)</f>
        <v>211.6</v>
      </c>
      <c r="P40" s="40" t="str">
        <f aca="false">IF(B40="","",IF(INDEX(vc_Result,ROW()-4)="OK","OK",IF(H40="Hold","On hold",INDEX(vc_Result,ROW()-4))))</f>
        <v>OK</v>
      </c>
      <c r="Q40" s="28" t="n">
        <f aca="false">IF(B40="","",IF(H40="Pay",O40,0))</f>
        <v>211.6</v>
      </c>
      <c r="R40" s="42" t="n">
        <f aca="false">R39+IF(N(Q40)&gt;0,1,0)</f>
        <v>35</v>
      </c>
    </row>
    <row r="41" customFormat="false" ht="15" hidden="false" customHeight="false" outlineLevel="0" collapsed="false">
      <c r="A41" s="36" t="n">
        <f aca="false">IF(B41="","",ROW()-4)</f>
        <v>37</v>
      </c>
      <c r="B41" s="37" t="s">
        <v>166</v>
      </c>
      <c r="C41" s="37" t="s">
        <v>153</v>
      </c>
      <c r="D41" s="38" t="s">
        <v>113</v>
      </c>
      <c r="E41" s="39" t="n">
        <v>4</v>
      </c>
      <c r="F41" s="39" t="n">
        <v>56</v>
      </c>
      <c r="G41" s="39"/>
      <c r="H41" s="38" t="s">
        <v>111</v>
      </c>
      <c r="I41" s="37"/>
      <c r="J41" s="40" t="str">
        <f aca="false">IF(B41="","",IFERROR(INDEX(cg_ID,MATCH(B41,cg_Name,0)),"Not on roster"))</f>
        <v>CG-1021</v>
      </c>
      <c r="K41" s="40" t="str">
        <f aca="false">IF(C41="","",IFERROR(INDEX(cl_ID,MATCH(C41,cl_Name,0)),"Not on roster"))</f>
        <v>CL-2027</v>
      </c>
      <c r="L41" s="28" t="n">
        <f aca="false">IF(OR(B41="",D41=""),"",IFERROR(INDEX(rt_Rate,MATCH(D41,rt_Code,0)),0))</f>
        <v>5.5</v>
      </c>
      <c r="M41" s="28" t="n">
        <f aca="false">IF(OR(B41="",D41=""),"",ROUND(N(F41)*L41,2))</f>
        <v>308</v>
      </c>
      <c r="N41" s="41" t="n">
        <f aca="false">IF(B41="","",ROUND(N(G41)*MileRate,2))</f>
        <v>0</v>
      </c>
      <c r="O41" s="28" t="n">
        <f aca="false">IF(B41="","",N(M41)+N41)</f>
        <v>308</v>
      </c>
      <c r="P41" s="40" t="str">
        <f aca="false">IF(B41="","",IF(INDEX(vc_Result,ROW()-4)="OK","OK",IF(H41="Hold","On hold",INDEX(vc_Result,ROW()-4))))</f>
        <v>OK</v>
      </c>
      <c r="Q41" s="28" t="n">
        <f aca="false">IF(B41="","",IF(H41="Pay",O41,0))</f>
        <v>308</v>
      </c>
      <c r="R41" s="42" t="n">
        <f aca="false">R40+IF(N(Q41)&gt;0,1,0)</f>
        <v>36</v>
      </c>
    </row>
    <row r="42" customFormat="false" ht="15" hidden="false" customHeight="false" outlineLevel="0" collapsed="false">
      <c r="A42" s="36" t="n">
        <f aca="false">IF(B42="","",ROW()-4)</f>
        <v>38</v>
      </c>
      <c r="B42" s="37" t="s">
        <v>167</v>
      </c>
      <c r="C42" s="37" t="s">
        <v>168</v>
      </c>
      <c r="D42" s="38" t="s">
        <v>113</v>
      </c>
      <c r="E42" s="39" t="n">
        <v>4</v>
      </c>
      <c r="F42" s="39" t="n">
        <v>42</v>
      </c>
      <c r="G42" s="39"/>
      <c r="H42" s="38" t="s">
        <v>111</v>
      </c>
      <c r="I42" s="37"/>
      <c r="J42" s="40" t="str">
        <f aca="false">IF(B42="","",IFERROR(INDEX(cg_ID,MATCH(B42,cg_Name,0)),"Not on roster"))</f>
        <v>CG-1022</v>
      </c>
      <c r="K42" s="40" t="str">
        <f aca="false">IF(C42="","",IFERROR(INDEX(cl_ID,MATCH(C42,cl_Name,0)),"Not on roster"))</f>
        <v>CL-2048</v>
      </c>
      <c r="L42" s="28" t="n">
        <f aca="false">IF(OR(B42="",D42=""),"",IFERROR(INDEX(rt_Rate,MATCH(D42,rt_Code,0)),0))</f>
        <v>5.5</v>
      </c>
      <c r="M42" s="28" t="n">
        <f aca="false">IF(OR(B42="",D42=""),"",ROUND(N(F42)*L42,2))</f>
        <v>231</v>
      </c>
      <c r="N42" s="41" t="n">
        <f aca="false">IF(B42="","",ROUND(N(G42)*MileRate,2))</f>
        <v>0</v>
      </c>
      <c r="O42" s="28" t="n">
        <f aca="false">IF(B42="","",N(M42)+N42)</f>
        <v>231</v>
      </c>
      <c r="P42" s="40" t="str">
        <f aca="false">IF(B42="","",IF(INDEX(vc_Result,ROW()-4)="OK","OK",IF(H42="Hold","On hold",INDEX(vc_Result,ROW()-4))))</f>
        <v>OK</v>
      </c>
      <c r="Q42" s="28" t="n">
        <f aca="false">IF(B42="","",IF(H42="Pay",O42,0))</f>
        <v>231</v>
      </c>
      <c r="R42" s="42" t="n">
        <f aca="false">R41+IF(N(Q42)&gt;0,1,0)</f>
        <v>37</v>
      </c>
    </row>
    <row r="43" customFormat="false" ht="15" hidden="false" customHeight="false" outlineLevel="0" collapsed="false">
      <c r="A43" s="36" t="n">
        <f aca="false">IF(B43="","",ROW()-4)</f>
        <v>39</v>
      </c>
      <c r="B43" s="37" t="s">
        <v>167</v>
      </c>
      <c r="C43" s="37" t="s">
        <v>118</v>
      </c>
      <c r="D43" s="38" t="s">
        <v>133</v>
      </c>
      <c r="E43" s="39" t="n">
        <v>3</v>
      </c>
      <c r="F43" s="39" t="n">
        <v>30</v>
      </c>
      <c r="G43" s="39"/>
      <c r="H43" s="38" t="s">
        <v>111</v>
      </c>
      <c r="I43" s="37"/>
      <c r="J43" s="40" t="str">
        <f aca="false">IF(B43="","",IFERROR(INDEX(cg_ID,MATCH(B43,cg_Name,0)),"Not on roster"))</f>
        <v>CG-1022</v>
      </c>
      <c r="K43" s="40" t="str">
        <f aca="false">IF(C43="","",IFERROR(INDEX(cl_ID,MATCH(C43,cl_Name,0)),"Not on roster"))</f>
        <v>CL-2006</v>
      </c>
      <c r="L43" s="28" t="n">
        <f aca="false">IF(OR(B43="",D43=""),"",IFERROR(INDEX(rt_Rate,MATCH(D43,rt_Code,0)),0))</f>
        <v>4.6</v>
      </c>
      <c r="M43" s="28" t="n">
        <f aca="false">IF(OR(B43="",D43=""),"",ROUND(N(F43)*L43,2))</f>
        <v>138</v>
      </c>
      <c r="N43" s="41" t="n">
        <f aca="false">IF(B43="","",ROUND(N(G43)*MileRate,2))</f>
        <v>0</v>
      </c>
      <c r="O43" s="28" t="n">
        <f aca="false">IF(B43="","",N(M43)+N43)</f>
        <v>138</v>
      </c>
      <c r="P43" s="40" t="str">
        <f aca="false">IF(B43="","",IF(INDEX(vc_Result,ROW()-4)="OK","OK",IF(H43="Hold","On hold",INDEX(vc_Result,ROW()-4))))</f>
        <v>OK</v>
      </c>
      <c r="Q43" s="28" t="n">
        <f aca="false">IF(B43="","",IF(H43="Pay",O43,0))</f>
        <v>138</v>
      </c>
      <c r="R43" s="42" t="n">
        <f aca="false">R42+IF(N(Q43)&gt;0,1,0)</f>
        <v>38</v>
      </c>
    </row>
    <row r="44" customFormat="false" ht="15" hidden="false" customHeight="false" outlineLevel="0" collapsed="false">
      <c r="A44" s="36" t="n">
        <f aca="false">IF(B44="","",ROW()-4)</f>
        <v>40</v>
      </c>
      <c r="B44" s="37" t="s">
        <v>169</v>
      </c>
      <c r="C44" s="37" t="s">
        <v>170</v>
      </c>
      <c r="D44" s="38" t="s">
        <v>113</v>
      </c>
      <c r="E44" s="39" t="n">
        <v>5</v>
      </c>
      <c r="F44" s="39" t="n">
        <v>62</v>
      </c>
      <c r="G44" s="39"/>
      <c r="H44" s="38" t="s">
        <v>111</v>
      </c>
      <c r="I44" s="37"/>
      <c r="J44" s="40" t="str">
        <f aca="false">IF(B44="","",IFERROR(INDEX(cg_ID,MATCH(B44,cg_Name,0)),"Not on roster"))</f>
        <v>CG-1003</v>
      </c>
      <c r="K44" s="40" t="str">
        <f aca="false">IF(C44="","",IFERROR(INDEX(cl_ID,MATCH(C44,cl_Name,0)),"Not on roster"))</f>
        <v>CL-2030</v>
      </c>
      <c r="L44" s="28" t="n">
        <f aca="false">IF(OR(B44="",D44=""),"",IFERROR(INDEX(rt_Rate,MATCH(D44,rt_Code,0)),0))</f>
        <v>5.5</v>
      </c>
      <c r="M44" s="28" t="n">
        <f aca="false">IF(OR(B44="",D44=""),"",ROUND(N(F44)*L44,2))</f>
        <v>341</v>
      </c>
      <c r="N44" s="41" t="n">
        <f aca="false">IF(B44="","",ROUND(N(G44)*MileRate,2))</f>
        <v>0</v>
      </c>
      <c r="O44" s="28" t="n">
        <f aca="false">IF(B44="","",N(M44)+N44)</f>
        <v>341</v>
      </c>
      <c r="P44" s="40" t="str">
        <f aca="false">IF(B44="","",IF(INDEX(vc_Result,ROW()-4)="OK","OK",IF(H44="Hold","On hold",INDEX(vc_Result,ROW()-4))))</f>
        <v>OK</v>
      </c>
      <c r="Q44" s="28" t="n">
        <f aca="false">IF(B44="","",IF(H44="Pay",O44,0))</f>
        <v>341</v>
      </c>
      <c r="R44" s="42" t="n">
        <f aca="false">R43+IF(N(Q44)&gt;0,1,0)</f>
        <v>39</v>
      </c>
    </row>
    <row r="45" customFormat="false" ht="15" hidden="false" customHeight="false" outlineLevel="0" collapsed="false">
      <c r="A45" s="36" t="n">
        <f aca="false">IF(B45="","",ROW()-4)</f>
        <v>41</v>
      </c>
      <c r="B45" s="37" t="s">
        <v>171</v>
      </c>
      <c r="C45" s="37" t="s">
        <v>172</v>
      </c>
      <c r="D45" s="38" t="s">
        <v>113</v>
      </c>
      <c r="E45" s="39" t="n">
        <v>5</v>
      </c>
      <c r="F45" s="39" t="n">
        <v>58</v>
      </c>
      <c r="G45" s="39"/>
      <c r="H45" s="38" t="s">
        <v>111</v>
      </c>
      <c r="I45" s="37"/>
      <c r="J45" s="40" t="str">
        <f aca="false">IF(B45="","",IFERROR(INDEX(cg_ID,MATCH(B45,cg_Name,0)),"Not on roster"))</f>
        <v>CG-1031</v>
      </c>
      <c r="K45" s="40" t="str">
        <f aca="false">IF(C45="","",IFERROR(INDEX(cl_ID,MATCH(C45,cl_Name,0)),"Not on roster"))</f>
        <v>CL-2008</v>
      </c>
      <c r="L45" s="28" t="n">
        <f aca="false">IF(OR(B45="",D45=""),"",IFERROR(INDEX(rt_Rate,MATCH(D45,rt_Code,0)),0))</f>
        <v>5.5</v>
      </c>
      <c r="M45" s="28" t="n">
        <f aca="false">IF(OR(B45="",D45=""),"",ROUND(N(F45)*L45,2))</f>
        <v>319</v>
      </c>
      <c r="N45" s="41" t="n">
        <f aca="false">IF(B45="","",ROUND(N(G45)*MileRate,2))</f>
        <v>0</v>
      </c>
      <c r="O45" s="28" t="n">
        <f aca="false">IF(B45="","",N(M45)+N45)</f>
        <v>319</v>
      </c>
      <c r="P45" s="40" t="str">
        <f aca="false">IF(B45="","",IF(INDEX(vc_Result,ROW()-4)="OK","OK",IF(H45="Hold","On hold",INDEX(vc_Result,ROW()-4))))</f>
        <v>OK</v>
      </c>
      <c r="Q45" s="28" t="n">
        <f aca="false">IF(B45="","",IF(H45="Pay",O45,0))</f>
        <v>319</v>
      </c>
      <c r="R45" s="42" t="n">
        <f aca="false">R44+IF(N(Q45)&gt;0,1,0)</f>
        <v>40</v>
      </c>
    </row>
    <row r="46" customFormat="false" ht="15" hidden="false" customHeight="false" outlineLevel="0" collapsed="false">
      <c r="A46" s="36" t="n">
        <f aca="false">IF(B46="","",ROW()-4)</f>
        <v>42</v>
      </c>
      <c r="B46" s="37" t="s">
        <v>173</v>
      </c>
      <c r="C46" s="37" t="s">
        <v>174</v>
      </c>
      <c r="D46" s="38" t="s">
        <v>133</v>
      </c>
      <c r="E46" s="39" t="n">
        <v>3</v>
      </c>
      <c r="F46" s="39" t="n">
        <v>30</v>
      </c>
      <c r="G46" s="39" t="n">
        <v>22</v>
      </c>
      <c r="H46" s="38" t="s">
        <v>111</v>
      </c>
      <c r="I46" s="37"/>
      <c r="J46" s="40" t="str">
        <f aca="false">IF(B46="","",IFERROR(INDEX(cg_ID,MATCH(B46,cg_Name,0)),"Not on roster"))</f>
        <v>CG-1018</v>
      </c>
      <c r="K46" s="40" t="str">
        <f aca="false">IF(C46="","",IFERROR(INDEX(cl_ID,MATCH(C46,cl_Name,0)),"Not on roster"))</f>
        <v>CL-2053</v>
      </c>
      <c r="L46" s="28" t="n">
        <f aca="false">IF(OR(B46="",D46=""),"",IFERROR(INDEX(rt_Rate,MATCH(D46,rt_Code,0)),0))</f>
        <v>4.6</v>
      </c>
      <c r="M46" s="28" t="n">
        <f aca="false">IF(OR(B46="",D46=""),"",ROUND(N(F46)*L46,2))</f>
        <v>138</v>
      </c>
      <c r="N46" s="41" t="n">
        <f aca="false">IF(B46="","",ROUND(N(G46)*MileRate,2))</f>
        <v>13.64</v>
      </c>
      <c r="O46" s="28" t="n">
        <f aca="false">IF(B46="","",N(M46)+N46)</f>
        <v>151.64</v>
      </c>
      <c r="P46" s="40" t="str">
        <f aca="false">IF(B46="","",IF(INDEX(vc_Result,ROW()-4)="OK","OK",IF(H46="Hold","On hold",INDEX(vc_Result,ROW()-4))))</f>
        <v>OK</v>
      </c>
      <c r="Q46" s="28" t="n">
        <f aca="false">IF(B46="","",IF(H46="Pay",O46,0))</f>
        <v>151.64</v>
      </c>
      <c r="R46" s="42" t="n">
        <f aca="false">R45+IF(N(Q46)&gt;0,1,0)</f>
        <v>41</v>
      </c>
    </row>
    <row r="47" customFormat="false" ht="15" hidden="false" customHeight="false" outlineLevel="0" collapsed="false">
      <c r="A47" s="36" t="n">
        <f aca="false">IF(B47="","",ROW()-4)</f>
        <v>43</v>
      </c>
      <c r="B47" s="37" t="s">
        <v>175</v>
      </c>
      <c r="C47" s="37" t="s">
        <v>161</v>
      </c>
      <c r="D47" s="38" t="s">
        <v>110</v>
      </c>
      <c r="E47" s="39" t="n">
        <v>2</v>
      </c>
      <c r="F47" s="39" t="n">
        <v>28</v>
      </c>
      <c r="G47" s="39"/>
      <c r="H47" s="38" t="s">
        <v>111</v>
      </c>
      <c r="I47" s="37"/>
      <c r="J47" s="40" t="str">
        <f aca="false">IF(B47="","",IFERROR(INDEX(cg_ID,MATCH(B47,cg_Name,0)),"Not on roster"))</f>
        <v>CG-1016</v>
      </c>
      <c r="K47" s="40" t="str">
        <f aca="false">IF(C47="","",IFERROR(INDEX(cl_ID,MATCH(C47,cl_Name,0)),"Not on roster"))</f>
        <v>CL-2051</v>
      </c>
      <c r="L47" s="28" t="n">
        <f aca="false">IF(OR(B47="",D47=""),"",IFERROR(INDEX(rt_Rate,MATCH(D47,rt_Code,0)),0))</f>
        <v>4.25</v>
      </c>
      <c r="M47" s="28" t="n">
        <f aca="false">IF(OR(B47="",D47=""),"",ROUND(N(F47)*L47,2))</f>
        <v>119</v>
      </c>
      <c r="N47" s="41" t="n">
        <f aca="false">IF(B47="","",ROUND(N(G47)*MileRate,2))</f>
        <v>0</v>
      </c>
      <c r="O47" s="28" t="n">
        <f aca="false">IF(B47="","",N(M47)+N47)</f>
        <v>119</v>
      </c>
      <c r="P47" s="40" t="str">
        <f aca="false">IF(B47="","",IF(INDEX(vc_Result,ROW()-4)="OK","OK",IF(H47="Hold","On hold",INDEX(vc_Result,ROW()-4))))</f>
        <v>OK</v>
      </c>
      <c r="Q47" s="28" t="n">
        <f aca="false">IF(B47="","",IF(H47="Pay",O47,0))</f>
        <v>119</v>
      </c>
      <c r="R47" s="42" t="n">
        <f aca="false">R46+IF(N(Q47)&gt;0,1,0)</f>
        <v>42</v>
      </c>
    </row>
    <row r="48" customFormat="false" ht="15" hidden="false" customHeight="false" outlineLevel="0" collapsed="false">
      <c r="A48" s="36" t="n">
        <f aca="false">IF(B48="","",ROW()-4)</f>
        <v>44</v>
      </c>
      <c r="B48" s="37" t="s">
        <v>175</v>
      </c>
      <c r="C48" s="37" t="s">
        <v>143</v>
      </c>
      <c r="D48" s="38" t="s">
        <v>110</v>
      </c>
      <c r="E48" s="39" t="n">
        <v>2</v>
      </c>
      <c r="F48" s="39" t="n">
        <v>22</v>
      </c>
      <c r="G48" s="39" t="n">
        <v>23</v>
      </c>
      <c r="H48" s="38" t="s">
        <v>111</v>
      </c>
      <c r="I48" s="37"/>
      <c r="J48" s="40" t="str">
        <f aca="false">IF(B48="","",IFERROR(INDEX(cg_ID,MATCH(B48,cg_Name,0)),"Not on roster"))</f>
        <v>CG-1016</v>
      </c>
      <c r="K48" s="40" t="str">
        <f aca="false">IF(C48="","",IFERROR(INDEX(cl_ID,MATCH(C48,cl_Name,0)),"Not on roster"))</f>
        <v>CL-2058</v>
      </c>
      <c r="L48" s="28" t="n">
        <f aca="false">IF(OR(B48="",D48=""),"",IFERROR(INDEX(rt_Rate,MATCH(D48,rt_Code,0)),0))</f>
        <v>4.25</v>
      </c>
      <c r="M48" s="28" t="n">
        <f aca="false">IF(OR(B48="",D48=""),"",ROUND(N(F48)*L48,2))</f>
        <v>93.5</v>
      </c>
      <c r="N48" s="41" t="n">
        <f aca="false">IF(B48="","",ROUND(N(G48)*MileRate,2))</f>
        <v>14.26</v>
      </c>
      <c r="O48" s="28" t="n">
        <f aca="false">IF(B48="","",N(M48)+N48)</f>
        <v>107.76</v>
      </c>
      <c r="P48" s="40" t="str">
        <f aca="false">IF(B48="","",IF(INDEX(vc_Result,ROW()-4)="OK","OK",IF(H48="Hold","On hold",INDEX(vc_Result,ROW()-4))))</f>
        <v>OK</v>
      </c>
      <c r="Q48" s="28" t="n">
        <f aca="false">IF(B48="","",IF(H48="Pay",O48,0))</f>
        <v>107.76</v>
      </c>
      <c r="R48" s="42" t="n">
        <f aca="false">R47+IF(N(Q48)&gt;0,1,0)</f>
        <v>43</v>
      </c>
    </row>
    <row r="49" customFormat="false" ht="15" hidden="false" customHeight="false" outlineLevel="0" collapsed="false">
      <c r="A49" s="36" t="n">
        <f aca="false">IF(B49="","",ROW()-4)</f>
        <v>45</v>
      </c>
      <c r="B49" s="37" t="s">
        <v>176</v>
      </c>
      <c r="C49" s="37" t="s">
        <v>116</v>
      </c>
      <c r="D49" s="38" t="s">
        <v>117</v>
      </c>
      <c r="E49" s="39" t="n">
        <v>2</v>
      </c>
      <c r="F49" s="39" t="n">
        <v>58</v>
      </c>
      <c r="G49" s="39"/>
      <c r="H49" s="38" t="s">
        <v>111</v>
      </c>
      <c r="I49" s="37"/>
      <c r="J49" s="40" t="str">
        <f aca="false">IF(B49="","",IFERROR(INDEX(cg_ID,MATCH(B49,cg_Name,0)),"Not on roster"))</f>
        <v>CG-1033</v>
      </c>
      <c r="K49" s="40" t="str">
        <f aca="false">IF(C49="","",IFERROR(INDEX(cl_ID,MATCH(C49,cl_Name,0)),"Not on roster"))</f>
        <v>CL-2033</v>
      </c>
      <c r="L49" s="28" t="n">
        <f aca="false">IF(OR(B49="",D49=""),"",IFERROR(INDEX(rt_Rate,MATCH(D49,rt_Code,0)),0))</f>
        <v>5.1</v>
      </c>
      <c r="M49" s="28" t="n">
        <f aca="false">IF(OR(B49="",D49=""),"",ROUND(N(F49)*L49,2))</f>
        <v>295.8</v>
      </c>
      <c r="N49" s="41" t="n">
        <f aca="false">IF(B49="","",ROUND(N(G49)*MileRate,2))</f>
        <v>0</v>
      </c>
      <c r="O49" s="28" t="n">
        <f aca="false">IF(B49="","",N(M49)+N49)</f>
        <v>295.8</v>
      </c>
      <c r="P49" s="40" t="str">
        <f aca="false">IF(B49="","",IF(INDEX(vc_Result,ROW()-4)="OK","OK",IF(H49="Hold","On hold",INDEX(vc_Result,ROW()-4))))</f>
        <v>OK</v>
      </c>
      <c r="Q49" s="28" t="n">
        <f aca="false">IF(B49="","",IF(H49="Pay",O49,0))</f>
        <v>295.8</v>
      </c>
      <c r="R49" s="42" t="n">
        <f aca="false">R48+IF(N(Q49)&gt;0,1,0)</f>
        <v>44</v>
      </c>
    </row>
    <row r="50" customFormat="false" ht="15" hidden="false" customHeight="false" outlineLevel="0" collapsed="false">
      <c r="A50" s="36" t="n">
        <f aca="false">IF(B50="","",ROW()-4)</f>
        <v>46</v>
      </c>
      <c r="B50" s="37" t="s">
        <v>176</v>
      </c>
      <c r="C50" s="37" t="s">
        <v>152</v>
      </c>
      <c r="D50" s="38" t="s">
        <v>113</v>
      </c>
      <c r="E50" s="39" t="n">
        <v>4</v>
      </c>
      <c r="F50" s="39" t="n">
        <v>46</v>
      </c>
      <c r="G50" s="39"/>
      <c r="H50" s="38" t="s">
        <v>111</v>
      </c>
      <c r="I50" s="37"/>
      <c r="J50" s="40" t="str">
        <f aca="false">IF(B50="","",IFERROR(INDEX(cg_ID,MATCH(B50,cg_Name,0)),"Not on roster"))</f>
        <v>CG-1033</v>
      </c>
      <c r="K50" s="40" t="str">
        <f aca="false">IF(C50="","",IFERROR(INDEX(cl_ID,MATCH(C50,cl_Name,0)),"Not on roster"))</f>
        <v>CL-2014</v>
      </c>
      <c r="L50" s="28" t="n">
        <f aca="false">IF(OR(B50="",D50=""),"",IFERROR(INDEX(rt_Rate,MATCH(D50,rt_Code,0)),0))</f>
        <v>5.5</v>
      </c>
      <c r="M50" s="28" t="n">
        <f aca="false">IF(OR(B50="",D50=""),"",ROUND(N(F50)*L50,2))</f>
        <v>253</v>
      </c>
      <c r="N50" s="41" t="n">
        <f aca="false">IF(B50="","",ROUND(N(G50)*MileRate,2))</f>
        <v>0</v>
      </c>
      <c r="O50" s="28" t="n">
        <f aca="false">IF(B50="","",N(M50)+N50)</f>
        <v>253</v>
      </c>
      <c r="P50" s="40" t="str">
        <f aca="false">IF(B50="","",IF(INDEX(vc_Result,ROW()-4)="OK","OK",IF(H50="Hold","On hold",INDEX(vc_Result,ROW()-4))))</f>
        <v>OK</v>
      </c>
      <c r="Q50" s="28" t="n">
        <f aca="false">IF(B50="","",IF(H50="Pay",O50,0))</f>
        <v>253</v>
      </c>
      <c r="R50" s="42" t="n">
        <f aca="false">R49+IF(N(Q50)&gt;0,1,0)</f>
        <v>45</v>
      </c>
    </row>
    <row r="51" customFormat="false" ht="15" hidden="false" customHeight="false" outlineLevel="0" collapsed="false">
      <c r="A51" s="36" t="n">
        <f aca="false">IF(B51="","",ROW()-4)</f>
        <v>47</v>
      </c>
      <c r="B51" s="37" t="s">
        <v>177</v>
      </c>
      <c r="C51" s="37" t="s">
        <v>146</v>
      </c>
      <c r="D51" s="38" t="s">
        <v>113</v>
      </c>
      <c r="E51" s="39" t="n">
        <v>4</v>
      </c>
      <c r="F51" s="39" t="n">
        <v>52</v>
      </c>
      <c r="G51" s="39"/>
      <c r="H51" s="38" t="s">
        <v>111</v>
      </c>
      <c r="I51" s="37"/>
      <c r="J51" s="40" t="str">
        <f aca="false">IF(B51="","",IFERROR(INDEX(cg_ID,MATCH(B51,cg_Name,0)),"Not on roster"))</f>
        <v>CG-1034</v>
      </c>
      <c r="K51" s="40" t="str">
        <f aca="false">IF(C51="","",IFERROR(INDEX(cl_ID,MATCH(C51,cl_Name,0)),"Not on roster"))</f>
        <v>CL-2054</v>
      </c>
      <c r="L51" s="28" t="n">
        <f aca="false">IF(OR(B51="",D51=""),"",IFERROR(INDEX(rt_Rate,MATCH(D51,rt_Code,0)),0))</f>
        <v>5.5</v>
      </c>
      <c r="M51" s="28" t="n">
        <f aca="false">IF(OR(B51="",D51=""),"",ROUND(N(F51)*L51,2))</f>
        <v>286</v>
      </c>
      <c r="N51" s="41" t="n">
        <f aca="false">IF(B51="","",ROUND(N(G51)*MileRate,2))</f>
        <v>0</v>
      </c>
      <c r="O51" s="28" t="n">
        <f aca="false">IF(B51="","",N(M51)+N51)</f>
        <v>286</v>
      </c>
      <c r="P51" s="40" t="str">
        <f aca="false">IF(B51="","",IF(INDEX(vc_Result,ROW()-4)="OK","OK",IF(H51="Hold","On hold",INDEX(vc_Result,ROW()-4))))</f>
        <v>OK</v>
      </c>
      <c r="Q51" s="28" t="n">
        <f aca="false">IF(B51="","",IF(H51="Pay",O51,0))</f>
        <v>286</v>
      </c>
      <c r="R51" s="42" t="n">
        <f aca="false">R50+IF(N(Q51)&gt;0,1,0)</f>
        <v>46</v>
      </c>
    </row>
    <row r="52" customFormat="false" ht="15" hidden="false" customHeight="false" outlineLevel="0" collapsed="false">
      <c r="A52" s="36" t="n">
        <f aca="false">IF(B52="","",ROW()-4)</f>
        <v>48</v>
      </c>
      <c r="B52" s="37" t="s">
        <v>177</v>
      </c>
      <c r="C52" s="37" t="s">
        <v>143</v>
      </c>
      <c r="D52" s="38" t="s">
        <v>133</v>
      </c>
      <c r="E52" s="39" t="n">
        <v>2</v>
      </c>
      <c r="F52" s="39" t="n">
        <v>16</v>
      </c>
      <c r="G52" s="39"/>
      <c r="H52" s="38" t="s">
        <v>111</v>
      </c>
      <c r="I52" s="37"/>
      <c r="J52" s="40" t="str">
        <f aca="false">IF(B52="","",IFERROR(INDEX(cg_ID,MATCH(B52,cg_Name,0)),"Not on roster"))</f>
        <v>CG-1034</v>
      </c>
      <c r="K52" s="40" t="str">
        <f aca="false">IF(C52="","",IFERROR(INDEX(cl_ID,MATCH(C52,cl_Name,0)),"Not on roster"))</f>
        <v>CL-2058</v>
      </c>
      <c r="L52" s="28" t="n">
        <f aca="false">IF(OR(B52="",D52=""),"",IFERROR(INDEX(rt_Rate,MATCH(D52,rt_Code,0)),0))</f>
        <v>4.6</v>
      </c>
      <c r="M52" s="28" t="n">
        <f aca="false">IF(OR(B52="",D52=""),"",ROUND(N(F52)*L52,2))</f>
        <v>73.6</v>
      </c>
      <c r="N52" s="41" t="n">
        <f aca="false">IF(B52="","",ROUND(N(G52)*MileRate,2))</f>
        <v>0</v>
      </c>
      <c r="O52" s="28" t="n">
        <f aca="false">IF(B52="","",N(M52)+N52)</f>
        <v>73.6</v>
      </c>
      <c r="P52" s="40" t="str">
        <f aca="false">IF(B52="","",IF(INDEX(vc_Result,ROW()-4)="OK","OK",IF(H52="Hold","On hold",INDEX(vc_Result,ROW()-4))))</f>
        <v>OK</v>
      </c>
      <c r="Q52" s="28" t="n">
        <f aca="false">IF(B52="","",IF(H52="Pay",O52,0))</f>
        <v>73.6</v>
      </c>
      <c r="R52" s="42" t="n">
        <f aca="false">R51+IF(N(Q52)&gt;0,1,0)</f>
        <v>47</v>
      </c>
    </row>
    <row r="53" customFormat="false" ht="15" hidden="false" customHeight="false" outlineLevel="0" collapsed="false">
      <c r="A53" s="36" t="n">
        <f aca="false">IF(B53="","",ROW()-4)</f>
        <v>49</v>
      </c>
      <c r="B53" s="37" t="s">
        <v>178</v>
      </c>
      <c r="C53" s="37" t="s">
        <v>128</v>
      </c>
      <c r="D53" s="38" t="s">
        <v>117</v>
      </c>
      <c r="E53" s="39" t="n">
        <v>2</v>
      </c>
      <c r="F53" s="39" t="n">
        <v>40</v>
      </c>
      <c r="G53" s="39"/>
      <c r="H53" s="38" t="s">
        <v>111</v>
      </c>
      <c r="I53" s="37"/>
      <c r="J53" s="40" t="str">
        <f aca="false">IF(B53="","",IFERROR(INDEX(cg_ID,MATCH(B53,cg_Name,0)),"Not on roster"))</f>
        <v>CG-1042</v>
      </c>
      <c r="K53" s="40" t="str">
        <f aca="false">IF(C53="","",IFERROR(INDEX(cl_ID,MATCH(C53,cl_Name,0)),"Not on roster"))</f>
        <v>CL-2018</v>
      </c>
      <c r="L53" s="28" t="n">
        <f aca="false">IF(OR(B53="",D53=""),"",IFERROR(INDEX(rt_Rate,MATCH(D53,rt_Code,0)),0))</f>
        <v>5.1</v>
      </c>
      <c r="M53" s="28" t="n">
        <f aca="false">IF(OR(B53="",D53=""),"",ROUND(N(F53)*L53,2))</f>
        <v>204</v>
      </c>
      <c r="N53" s="41" t="n">
        <f aca="false">IF(B53="","",ROUND(N(G53)*MileRate,2))</f>
        <v>0</v>
      </c>
      <c r="O53" s="28" t="n">
        <f aca="false">IF(B53="","",N(M53)+N53)</f>
        <v>204</v>
      </c>
      <c r="P53" s="40" t="str">
        <f aca="false">IF(B53="","",IF(INDEX(vc_Result,ROW()-4)="OK","OK",IF(H53="Hold","On hold",INDEX(vc_Result,ROW()-4))))</f>
        <v>OK</v>
      </c>
      <c r="Q53" s="28" t="n">
        <f aca="false">IF(B53="","",IF(H53="Pay",O53,0))</f>
        <v>204</v>
      </c>
      <c r="R53" s="42" t="n">
        <f aca="false">R52+IF(N(Q53)&gt;0,1,0)</f>
        <v>48</v>
      </c>
    </row>
    <row r="54" customFormat="false" ht="15" hidden="false" customHeight="false" outlineLevel="0" collapsed="false">
      <c r="A54" s="36" t="n">
        <f aca="false">IF(B54="","",ROW()-4)</f>
        <v>50</v>
      </c>
      <c r="B54" s="37" t="s">
        <v>179</v>
      </c>
      <c r="C54" s="37" t="s">
        <v>180</v>
      </c>
      <c r="D54" s="38" t="s">
        <v>113</v>
      </c>
      <c r="E54" s="39" t="n">
        <v>3</v>
      </c>
      <c r="F54" s="39" t="n">
        <v>46</v>
      </c>
      <c r="G54" s="39" t="n">
        <v>7</v>
      </c>
      <c r="H54" s="38" t="s">
        <v>111</v>
      </c>
      <c r="I54" s="37"/>
      <c r="J54" s="40" t="str">
        <f aca="false">IF(B54="","",IFERROR(INDEX(cg_ID,MATCH(B54,cg_Name,0)),"Not on roster"))</f>
        <v>CG-1029</v>
      </c>
      <c r="K54" s="40" t="str">
        <f aca="false">IF(C54="","",IFERROR(INDEX(cl_ID,MATCH(C54,cl_Name,0)),"Not on roster"))</f>
        <v>CL-2049</v>
      </c>
      <c r="L54" s="28" t="n">
        <f aca="false">IF(OR(B54="",D54=""),"",IFERROR(INDEX(rt_Rate,MATCH(D54,rt_Code,0)),0))</f>
        <v>5.5</v>
      </c>
      <c r="M54" s="28" t="n">
        <f aca="false">IF(OR(B54="",D54=""),"",ROUND(N(F54)*L54,2))</f>
        <v>253</v>
      </c>
      <c r="N54" s="41" t="n">
        <f aca="false">IF(B54="","",ROUND(N(G54)*MileRate,2))</f>
        <v>4.34</v>
      </c>
      <c r="O54" s="28" t="n">
        <f aca="false">IF(B54="","",N(M54)+N54)</f>
        <v>257.34</v>
      </c>
      <c r="P54" s="40" t="str">
        <f aca="false">IF(B54="","",IF(INDEX(vc_Result,ROW()-4)="OK","OK",IF(H54="Hold","On hold",INDEX(vc_Result,ROW()-4))))</f>
        <v>OK</v>
      </c>
      <c r="Q54" s="28" t="n">
        <f aca="false">IF(B54="","",IF(H54="Pay",O54,0))</f>
        <v>257.34</v>
      </c>
      <c r="R54" s="42" t="n">
        <f aca="false">R53+IF(N(Q54)&gt;0,1,0)</f>
        <v>49</v>
      </c>
    </row>
    <row r="55" customFormat="false" ht="15" hidden="false" customHeight="false" outlineLevel="0" collapsed="false">
      <c r="A55" s="36" t="n">
        <f aca="false">IF(B55="","",ROW()-4)</f>
        <v>51</v>
      </c>
      <c r="B55" s="37" t="s">
        <v>179</v>
      </c>
      <c r="C55" s="37" t="s">
        <v>152</v>
      </c>
      <c r="D55" s="38" t="s">
        <v>157</v>
      </c>
      <c r="E55" s="39" t="n">
        <v>1</v>
      </c>
      <c r="F55" s="39" t="n">
        <v>1</v>
      </c>
      <c r="G55" s="39"/>
      <c r="H55" s="38" t="s">
        <v>111</v>
      </c>
      <c r="I55" s="37"/>
      <c r="J55" s="40" t="str">
        <f aca="false">IF(B55="","",IFERROR(INDEX(cg_ID,MATCH(B55,cg_Name,0)),"Not on roster"))</f>
        <v>CG-1029</v>
      </c>
      <c r="K55" s="40" t="str">
        <f aca="false">IF(C55="","",IFERROR(INDEX(cl_ID,MATCH(C55,cl_Name,0)),"Not on roster"))</f>
        <v>CL-2014</v>
      </c>
      <c r="L55" s="28" t="n">
        <f aca="false">IF(OR(B55="",D55=""),"",IFERROR(INDEX(rt_Rate,MATCH(D55,rt_Code,0)),0))</f>
        <v>62</v>
      </c>
      <c r="M55" s="28" t="n">
        <f aca="false">IF(OR(B55="",D55=""),"",ROUND(N(F55)*L55,2))</f>
        <v>62</v>
      </c>
      <c r="N55" s="41" t="n">
        <f aca="false">IF(B55="","",ROUND(N(G55)*MileRate,2))</f>
        <v>0</v>
      </c>
      <c r="O55" s="28" t="n">
        <f aca="false">IF(B55="","",N(M55)+N55)</f>
        <v>62</v>
      </c>
      <c r="P55" s="40" t="str">
        <f aca="false">IF(B55="","",IF(INDEX(vc_Result,ROW()-4)="OK","OK",IF(H55="Hold","On hold",INDEX(vc_Result,ROW()-4))))</f>
        <v>OK</v>
      </c>
      <c r="Q55" s="28" t="n">
        <f aca="false">IF(B55="","",IF(H55="Pay",O55,0))</f>
        <v>62</v>
      </c>
      <c r="R55" s="42" t="n">
        <f aca="false">R54+IF(N(Q55)&gt;0,1,0)</f>
        <v>50</v>
      </c>
    </row>
    <row r="56" customFormat="false" ht="15" hidden="false" customHeight="false" outlineLevel="0" collapsed="false">
      <c r="A56" s="36" t="n">
        <f aca="false">IF(B56="","",ROW()-4)</f>
        <v>52</v>
      </c>
      <c r="B56" s="37" t="s">
        <v>181</v>
      </c>
      <c r="C56" s="37" t="s">
        <v>180</v>
      </c>
      <c r="D56" s="38" t="s">
        <v>133</v>
      </c>
      <c r="E56" s="39" t="n">
        <v>2</v>
      </c>
      <c r="F56" s="39" t="n">
        <v>22</v>
      </c>
      <c r="G56" s="39"/>
      <c r="H56" s="38" t="s">
        <v>111</v>
      </c>
      <c r="I56" s="37"/>
      <c r="J56" s="40" t="str">
        <f aca="false">IF(B56="","",IFERROR(INDEX(cg_ID,MATCH(B56,cg_Name,0)),"Not on roster"))</f>
        <v>CG-1017</v>
      </c>
      <c r="K56" s="40" t="str">
        <f aca="false">IF(C56="","",IFERROR(INDEX(cl_ID,MATCH(C56,cl_Name,0)),"Not on roster"))</f>
        <v>CL-2049</v>
      </c>
      <c r="L56" s="28" t="n">
        <f aca="false">IF(OR(B56="",D56=""),"",IFERROR(INDEX(rt_Rate,MATCH(D56,rt_Code,0)),0))</f>
        <v>4.6</v>
      </c>
      <c r="M56" s="28" t="n">
        <f aca="false">IF(OR(B56="",D56=""),"",ROUND(N(F56)*L56,2))</f>
        <v>101.2</v>
      </c>
      <c r="N56" s="41" t="n">
        <f aca="false">IF(B56="","",ROUND(N(G56)*MileRate,2))</f>
        <v>0</v>
      </c>
      <c r="O56" s="28" t="n">
        <f aca="false">IF(B56="","",N(M56)+N56)</f>
        <v>101.2</v>
      </c>
      <c r="P56" s="40" t="str">
        <f aca="false">IF(B56="","",IF(INDEX(vc_Result,ROW()-4)="OK","OK",IF(H56="Hold","On hold",INDEX(vc_Result,ROW()-4))))</f>
        <v>OK</v>
      </c>
      <c r="Q56" s="28" t="n">
        <f aca="false">IF(B56="","",IF(H56="Pay",O56,0))</f>
        <v>101.2</v>
      </c>
      <c r="R56" s="42" t="n">
        <f aca="false">R55+IF(N(Q56)&gt;0,1,0)</f>
        <v>51</v>
      </c>
    </row>
    <row r="57" customFormat="false" ht="15" hidden="false" customHeight="false" outlineLevel="0" collapsed="false">
      <c r="A57" s="36" t="n">
        <f aca="false">IF(B57="","",ROW()-4)</f>
        <v>53</v>
      </c>
      <c r="B57" s="37" t="s">
        <v>182</v>
      </c>
      <c r="C57" s="37" t="s">
        <v>183</v>
      </c>
      <c r="D57" s="38" t="s">
        <v>110</v>
      </c>
      <c r="E57" s="39" t="n">
        <v>4</v>
      </c>
      <c r="F57" s="39" t="n">
        <v>40</v>
      </c>
      <c r="G57" s="39"/>
      <c r="H57" s="38" t="s">
        <v>111</v>
      </c>
      <c r="I57" s="37"/>
      <c r="J57" s="40" t="str">
        <f aca="false">IF(B57="","",IFERROR(INDEX(cg_ID,MATCH(B57,cg_Name,0)),"Not on roster"))</f>
        <v>CG-1044</v>
      </c>
      <c r="K57" s="40" t="str">
        <f aca="false">IF(C57="","",IFERROR(INDEX(cl_ID,MATCH(C57,cl_Name,0)),"Not on roster"))</f>
        <v>CL-2011</v>
      </c>
      <c r="L57" s="28" t="n">
        <f aca="false">IF(OR(B57="",D57=""),"",IFERROR(INDEX(rt_Rate,MATCH(D57,rt_Code,0)),0))</f>
        <v>4.25</v>
      </c>
      <c r="M57" s="28" t="n">
        <f aca="false">IF(OR(B57="",D57=""),"",ROUND(N(F57)*L57,2))</f>
        <v>170</v>
      </c>
      <c r="N57" s="41" t="n">
        <f aca="false">IF(B57="","",ROUND(N(G57)*MileRate,2))</f>
        <v>0</v>
      </c>
      <c r="O57" s="28" t="n">
        <f aca="false">IF(B57="","",N(M57)+N57)</f>
        <v>170</v>
      </c>
      <c r="P57" s="40" t="str">
        <f aca="false">IF(B57="","",IF(INDEX(vc_Result,ROW()-4)="OK","OK",IF(H57="Hold","On hold",INDEX(vc_Result,ROW()-4))))</f>
        <v>OK</v>
      </c>
      <c r="Q57" s="28" t="n">
        <f aca="false">IF(B57="","",IF(H57="Pay",O57,0))</f>
        <v>170</v>
      </c>
      <c r="R57" s="42" t="n">
        <f aca="false">R56+IF(N(Q57)&gt;0,1,0)</f>
        <v>52</v>
      </c>
    </row>
    <row r="58" customFormat="false" ht="15" hidden="false" customHeight="false" outlineLevel="0" collapsed="false">
      <c r="A58" s="36" t="n">
        <f aca="false">IF(B58="","",ROW()-4)</f>
        <v>54</v>
      </c>
      <c r="B58" s="37" t="s">
        <v>184</v>
      </c>
      <c r="C58" s="37" t="s">
        <v>153</v>
      </c>
      <c r="D58" s="38" t="s">
        <v>133</v>
      </c>
      <c r="E58" s="39" t="n">
        <v>2</v>
      </c>
      <c r="F58" s="39" t="n">
        <v>18</v>
      </c>
      <c r="G58" s="39"/>
      <c r="H58" s="38" t="s">
        <v>111</v>
      </c>
      <c r="I58" s="37"/>
      <c r="J58" s="40" t="str">
        <f aca="false">IF(B58="","",IFERROR(INDEX(cg_ID,MATCH(B58,cg_Name,0)),"Not on roster"))</f>
        <v>CG-1013</v>
      </c>
      <c r="K58" s="40" t="str">
        <f aca="false">IF(C58="","",IFERROR(INDEX(cl_ID,MATCH(C58,cl_Name,0)),"Not on roster"))</f>
        <v>CL-2027</v>
      </c>
      <c r="L58" s="28" t="n">
        <f aca="false">IF(OR(B58="",D58=""),"",IFERROR(INDEX(rt_Rate,MATCH(D58,rt_Code,0)),0))</f>
        <v>4.6</v>
      </c>
      <c r="M58" s="28" t="n">
        <f aca="false">IF(OR(B58="",D58=""),"",ROUND(N(F58)*L58,2))</f>
        <v>82.8</v>
      </c>
      <c r="N58" s="41" t="n">
        <f aca="false">IF(B58="","",ROUND(N(G58)*MileRate,2))</f>
        <v>0</v>
      </c>
      <c r="O58" s="28" t="n">
        <f aca="false">IF(B58="","",N(M58)+N58)</f>
        <v>82.8</v>
      </c>
      <c r="P58" s="40" t="str">
        <f aca="false">IF(B58="","",IF(INDEX(vc_Result,ROW()-4)="OK","OK",IF(H58="Hold","On hold",INDEX(vc_Result,ROW()-4))))</f>
        <v>OK</v>
      </c>
      <c r="Q58" s="28" t="n">
        <f aca="false">IF(B58="","",IF(H58="Pay",O58,0))</f>
        <v>82.8</v>
      </c>
      <c r="R58" s="42" t="n">
        <f aca="false">R57+IF(N(Q58)&gt;0,1,0)</f>
        <v>53</v>
      </c>
    </row>
    <row r="59" customFormat="false" ht="15" hidden="false" customHeight="false" outlineLevel="0" collapsed="false">
      <c r="A59" s="36" t="n">
        <f aca="false">IF(B59="","",ROW()-4)</f>
        <v>55</v>
      </c>
      <c r="B59" s="37" t="s">
        <v>185</v>
      </c>
      <c r="C59" s="37" t="s">
        <v>186</v>
      </c>
      <c r="D59" s="38" t="s">
        <v>133</v>
      </c>
      <c r="E59" s="39" t="n">
        <v>2</v>
      </c>
      <c r="F59" s="39" t="n">
        <v>16</v>
      </c>
      <c r="G59" s="39"/>
      <c r="H59" s="38" t="s">
        <v>111</v>
      </c>
      <c r="I59" s="37"/>
      <c r="J59" s="40" t="str">
        <f aca="false">IF(B59="","",IFERROR(INDEX(cg_ID,MATCH(B59,cg_Name,0)),"Not on roster"))</f>
        <v>CG-1035</v>
      </c>
      <c r="K59" s="40" t="str">
        <f aca="false">IF(C59="","",IFERROR(INDEX(cl_ID,MATCH(C59,cl_Name,0)),"Not on roster"))</f>
        <v>CL-2009</v>
      </c>
      <c r="L59" s="28" t="n">
        <f aca="false">IF(OR(B59="",D59=""),"",IFERROR(INDEX(rt_Rate,MATCH(D59,rt_Code,0)),0))</f>
        <v>4.6</v>
      </c>
      <c r="M59" s="28" t="n">
        <f aca="false">IF(OR(B59="",D59=""),"",ROUND(N(F59)*L59,2))</f>
        <v>73.6</v>
      </c>
      <c r="N59" s="41" t="n">
        <f aca="false">IF(B59="","",ROUND(N(G59)*MileRate,2))</f>
        <v>0</v>
      </c>
      <c r="O59" s="28" t="n">
        <f aca="false">IF(B59="","",N(M59)+N59)</f>
        <v>73.6</v>
      </c>
      <c r="P59" s="40" t="str">
        <f aca="false">IF(B59="","",IF(INDEX(vc_Result,ROW()-4)="OK","OK",IF(H59="Hold","On hold",INDEX(vc_Result,ROW()-4))))</f>
        <v>OK</v>
      </c>
      <c r="Q59" s="28" t="n">
        <f aca="false">IF(B59="","",IF(H59="Pay",O59,0))</f>
        <v>73.6</v>
      </c>
      <c r="R59" s="42" t="n">
        <f aca="false">R58+IF(N(Q59)&gt;0,1,0)</f>
        <v>54</v>
      </c>
    </row>
    <row r="60" customFormat="false" ht="15" hidden="false" customHeight="false" outlineLevel="0" collapsed="false">
      <c r="A60" s="36" t="n">
        <f aca="false">IF(B60="","",ROW()-4)</f>
        <v>56</v>
      </c>
      <c r="B60" s="37" t="s">
        <v>185</v>
      </c>
      <c r="C60" s="37" t="s">
        <v>132</v>
      </c>
      <c r="D60" s="38" t="s">
        <v>113</v>
      </c>
      <c r="E60" s="39" t="n">
        <v>2</v>
      </c>
      <c r="F60" s="39" t="n">
        <v>26</v>
      </c>
      <c r="G60" s="39" t="n">
        <v>13</v>
      </c>
      <c r="H60" s="38" t="s">
        <v>111</v>
      </c>
      <c r="I60" s="37"/>
      <c r="J60" s="40" t="str">
        <f aca="false">IF(B60="","",IFERROR(INDEX(cg_ID,MATCH(B60,cg_Name,0)),"Not on roster"))</f>
        <v>CG-1035</v>
      </c>
      <c r="K60" s="40" t="str">
        <f aca="false">IF(C60="","",IFERROR(INDEX(cl_ID,MATCH(C60,cl_Name,0)),"Not on roster"))</f>
        <v>CL-2022</v>
      </c>
      <c r="L60" s="28" t="n">
        <f aca="false">IF(OR(B60="",D60=""),"",IFERROR(INDEX(rt_Rate,MATCH(D60,rt_Code,0)),0))</f>
        <v>5.5</v>
      </c>
      <c r="M60" s="28" t="n">
        <f aca="false">IF(OR(B60="",D60=""),"",ROUND(N(F60)*L60,2))</f>
        <v>143</v>
      </c>
      <c r="N60" s="41" t="n">
        <f aca="false">IF(B60="","",ROUND(N(G60)*MileRate,2))</f>
        <v>8.06</v>
      </c>
      <c r="O60" s="28" t="n">
        <f aca="false">IF(B60="","",N(M60)+N60)</f>
        <v>151.06</v>
      </c>
      <c r="P60" s="40" t="str">
        <f aca="false">IF(B60="","",IF(INDEX(vc_Result,ROW()-4)="OK","OK",IF(H60="Hold","On hold",INDEX(vc_Result,ROW()-4))))</f>
        <v>OK</v>
      </c>
      <c r="Q60" s="28" t="n">
        <f aca="false">IF(B60="","",IF(H60="Pay",O60,0))</f>
        <v>151.06</v>
      </c>
      <c r="R60" s="42" t="n">
        <f aca="false">R59+IF(N(Q60)&gt;0,1,0)</f>
        <v>55</v>
      </c>
    </row>
    <row r="61" customFormat="false" ht="15" hidden="false" customHeight="false" outlineLevel="0" collapsed="false">
      <c r="A61" s="36" t="n">
        <f aca="false">IF(B61="","",ROW()-4)</f>
        <v>57</v>
      </c>
      <c r="B61" s="37" t="s">
        <v>187</v>
      </c>
      <c r="C61" s="37" t="s">
        <v>118</v>
      </c>
      <c r="D61" s="38" t="s">
        <v>110</v>
      </c>
      <c r="E61" s="39" t="n">
        <v>4</v>
      </c>
      <c r="F61" s="39" t="n">
        <v>52</v>
      </c>
      <c r="G61" s="39"/>
      <c r="H61" s="38" t="s">
        <v>111</v>
      </c>
      <c r="I61" s="37"/>
      <c r="J61" s="40" t="str">
        <f aca="false">IF(B61="","",IFERROR(INDEX(cg_ID,MATCH(B61,cg_Name,0)),"Not on roster"))</f>
        <v>CG-1024</v>
      </c>
      <c r="K61" s="40" t="str">
        <f aca="false">IF(C61="","",IFERROR(INDEX(cl_ID,MATCH(C61,cl_Name,0)),"Not on roster"))</f>
        <v>CL-2006</v>
      </c>
      <c r="L61" s="28" t="n">
        <f aca="false">IF(OR(B61="",D61=""),"",IFERROR(INDEX(rt_Rate,MATCH(D61,rt_Code,0)),0))</f>
        <v>4.25</v>
      </c>
      <c r="M61" s="28" t="n">
        <f aca="false">IF(OR(B61="",D61=""),"",ROUND(N(F61)*L61,2))</f>
        <v>221</v>
      </c>
      <c r="N61" s="41" t="n">
        <f aca="false">IF(B61="","",ROUND(N(G61)*MileRate,2))</f>
        <v>0</v>
      </c>
      <c r="O61" s="28" t="n">
        <f aca="false">IF(B61="","",N(M61)+N61)</f>
        <v>221</v>
      </c>
      <c r="P61" s="40" t="str">
        <f aca="false">IF(B61="","",IF(INDEX(vc_Result,ROW()-4)="OK","OK",IF(H61="Hold","On hold",INDEX(vc_Result,ROW()-4))))</f>
        <v>OK</v>
      </c>
      <c r="Q61" s="28" t="n">
        <f aca="false">IF(B61="","",IF(H61="Pay",O61,0))</f>
        <v>221</v>
      </c>
      <c r="R61" s="42" t="n">
        <f aca="false">R60+IF(N(Q61)&gt;0,1,0)</f>
        <v>56</v>
      </c>
    </row>
    <row r="62" customFormat="false" ht="15" hidden="false" customHeight="false" outlineLevel="0" collapsed="false">
      <c r="A62" s="36" t="n">
        <f aca="false">IF(B62="","",ROW()-4)</f>
        <v>58</v>
      </c>
      <c r="B62" s="37" t="s">
        <v>187</v>
      </c>
      <c r="C62" s="37" t="s">
        <v>149</v>
      </c>
      <c r="D62" s="38" t="s">
        <v>113</v>
      </c>
      <c r="E62" s="39" t="n">
        <v>5</v>
      </c>
      <c r="F62" s="39" t="n">
        <v>50</v>
      </c>
      <c r="G62" s="39" t="n">
        <v>19</v>
      </c>
      <c r="H62" s="38" t="s">
        <v>111</v>
      </c>
      <c r="I62" s="37"/>
      <c r="J62" s="40" t="str">
        <f aca="false">IF(B62="","",IFERROR(INDEX(cg_ID,MATCH(B62,cg_Name,0)),"Not on roster"))</f>
        <v>CG-1024</v>
      </c>
      <c r="K62" s="40" t="str">
        <f aca="false">IF(C62="","",IFERROR(INDEX(cl_ID,MATCH(C62,cl_Name,0)),"Not on roster"))</f>
        <v>CL-2016</v>
      </c>
      <c r="L62" s="28" t="n">
        <f aca="false">IF(OR(B62="",D62=""),"",IFERROR(INDEX(rt_Rate,MATCH(D62,rt_Code,0)),0))</f>
        <v>5.5</v>
      </c>
      <c r="M62" s="28" t="n">
        <f aca="false">IF(OR(B62="",D62=""),"",ROUND(N(F62)*L62,2))</f>
        <v>275</v>
      </c>
      <c r="N62" s="41" t="n">
        <f aca="false">IF(B62="","",ROUND(N(G62)*MileRate,2))</f>
        <v>11.78</v>
      </c>
      <c r="O62" s="28" t="n">
        <f aca="false">IF(B62="","",N(M62)+N62)</f>
        <v>286.78</v>
      </c>
      <c r="P62" s="40" t="str">
        <f aca="false">IF(B62="","",IF(INDEX(vc_Result,ROW()-4)="OK","OK",IF(H62="Hold","On hold",INDEX(vc_Result,ROW()-4))))</f>
        <v>OK</v>
      </c>
      <c r="Q62" s="28" t="n">
        <f aca="false">IF(B62="","",IF(H62="Pay",O62,0))</f>
        <v>286.78</v>
      </c>
      <c r="R62" s="42" t="n">
        <f aca="false">R61+IF(N(Q62)&gt;0,1,0)</f>
        <v>57</v>
      </c>
    </row>
    <row r="63" customFormat="false" ht="15" hidden="false" customHeight="false" outlineLevel="0" collapsed="false">
      <c r="A63" s="36" t="n">
        <f aca="false">IF(B63="","",ROW()-4)</f>
        <v>59</v>
      </c>
      <c r="B63" s="37" t="s">
        <v>187</v>
      </c>
      <c r="C63" s="37" t="s">
        <v>188</v>
      </c>
      <c r="D63" s="38" t="s">
        <v>113</v>
      </c>
      <c r="E63" s="39" t="n">
        <v>3</v>
      </c>
      <c r="F63" s="39" t="n">
        <v>40</v>
      </c>
      <c r="G63" s="39" t="n">
        <v>24</v>
      </c>
      <c r="H63" s="38" t="s">
        <v>111</v>
      </c>
      <c r="I63" s="37"/>
      <c r="J63" s="40" t="str">
        <f aca="false">IF(B63="","",IFERROR(INDEX(cg_ID,MATCH(B63,cg_Name,0)),"Not on roster"))</f>
        <v>CG-1024</v>
      </c>
      <c r="K63" s="40" t="str">
        <f aca="false">IF(C63="","",IFERROR(INDEX(cl_ID,MATCH(C63,cl_Name,0)),"Not on roster"))</f>
        <v>CL-2005</v>
      </c>
      <c r="L63" s="28" t="n">
        <f aca="false">IF(OR(B63="",D63=""),"",IFERROR(INDEX(rt_Rate,MATCH(D63,rt_Code,0)),0))</f>
        <v>5.5</v>
      </c>
      <c r="M63" s="28" t="n">
        <f aca="false">IF(OR(B63="",D63=""),"",ROUND(N(F63)*L63,2))</f>
        <v>220</v>
      </c>
      <c r="N63" s="41" t="n">
        <f aca="false">IF(B63="","",ROUND(N(G63)*MileRate,2))</f>
        <v>14.88</v>
      </c>
      <c r="O63" s="28" t="n">
        <f aca="false">IF(B63="","",N(M63)+N63)</f>
        <v>234.88</v>
      </c>
      <c r="P63" s="40" t="str">
        <f aca="false">IF(B63="","",IF(INDEX(vc_Result,ROW()-4)="OK","OK",IF(H63="Hold","On hold",INDEX(vc_Result,ROW()-4))))</f>
        <v>OK</v>
      </c>
      <c r="Q63" s="28" t="n">
        <f aca="false">IF(B63="","",IF(H63="Pay",O63,0))</f>
        <v>234.88</v>
      </c>
      <c r="R63" s="42" t="n">
        <f aca="false">R62+IF(N(Q63)&gt;0,1,0)</f>
        <v>58</v>
      </c>
    </row>
    <row r="64" customFormat="false" ht="15" hidden="false" customHeight="false" outlineLevel="0" collapsed="false">
      <c r="A64" s="36" t="n">
        <f aca="false">IF(B64="","",ROW()-4)</f>
        <v>60</v>
      </c>
      <c r="B64" s="37" t="s">
        <v>189</v>
      </c>
      <c r="C64" s="37" t="s">
        <v>147</v>
      </c>
      <c r="D64" s="38" t="s">
        <v>113</v>
      </c>
      <c r="E64" s="39" t="n">
        <v>4</v>
      </c>
      <c r="F64" s="39" t="n">
        <v>44</v>
      </c>
      <c r="G64" s="39"/>
      <c r="H64" s="38" t="s">
        <v>111</v>
      </c>
      <c r="I64" s="37"/>
      <c r="J64" s="40" t="str">
        <f aca="false">IF(B64="","",IFERROR(INDEX(cg_ID,MATCH(B64,cg_Name,0)),"Not on roster"))</f>
        <v>CG-1020</v>
      </c>
      <c r="K64" s="40" t="str">
        <f aca="false">IF(C64="","",IFERROR(INDEX(cl_ID,MATCH(C64,cl_Name,0)),"Not on roster"))</f>
        <v>CL-2020</v>
      </c>
      <c r="L64" s="28" t="n">
        <f aca="false">IF(OR(B64="",D64=""),"",IFERROR(INDEX(rt_Rate,MATCH(D64,rt_Code,0)),0))</f>
        <v>5.5</v>
      </c>
      <c r="M64" s="28" t="n">
        <f aca="false">IF(OR(B64="",D64=""),"",ROUND(N(F64)*L64,2))</f>
        <v>242</v>
      </c>
      <c r="N64" s="41" t="n">
        <f aca="false">IF(B64="","",ROUND(N(G64)*MileRate,2))</f>
        <v>0</v>
      </c>
      <c r="O64" s="28" t="n">
        <f aca="false">IF(B64="","",N(M64)+N64)</f>
        <v>242</v>
      </c>
      <c r="P64" s="40" t="str">
        <f aca="false">IF(B64="","",IF(INDEX(vc_Result,ROW()-4)="OK","OK",IF(H64="Hold","On hold",INDEX(vc_Result,ROW()-4))))</f>
        <v>OK</v>
      </c>
      <c r="Q64" s="28" t="n">
        <f aca="false">IF(B64="","",IF(H64="Pay",O64,0))</f>
        <v>242</v>
      </c>
      <c r="R64" s="42" t="n">
        <f aca="false">R63+IF(N(Q64)&gt;0,1,0)</f>
        <v>59</v>
      </c>
    </row>
    <row r="65" customFormat="false" ht="15" hidden="false" customHeight="false" outlineLevel="0" collapsed="false">
      <c r="A65" s="36" t="n">
        <f aca="false">IF(B65="","",ROW()-4)</f>
        <v>61</v>
      </c>
      <c r="B65" s="37" t="s">
        <v>189</v>
      </c>
      <c r="C65" s="37" t="s">
        <v>118</v>
      </c>
      <c r="D65" s="38" t="s">
        <v>157</v>
      </c>
      <c r="E65" s="39" t="n">
        <v>1</v>
      </c>
      <c r="F65" s="39" t="n">
        <v>1</v>
      </c>
      <c r="G65" s="39" t="n">
        <v>19</v>
      </c>
      <c r="H65" s="38" t="s">
        <v>111</v>
      </c>
      <c r="I65" s="37"/>
      <c r="J65" s="40" t="str">
        <f aca="false">IF(B65="","",IFERROR(INDEX(cg_ID,MATCH(B65,cg_Name,0)),"Not on roster"))</f>
        <v>CG-1020</v>
      </c>
      <c r="K65" s="40" t="str">
        <f aca="false">IF(C65="","",IFERROR(INDEX(cl_ID,MATCH(C65,cl_Name,0)),"Not on roster"))</f>
        <v>CL-2006</v>
      </c>
      <c r="L65" s="28" t="n">
        <f aca="false">IF(OR(B65="",D65=""),"",IFERROR(INDEX(rt_Rate,MATCH(D65,rt_Code,0)),0))</f>
        <v>62</v>
      </c>
      <c r="M65" s="28" t="n">
        <f aca="false">IF(OR(B65="",D65=""),"",ROUND(N(F65)*L65,2))</f>
        <v>62</v>
      </c>
      <c r="N65" s="41" t="n">
        <f aca="false">IF(B65="","",ROUND(N(G65)*MileRate,2))</f>
        <v>11.78</v>
      </c>
      <c r="O65" s="28" t="n">
        <f aca="false">IF(B65="","",N(M65)+N65)</f>
        <v>73.78</v>
      </c>
      <c r="P65" s="40" t="str">
        <f aca="false">IF(B65="","",IF(INDEX(vc_Result,ROW()-4)="OK","OK",IF(H65="Hold","On hold",INDEX(vc_Result,ROW()-4))))</f>
        <v>OK</v>
      </c>
      <c r="Q65" s="28" t="n">
        <f aca="false">IF(B65="","",IF(H65="Pay",O65,0))</f>
        <v>73.78</v>
      </c>
      <c r="R65" s="42" t="n">
        <f aca="false">R64+IF(N(Q65)&gt;0,1,0)</f>
        <v>60</v>
      </c>
    </row>
    <row r="66" customFormat="false" ht="15" hidden="false" customHeight="false" outlineLevel="0" collapsed="false">
      <c r="A66" s="36" t="n">
        <f aca="false">IF(B66="","",ROW()-4)</f>
        <v>62</v>
      </c>
      <c r="B66" s="37" t="s">
        <v>190</v>
      </c>
      <c r="C66" s="37" t="s">
        <v>123</v>
      </c>
      <c r="D66" s="38" t="s">
        <v>117</v>
      </c>
      <c r="E66" s="39" t="n">
        <v>2</v>
      </c>
      <c r="F66" s="39" t="n">
        <v>34</v>
      </c>
      <c r="G66" s="39"/>
      <c r="H66" s="38" t="s">
        <v>111</v>
      </c>
      <c r="I66" s="37"/>
      <c r="J66" s="40" t="str">
        <f aca="false">IF(B66="","",IFERROR(INDEX(cg_ID,MATCH(B66,cg_Name,0)),"Not on roster"))</f>
        <v>CG-1037</v>
      </c>
      <c r="K66" s="40" t="str">
        <f aca="false">IF(C66="","",IFERROR(INDEX(cl_ID,MATCH(C66,cl_Name,0)),"Not on roster"))</f>
        <v>CL-2042</v>
      </c>
      <c r="L66" s="28" t="n">
        <f aca="false">IF(OR(B66="",D66=""),"",IFERROR(INDEX(rt_Rate,MATCH(D66,rt_Code,0)),0))</f>
        <v>5.1</v>
      </c>
      <c r="M66" s="28" t="n">
        <f aca="false">IF(OR(B66="",D66=""),"",ROUND(N(F66)*L66,2))</f>
        <v>173.4</v>
      </c>
      <c r="N66" s="41" t="n">
        <f aca="false">IF(B66="","",ROUND(N(G66)*MileRate,2))</f>
        <v>0</v>
      </c>
      <c r="O66" s="28" t="n">
        <f aca="false">IF(B66="","",N(M66)+N66)</f>
        <v>173.4</v>
      </c>
      <c r="P66" s="40" t="str">
        <f aca="false">IF(B66="","",IF(INDEX(vc_Result,ROW()-4)="OK","OK",IF(H66="Hold","On hold",INDEX(vc_Result,ROW()-4))))</f>
        <v>OK</v>
      </c>
      <c r="Q66" s="28" t="n">
        <f aca="false">IF(B66="","",IF(H66="Pay",O66,0))</f>
        <v>173.4</v>
      </c>
      <c r="R66" s="42" t="n">
        <f aca="false">R65+IF(N(Q66)&gt;0,1,0)</f>
        <v>61</v>
      </c>
    </row>
    <row r="67" customFormat="false" ht="15" hidden="false" customHeight="false" outlineLevel="0" collapsed="false">
      <c r="A67" s="36" t="n">
        <f aca="false">IF(B67="","",ROW()-4)</f>
        <v>63</v>
      </c>
      <c r="B67" s="37" t="s">
        <v>190</v>
      </c>
      <c r="C67" s="37" t="s">
        <v>153</v>
      </c>
      <c r="D67" s="38" t="s">
        <v>117</v>
      </c>
      <c r="E67" s="39" t="n">
        <v>2</v>
      </c>
      <c r="F67" s="39" t="n">
        <v>42</v>
      </c>
      <c r="G67" s="39" t="n">
        <v>4</v>
      </c>
      <c r="H67" s="38" t="s">
        <v>111</v>
      </c>
      <c r="I67" s="37"/>
      <c r="J67" s="40" t="str">
        <f aca="false">IF(B67="","",IFERROR(INDEX(cg_ID,MATCH(B67,cg_Name,0)),"Not on roster"))</f>
        <v>CG-1037</v>
      </c>
      <c r="K67" s="40" t="str">
        <f aca="false">IF(C67="","",IFERROR(INDEX(cl_ID,MATCH(C67,cl_Name,0)),"Not on roster"))</f>
        <v>CL-2027</v>
      </c>
      <c r="L67" s="28" t="n">
        <f aca="false">IF(OR(B67="",D67=""),"",IFERROR(INDEX(rt_Rate,MATCH(D67,rt_Code,0)),0))</f>
        <v>5.1</v>
      </c>
      <c r="M67" s="28" t="n">
        <f aca="false">IF(OR(B67="",D67=""),"",ROUND(N(F67)*L67,2))</f>
        <v>214.2</v>
      </c>
      <c r="N67" s="41" t="n">
        <f aca="false">IF(B67="","",ROUND(N(G67)*MileRate,2))</f>
        <v>2.48</v>
      </c>
      <c r="O67" s="28" t="n">
        <f aca="false">IF(B67="","",N(M67)+N67)</f>
        <v>216.68</v>
      </c>
      <c r="P67" s="40" t="str">
        <f aca="false">IF(B67="","",IF(INDEX(vc_Result,ROW()-4)="OK","OK",IF(H67="Hold","On hold",INDEX(vc_Result,ROW()-4))))</f>
        <v>OK</v>
      </c>
      <c r="Q67" s="28" t="n">
        <f aca="false">IF(B67="","",IF(H67="Pay",O67,0))</f>
        <v>216.68</v>
      </c>
      <c r="R67" s="42" t="n">
        <f aca="false">R66+IF(N(Q67)&gt;0,1,0)</f>
        <v>62</v>
      </c>
    </row>
    <row r="68" customFormat="false" ht="15" hidden="false" customHeight="false" outlineLevel="0" collapsed="false">
      <c r="A68" s="36" t="n">
        <f aca="false">IF(B68="","",ROW()-4)</f>
        <v>64</v>
      </c>
      <c r="B68" s="37" t="s">
        <v>191</v>
      </c>
      <c r="C68" s="37" t="s">
        <v>146</v>
      </c>
      <c r="D68" s="38" t="s">
        <v>113</v>
      </c>
      <c r="E68" s="39" t="n">
        <v>3</v>
      </c>
      <c r="F68" s="39" t="n">
        <v>36</v>
      </c>
      <c r="G68" s="39"/>
      <c r="H68" s="38" t="s">
        <v>111</v>
      </c>
      <c r="I68" s="37"/>
      <c r="J68" s="40" t="str">
        <f aca="false">IF(B68="","",IFERROR(INDEX(cg_ID,MATCH(B68,cg_Name,0)),"Not on roster"))</f>
        <v>CG-1030</v>
      </c>
      <c r="K68" s="40" t="str">
        <f aca="false">IF(C68="","",IFERROR(INDEX(cl_ID,MATCH(C68,cl_Name,0)),"Not on roster"))</f>
        <v>CL-2054</v>
      </c>
      <c r="L68" s="28" t="n">
        <f aca="false">IF(OR(B68="",D68=""),"",IFERROR(INDEX(rt_Rate,MATCH(D68,rt_Code,0)),0))</f>
        <v>5.5</v>
      </c>
      <c r="M68" s="28" t="n">
        <f aca="false">IF(OR(B68="",D68=""),"",ROUND(N(F68)*L68,2))</f>
        <v>198</v>
      </c>
      <c r="N68" s="41" t="n">
        <f aca="false">IF(B68="","",ROUND(N(G68)*MileRate,2))</f>
        <v>0</v>
      </c>
      <c r="O68" s="28" t="n">
        <f aca="false">IF(B68="","",N(M68)+N68)</f>
        <v>198</v>
      </c>
      <c r="P68" s="40" t="str">
        <f aca="false">IF(B68="","",IF(INDEX(vc_Result,ROW()-4)="OK","OK",IF(H68="Hold","On hold",INDEX(vc_Result,ROW()-4))))</f>
        <v>OK</v>
      </c>
      <c r="Q68" s="28" t="n">
        <f aca="false">IF(B68="","",IF(H68="Pay",O68,0))</f>
        <v>198</v>
      </c>
      <c r="R68" s="42" t="n">
        <f aca="false">R67+IF(N(Q68)&gt;0,1,0)</f>
        <v>63</v>
      </c>
    </row>
    <row r="69" customFormat="false" ht="15" hidden="false" customHeight="false" outlineLevel="0" collapsed="false">
      <c r="A69" s="36" t="n">
        <f aca="false">IF(B69="","",ROW()-4)</f>
        <v>65</v>
      </c>
      <c r="B69" s="37" t="s">
        <v>191</v>
      </c>
      <c r="C69" s="37" t="s">
        <v>172</v>
      </c>
      <c r="D69" s="38" t="s">
        <v>113</v>
      </c>
      <c r="E69" s="39" t="n">
        <v>3</v>
      </c>
      <c r="F69" s="39" t="n">
        <v>30</v>
      </c>
      <c r="G69" s="39" t="n">
        <v>27</v>
      </c>
      <c r="H69" s="38" t="s">
        <v>111</v>
      </c>
      <c r="I69" s="37"/>
      <c r="J69" s="40" t="str">
        <f aca="false">IF(B69="","",IFERROR(INDEX(cg_ID,MATCH(B69,cg_Name,0)),"Not on roster"))</f>
        <v>CG-1030</v>
      </c>
      <c r="K69" s="40" t="str">
        <f aca="false">IF(C69="","",IFERROR(INDEX(cl_ID,MATCH(C69,cl_Name,0)),"Not on roster"))</f>
        <v>CL-2008</v>
      </c>
      <c r="L69" s="28" t="n">
        <f aca="false">IF(OR(B69="",D69=""),"",IFERROR(INDEX(rt_Rate,MATCH(D69,rt_Code,0)),0))</f>
        <v>5.5</v>
      </c>
      <c r="M69" s="28" t="n">
        <f aca="false">IF(OR(B69="",D69=""),"",ROUND(N(F69)*L69,2))</f>
        <v>165</v>
      </c>
      <c r="N69" s="41" t="n">
        <f aca="false">IF(B69="","",ROUND(N(G69)*MileRate,2))</f>
        <v>16.74</v>
      </c>
      <c r="O69" s="28" t="n">
        <f aca="false">IF(B69="","",N(M69)+N69)</f>
        <v>181.74</v>
      </c>
      <c r="P69" s="40" t="str">
        <f aca="false">IF(B69="","",IF(INDEX(vc_Result,ROW()-4)="OK","OK",IF(H69="Hold","On hold",INDEX(vc_Result,ROW()-4))))</f>
        <v>OK</v>
      </c>
      <c r="Q69" s="28" t="n">
        <f aca="false">IF(B69="","",IF(H69="Pay",O69,0))</f>
        <v>181.74</v>
      </c>
      <c r="R69" s="42" t="n">
        <f aca="false">R68+IF(N(Q69)&gt;0,1,0)</f>
        <v>64</v>
      </c>
    </row>
    <row r="70" customFormat="false" ht="15" hidden="false" customHeight="false" outlineLevel="0" collapsed="false">
      <c r="A70" s="36" t="n">
        <f aca="false">IF(B70="","",ROW()-4)</f>
        <v>66</v>
      </c>
      <c r="B70" s="37" t="s">
        <v>192</v>
      </c>
      <c r="C70" s="37" t="s">
        <v>149</v>
      </c>
      <c r="D70" s="38" t="s">
        <v>110</v>
      </c>
      <c r="E70" s="39" t="n">
        <v>3</v>
      </c>
      <c r="F70" s="39" t="n">
        <v>38</v>
      </c>
      <c r="G70" s="39" t="n">
        <v>12</v>
      </c>
      <c r="H70" s="38" t="s">
        <v>111</v>
      </c>
      <c r="I70" s="37"/>
      <c r="J70" s="40" t="str">
        <f aca="false">IF(B70="","",IFERROR(INDEX(cg_ID,MATCH(B70,cg_Name,0)),"Not on roster"))</f>
        <v>CG-1041</v>
      </c>
      <c r="K70" s="40" t="str">
        <f aca="false">IF(C70="","",IFERROR(INDEX(cl_ID,MATCH(C70,cl_Name,0)),"Not on roster"))</f>
        <v>CL-2016</v>
      </c>
      <c r="L70" s="28" t="n">
        <f aca="false">IF(OR(B70="",D70=""),"",IFERROR(INDEX(rt_Rate,MATCH(D70,rt_Code,0)),0))</f>
        <v>4.25</v>
      </c>
      <c r="M70" s="28" t="n">
        <f aca="false">IF(OR(B70="",D70=""),"",ROUND(N(F70)*L70,2))</f>
        <v>161.5</v>
      </c>
      <c r="N70" s="41" t="n">
        <f aca="false">IF(B70="","",ROUND(N(G70)*MileRate,2))</f>
        <v>7.44</v>
      </c>
      <c r="O70" s="28" t="n">
        <f aca="false">IF(B70="","",N(M70)+N70)</f>
        <v>168.94</v>
      </c>
      <c r="P70" s="40" t="str">
        <f aca="false">IF(B70="","",IF(INDEX(vc_Result,ROW()-4)="OK","OK",IF(H70="Hold","On hold",INDEX(vc_Result,ROW()-4))))</f>
        <v>OK</v>
      </c>
      <c r="Q70" s="28" t="n">
        <f aca="false">IF(B70="","",IF(H70="Pay",O70,0))</f>
        <v>168.94</v>
      </c>
      <c r="R70" s="42" t="n">
        <f aca="false">R69+IF(N(Q70)&gt;0,1,0)</f>
        <v>65</v>
      </c>
    </row>
    <row r="71" customFormat="false" ht="15" hidden="false" customHeight="false" outlineLevel="0" collapsed="false">
      <c r="A71" s="36" t="n">
        <f aca="false">IF(B71="","",ROW()-4)</f>
        <v>67</v>
      </c>
      <c r="B71" s="37" t="s">
        <v>193</v>
      </c>
      <c r="C71" s="37" t="s">
        <v>186</v>
      </c>
      <c r="D71" s="38" t="s">
        <v>113</v>
      </c>
      <c r="E71" s="39" t="n">
        <v>3</v>
      </c>
      <c r="F71" s="39" t="n">
        <v>32</v>
      </c>
      <c r="G71" s="39" t="n">
        <v>14</v>
      </c>
      <c r="H71" s="38" t="s">
        <v>111</v>
      </c>
      <c r="I71" s="37"/>
      <c r="J71" s="40" t="str">
        <f aca="false">IF(B71="","",IFERROR(INDEX(cg_ID,MATCH(B71,cg_Name,0)),"Not on roster"))</f>
        <v>CG-1040</v>
      </c>
      <c r="K71" s="40" t="str">
        <f aca="false">IF(C71="","",IFERROR(INDEX(cl_ID,MATCH(C71,cl_Name,0)),"Not on roster"))</f>
        <v>CL-2009</v>
      </c>
      <c r="L71" s="28" t="n">
        <f aca="false">IF(OR(B71="",D71=""),"",IFERROR(INDEX(rt_Rate,MATCH(D71,rt_Code,0)),0))</f>
        <v>5.5</v>
      </c>
      <c r="M71" s="28" t="n">
        <f aca="false">IF(OR(B71="",D71=""),"",ROUND(N(F71)*L71,2))</f>
        <v>176</v>
      </c>
      <c r="N71" s="41" t="n">
        <f aca="false">IF(B71="","",ROUND(N(G71)*MileRate,2))</f>
        <v>8.68</v>
      </c>
      <c r="O71" s="28" t="n">
        <f aca="false">IF(B71="","",N(M71)+N71)</f>
        <v>184.68</v>
      </c>
      <c r="P71" s="40" t="str">
        <f aca="false">IF(B71="","",IF(INDEX(vc_Result,ROW()-4)="OK","OK",IF(H71="Hold","On hold",INDEX(vc_Result,ROW()-4))))</f>
        <v>OK</v>
      </c>
      <c r="Q71" s="28" t="n">
        <f aca="false">IF(B71="","",IF(H71="Pay",O71,0))</f>
        <v>184.68</v>
      </c>
      <c r="R71" s="42" t="n">
        <f aca="false">R70+IF(N(Q71)&gt;0,1,0)</f>
        <v>66</v>
      </c>
    </row>
    <row r="72" customFormat="false" ht="15" hidden="false" customHeight="false" outlineLevel="0" collapsed="false">
      <c r="A72" s="36" t="n">
        <f aca="false">IF(B72="","",ROW()-4)</f>
        <v>68</v>
      </c>
      <c r="B72" s="37" t="s">
        <v>193</v>
      </c>
      <c r="C72" s="37" t="s">
        <v>152</v>
      </c>
      <c r="D72" s="38" t="s">
        <v>113</v>
      </c>
      <c r="E72" s="39" t="n">
        <v>5</v>
      </c>
      <c r="F72" s="39" t="n">
        <v>62</v>
      </c>
      <c r="G72" s="39"/>
      <c r="H72" s="38" t="s">
        <v>111</v>
      </c>
      <c r="I72" s="37"/>
      <c r="J72" s="40" t="str">
        <f aca="false">IF(B72="","",IFERROR(INDEX(cg_ID,MATCH(B72,cg_Name,0)),"Not on roster"))</f>
        <v>CG-1040</v>
      </c>
      <c r="K72" s="40" t="str">
        <f aca="false">IF(C72="","",IFERROR(INDEX(cl_ID,MATCH(C72,cl_Name,0)),"Not on roster"))</f>
        <v>CL-2014</v>
      </c>
      <c r="L72" s="28" t="n">
        <f aca="false">IF(OR(B72="",D72=""),"",IFERROR(INDEX(rt_Rate,MATCH(D72,rt_Code,0)),0))</f>
        <v>5.5</v>
      </c>
      <c r="M72" s="28" t="n">
        <f aca="false">IF(OR(B72="",D72=""),"",ROUND(N(F72)*L72,2))</f>
        <v>341</v>
      </c>
      <c r="N72" s="41" t="n">
        <f aca="false">IF(B72="","",ROUND(N(G72)*MileRate,2))</f>
        <v>0</v>
      </c>
      <c r="O72" s="28" t="n">
        <f aca="false">IF(B72="","",N(M72)+N72)</f>
        <v>341</v>
      </c>
      <c r="P72" s="40" t="str">
        <f aca="false">IF(B72="","",IF(INDEX(vc_Result,ROW()-4)="OK","OK",IF(H72="Hold","On hold",INDEX(vc_Result,ROW()-4))))</f>
        <v>OK</v>
      </c>
      <c r="Q72" s="28" t="n">
        <f aca="false">IF(B72="","",IF(H72="Pay",O72,0))</f>
        <v>341</v>
      </c>
      <c r="R72" s="42" t="n">
        <f aca="false">R71+IF(N(Q72)&gt;0,1,0)</f>
        <v>67</v>
      </c>
    </row>
    <row r="73" customFormat="false" ht="15" hidden="false" customHeight="false" outlineLevel="0" collapsed="false">
      <c r="A73" s="36" t="n">
        <f aca="false">IF(B73="","",ROW()-4)</f>
        <v>69</v>
      </c>
      <c r="B73" s="37" t="s">
        <v>194</v>
      </c>
      <c r="C73" s="37" t="s">
        <v>195</v>
      </c>
      <c r="D73" s="38" t="s">
        <v>113</v>
      </c>
      <c r="E73" s="39" t="n">
        <v>5</v>
      </c>
      <c r="F73" s="39" t="n">
        <v>54</v>
      </c>
      <c r="G73" s="39"/>
      <c r="H73" s="38" t="s">
        <v>111</v>
      </c>
      <c r="I73" s="37"/>
      <c r="J73" s="40" t="str">
        <f aca="false">IF(B73="","",IFERROR(INDEX(cg_ID,MATCH(B73,cg_Name,0)),"Not on roster"))</f>
        <v>CG-1026</v>
      </c>
      <c r="K73" s="40" t="str">
        <f aca="false">IF(C73="","",IFERROR(INDEX(cl_ID,MATCH(C73,cl_Name,0)),"Not on roster"))</f>
        <v>CL-2063</v>
      </c>
      <c r="L73" s="28" t="n">
        <f aca="false">IF(OR(B73="",D73=""),"",IFERROR(INDEX(rt_Rate,MATCH(D73,rt_Code,0)),0))</f>
        <v>5.5</v>
      </c>
      <c r="M73" s="28" t="n">
        <f aca="false">IF(OR(B73="",D73=""),"",ROUND(N(F73)*L73,2))</f>
        <v>297</v>
      </c>
      <c r="N73" s="41" t="n">
        <f aca="false">IF(B73="","",ROUND(N(G73)*MileRate,2))</f>
        <v>0</v>
      </c>
      <c r="O73" s="28" t="n">
        <f aca="false">IF(B73="","",N(M73)+N73)</f>
        <v>297</v>
      </c>
      <c r="P73" s="40" t="str">
        <f aca="false">IF(B73="","",IF(INDEX(vc_Result,ROW()-4)="OK","OK",IF(H73="Hold","On hold",INDEX(vc_Result,ROW()-4))))</f>
        <v>OK</v>
      </c>
      <c r="Q73" s="28" t="n">
        <f aca="false">IF(B73="","",IF(H73="Pay",O73,0))</f>
        <v>297</v>
      </c>
      <c r="R73" s="42" t="n">
        <f aca="false">R72+IF(N(Q73)&gt;0,1,0)</f>
        <v>68</v>
      </c>
    </row>
    <row r="74" customFormat="false" ht="15" hidden="false" customHeight="false" outlineLevel="0" collapsed="false">
      <c r="A74" s="36" t="str">
        <f aca="false">IF(B74="","",ROW()-4)</f>
        <v/>
      </c>
      <c r="B74" s="37"/>
      <c r="C74" s="37"/>
      <c r="D74" s="38"/>
      <c r="E74" s="39"/>
      <c r="F74" s="39"/>
      <c r="G74" s="39"/>
      <c r="H74" s="38"/>
      <c r="I74" s="37"/>
      <c r="J74" s="40" t="str">
        <f aca="false">IF(B74="","",IFERROR(INDEX(cg_ID,MATCH(B74,cg_Name,0)),"Not on roster"))</f>
        <v/>
      </c>
      <c r="K74" s="40" t="str">
        <f aca="false">IF(C74="","",IFERROR(INDEX(cl_ID,MATCH(C74,cl_Name,0)),"Not on roster"))</f>
        <v/>
      </c>
      <c r="L74" s="28" t="str">
        <f aca="false">IF(OR(B74="",D74=""),"",IFERROR(INDEX(rt_Rate,MATCH(D74,rt_Code,0)),0))</f>
        <v/>
      </c>
      <c r="M74" s="28" t="str">
        <f aca="false">IF(OR(B74="",D74=""),"",ROUND(N(F74)*L74,2))</f>
        <v/>
      </c>
      <c r="N74" s="41" t="str">
        <f aca="false">IF(B74="","",ROUND(N(G74)*MileRate,2))</f>
        <v/>
      </c>
      <c r="O74" s="28" t="str">
        <f aca="false">IF(B74="","",N(M74)+N74)</f>
        <v/>
      </c>
      <c r="P74" s="40" t="str">
        <f aca="false">IF(B74="","",IF(INDEX(vc_Result,ROW()-4)="OK","OK",IF(H74="Hold","On hold",INDEX(vc_Result,ROW()-4))))</f>
        <v/>
      </c>
      <c r="Q74" s="28" t="str">
        <f aca="false">IF(B74="","",IF(H74="Pay",O74,0))</f>
        <v/>
      </c>
      <c r="R74" s="42" t="n">
        <f aca="false">R73+IF(N(Q74)&gt;0,1,0)</f>
        <v>68</v>
      </c>
    </row>
    <row r="75" customFormat="false" ht="15" hidden="false" customHeight="false" outlineLevel="0" collapsed="false">
      <c r="A75" s="36" t="str">
        <f aca="false">IF(B75="","",ROW()-4)</f>
        <v/>
      </c>
      <c r="B75" s="37"/>
      <c r="C75" s="37"/>
      <c r="D75" s="38"/>
      <c r="E75" s="39"/>
      <c r="F75" s="39"/>
      <c r="G75" s="39"/>
      <c r="H75" s="38"/>
      <c r="I75" s="37"/>
      <c r="J75" s="40" t="str">
        <f aca="false">IF(B75="","",IFERROR(INDEX(cg_ID,MATCH(B75,cg_Name,0)),"Not on roster"))</f>
        <v/>
      </c>
      <c r="K75" s="40" t="str">
        <f aca="false">IF(C75="","",IFERROR(INDEX(cl_ID,MATCH(C75,cl_Name,0)),"Not on roster"))</f>
        <v/>
      </c>
      <c r="L75" s="28" t="str">
        <f aca="false">IF(OR(B75="",D75=""),"",IFERROR(INDEX(rt_Rate,MATCH(D75,rt_Code,0)),0))</f>
        <v/>
      </c>
      <c r="M75" s="28" t="str">
        <f aca="false">IF(OR(B75="",D75=""),"",ROUND(N(F75)*L75,2))</f>
        <v/>
      </c>
      <c r="N75" s="41" t="str">
        <f aca="false">IF(B75="","",ROUND(N(G75)*MileRate,2))</f>
        <v/>
      </c>
      <c r="O75" s="28" t="str">
        <f aca="false">IF(B75="","",N(M75)+N75)</f>
        <v/>
      </c>
      <c r="P75" s="40" t="str">
        <f aca="false">IF(B75="","",IF(INDEX(vc_Result,ROW()-4)="OK","OK",IF(H75="Hold","On hold",INDEX(vc_Result,ROW()-4))))</f>
        <v/>
      </c>
      <c r="Q75" s="28" t="str">
        <f aca="false">IF(B75="","",IF(H75="Pay",O75,0))</f>
        <v/>
      </c>
      <c r="R75" s="42" t="n">
        <f aca="false">R74+IF(N(Q75)&gt;0,1,0)</f>
        <v>68</v>
      </c>
    </row>
    <row r="76" customFormat="false" ht="15" hidden="false" customHeight="false" outlineLevel="0" collapsed="false">
      <c r="A76" s="36" t="str">
        <f aca="false">IF(B76="","",ROW()-4)</f>
        <v/>
      </c>
      <c r="B76" s="37"/>
      <c r="C76" s="37"/>
      <c r="D76" s="38"/>
      <c r="E76" s="39"/>
      <c r="F76" s="39"/>
      <c r="G76" s="39"/>
      <c r="H76" s="38"/>
      <c r="I76" s="37"/>
      <c r="J76" s="40" t="str">
        <f aca="false">IF(B76="","",IFERROR(INDEX(cg_ID,MATCH(B76,cg_Name,0)),"Not on roster"))</f>
        <v/>
      </c>
      <c r="K76" s="40" t="str">
        <f aca="false">IF(C76="","",IFERROR(INDEX(cl_ID,MATCH(C76,cl_Name,0)),"Not on roster"))</f>
        <v/>
      </c>
      <c r="L76" s="28" t="str">
        <f aca="false">IF(OR(B76="",D76=""),"",IFERROR(INDEX(rt_Rate,MATCH(D76,rt_Code,0)),0))</f>
        <v/>
      </c>
      <c r="M76" s="28" t="str">
        <f aca="false">IF(OR(B76="",D76=""),"",ROUND(N(F76)*L76,2))</f>
        <v/>
      </c>
      <c r="N76" s="41" t="str">
        <f aca="false">IF(B76="","",ROUND(N(G76)*MileRate,2))</f>
        <v/>
      </c>
      <c r="O76" s="28" t="str">
        <f aca="false">IF(B76="","",N(M76)+N76)</f>
        <v/>
      </c>
      <c r="P76" s="40" t="str">
        <f aca="false">IF(B76="","",IF(INDEX(vc_Result,ROW()-4)="OK","OK",IF(H76="Hold","On hold",INDEX(vc_Result,ROW()-4))))</f>
        <v/>
      </c>
      <c r="Q76" s="28" t="str">
        <f aca="false">IF(B76="","",IF(H76="Pay",O76,0))</f>
        <v/>
      </c>
      <c r="R76" s="42" t="n">
        <f aca="false">R75+IF(N(Q76)&gt;0,1,0)</f>
        <v>68</v>
      </c>
    </row>
    <row r="77" customFormat="false" ht="15" hidden="false" customHeight="false" outlineLevel="0" collapsed="false">
      <c r="A77" s="36" t="str">
        <f aca="false">IF(B77="","",ROW()-4)</f>
        <v/>
      </c>
      <c r="B77" s="37"/>
      <c r="C77" s="37"/>
      <c r="D77" s="38"/>
      <c r="E77" s="39"/>
      <c r="F77" s="39"/>
      <c r="G77" s="39"/>
      <c r="H77" s="38"/>
      <c r="I77" s="37"/>
      <c r="J77" s="40" t="str">
        <f aca="false">IF(B77="","",IFERROR(INDEX(cg_ID,MATCH(B77,cg_Name,0)),"Not on roster"))</f>
        <v/>
      </c>
      <c r="K77" s="40" t="str">
        <f aca="false">IF(C77="","",IFERROR(INDEX(cl_ID,MATCH(C77,cl_Name,0)),"Not on roster"))</f>
        <v/>
      </c>
      <c r="L77" s="28" t="str">
        <f aca="false">IF(OR(B77="",D77=""),"",IFERROR(INDEX(rt_Rate,MATCH(D77,rt_Code,0)),0))</f>
        <v/>
      </c>
      <c r="M77" s="28" t="str">
        <f aca="false">IF(OR(B77="",D77=""),"",ROUND(N(F77)*L77,2))</f>
        <v/>
      </c>
      <c r="N77" s="41" t="str">
        <f aca="false">IF(B77="","",ROUND(N(G77)*MileRate,2))</f>
        <v/>
      </c>
      <c r="O77" s="28" t="str">
        <f aca="false">IF(B77="","",N(M77)+N77)</f>
        <v/>
      </c>
      <c r="P77" s="40" t="str">
        <f aca="false">IF(B77="","",IF(INDEX(vc_Result,ROW()-4)="OK","OK",IF(H77="Hold","On hold",INDEX(vc_Result,ROW()-4))))</f>
        <v/>
      </c>
      <c r="Q77" s="28" t="str">
        <f aca="false">IF(B77="","",IF(H77="Pay",O77,0))</f>
        <v/>
      </c>
      <c r="R77" s="42" t="n">
        <f aca="false">R76+IF(N(Q77)&gt;0,1,0)</f>
        <v>68</v>
      </c>
    </row>
    <row r="78" customFormat="false" ht="15" hidden="false" customHeight="false" outlineLevel="0" collapsed="false">
      <c r="A78" s="36" t="str">
        <f aca="false">IF(B78="","",ROW()-4)</f>
        <v/>
      </c>
      <c r="B78" s="37"/>
      <c r="C78" s="37"/>
      <c r="D78" s="38"/>
      <c r="E78" s="39"/>
      <c r="F78" s="39"/>
      <c r="G78" s="39"/>
      <c r="H78" s="38"/>
      <c r="I78" s="37"/>
      <c r="J78" s="40" t="str">
        <f aca="false">IF(B78="","",IFERROR(INDEX(cg_ID,MATCH(B78,cg_Name,0)),"Not on roster"))</f>
        <v/>
      </c>
      <c r="K78" s="40" t="str">
        <f aca="false">IF(C78="","",IFERROR(INDEX(cl_ID,MATCH(C78,cl_Name,0)),"Not on roster"))</f>
        <v/>
      </c>
      <c r="L78" s="28" t="str">
        <f aca="false">IF(OR(B78="",D78=""),"",IFERROR(INDEX(rt_Rate,MATCH(D78,rt_Code,0)),0))</f>
        <v/>
      </c>
      <c r="M78" s="28" t="str">
        <f aca="false">IF(OR(B78="",D78=""),"",ROUND(N(F78)*L78,2))</f>
        <v/>
      </c>
      <c r="N78" s="41" t="str">
        <f aca="false">IF(B78="","",ROUND(N(G78)*MileRate,2))</f>
        <v/>
      </c>
      <c r="O78" s="28" t="str">
        <f aca="false">IF(B78="","",N(M78)+N78)</f>
        <v/>
      </c>
      <c r="P78" s="40" t="str">
        <f aca="false">IF(B78="","",IF(INDEX(vc_Result,ROW()-4)="OK","OK",IF(H78="Hold","On hold",INDEX(vc_Result,ROW()-4))))</f>
        <v/>
      </c>
      <c r="Q78" s="28" t="str">
        <f aca="false">IF(B78="","",IF(H78="Pay",O78,0))</f>
        <v/>
      </c>
      <c r="R78" s="42" t="n">
        <f aca="false">R77+IF(N(Q78)&gt;0,1,0)</f>
        <v>68</v>
      </c>
    </row>
    <row r="79" customFormat="false" ht="15" hidden="false" customHeight="false" outlineLevel="0" collapsed="false">
      <c r="A79" s="36" t="str">
        <f aca="false">IF(B79="","",ROW()-4)</f>
        <v/>
      </c>
      <c r="B79" s="37"/>
      <c r="C79" s="37"/>
      <c r="D79" s="38"/>
      <c r="E79" s="39"/>
      <c r="F79" s="39"/>
      <c r="G79" s="39"/>
      <c r="H79" s="38"/>
      <c r="I79" s="37"/>
      <c r="J79" s="40" t="str">
        <f aca="false">IF(B79="","",IFERROR(INDEX(cg_ID,MATCH(B79,cg_Name,0)),"Not on roster"))</f>
        <v/>
      </c>
      <c r="K79" s="40" t="str">
        <f aca="false">IF(C79="","",IFERROR(INDEX(cl_ID,MATCH(C79,cl_Name,0)),"Not on roster"))</f>
        <v/>
      </c>
      <c r="L79" s="28" t="str">
        <f aca="false">IF(OR(B79="",D79=""),"",IFERROR(INDEX(rt_Rate,MATCH(D79,rt_Code,0)),0))</f>
        <v/>
      </c>
      <c r="M79" s="28" t="str">
        <f aca="false">IF(OR(B79="",D79=""),"",ROUND(N(F79)*L79,2))</f>
        <v/>
      </c>
      <c r="N79" s="41" t="str">
        <f aca="false">IF(B79="","",ROUND(N(G79)*MileRate,2))</f>
        <v/>
      </c>
      <c r="O79" s="28" t="str">
        <f aca="false">IF(B79="","",N(M79)+N79)</f>
        <v/>
      </c>
      <c r="P79" s="40" t="str">
        <f aca="false">IF(B79="","",IF(INDEX(vc_Result,ROW()-4)="OK","OK",IF(H79="Hold","On hold",INDEX(vc_Result,ROW()-4))))</f>
        <v/>
      </c>
      <c r="Q79" s="28" t="str">
        <f aca="false">IF(B79="","",IF(H79="Pay",O79,0))</f>
        <v/>
      </c>
      <c r="R79" s="42" t="n">
        <f aca="false">R78+IF(N(Q79)&gt;0,1,0)</f>
        <v>68</v>
      </c>
    </row>
    <row r="80" customFormat="false" ht="15" hidden="false" customHeight="false" outlineLevel="0" collapsed="false">
      <c r="A80" s="36" t="str">
        <f aca="false">IF(B80="","",ROW()-4)</f>
        <v/>
      </c>
      <c r="B80" s="37"/>
      <c r="C80" s="37"/>
      <c r="D80" s="38"/>
      <c r="E80" s="39"/>
      <c r="F80" s="39"/>
      <c r="G80" s="39"/>
      <c r="H80" s="38"/>
      <c r="I80" s="37"/>
      <c r="J80" s="40" t="str">
        <f aca="false">IF(B80="","",IFERROR(INDEX(cg_ID,MATCH(B80,cg_Name,0)),"Not on roster"))</f>
        <v/>
      </c>
      <c r="K80" s="40" t="str">
        <f aca="false">IF(C80="","",IFERROR(INDEX(cl_ID,MATCH(C80,cl_Name,0)),"Not on roster"))</f>
        <v/>
      </c>
      <c r="L80" s="28" t="str">
        <f aca="false">IF(OR(B80="",D80=""),"",IFERROR(INDEX(rt_Rate,MATCH(D80,rt_Code,0)),0))</f>
        <v/>
      </c>
      <c r="M80" s="28" t="str">
        <f aca="false">IF(OR(B80="",D80=""),"",ROUND(N(F80)*L80,2))</f>
        <v/>
      </c>
      <c r="N80" s="41" t="str">
        <f aca="false">IF(B80="","",ROUND(N(G80)*MileRate,2))</f>
        <v/>
      </c>
      <c r="O80" s="28" t="str">
        <f aca="false">IF(B80="","",N(M80)+N80)</f>
        <v/>
      </c>
      <c r="P80" s="40" t="str">
        <f aca="false">IF(B80="","",IF(INDEX(vc_Result,ROW()-4)="OK","OK",IF(H80="Hold","On hold",INDEX(vc_Result,ROW()-4))))</f>
        <v/>
      </c>
      <c r="Q80" s="28" t="str">
        <f aca="false">IF(B80="","",IF(H80="Pay",O80,0))</f>
        <v/>
      </c>
      <c r="R80" s="42" t="n">
        <f aca="false">R79+IF(N(Q80)&gt;0,1,0)</f>
        <v>68</v>
      </c>
    </row>
    <row r="81" customFormat="false" ht="15" hidden="false" customHeight="false" outlineLevel="0" collapsed="false">
      <c r="A81" s="36" t="str">
        <f aca="false">IF(B81="","",ROW()-4)</f>
        <v/>
      </c>
      <c r="B81" s="37"/>
      <c r="C81" s="37"/>
      <c r="D81" s="38"/>
      <c r="E81" s="39"/>
      <c r="F81" s="39"/>
      <c r="G81" s="39"/>
      <c r="H81" s="38"/>
      <c r="I81" s="37"/>
      <c r="J81" s="40" t="str">
        <f aca="false">IF(B81="","",IFERROR(INDEX(cg_ID,MATCH(B81,cg_Name,0)),"Not on roster"))</f>
        <v/>
      </c>
      <c r="K81" s="40" t="str">
        <f aca="false">IF(C81="","",IFERROR(INDEX(cl_ID,MATCH(C81,cl_Name,0)),"Not on roster"))</f>
        <v/>
      </c>
      <c r="L81" s="28" t="str">
        <f aca="false">IF(OR(B81="",D81=""),"",IFERROR(INDEX(rt_Rate,MATCH(D81,rt_Code,0)),0))</f>
        <v/>
      </c>
      <c r="M81" s="28" t="str">
        <f aca="false">IF(OR(B81="",D81=""),"",ROUND(N(F81)*L81,2))</f>
        <v/>
      </c>
      <c r="N81" s="41" t="str">
        <f aca="false">IF(B81="","",ROUND(N(G81)*MileRate,2))</f>
        <v/>
      </c>
      <c r="O81" s="28" t="str">
        <f aca="false">IF(B81="","",N(M81)+N81)</f>
        <v/>
      </c>
      <c r="P81" s="40" t="str">
        <f aca="false">IF(B81="","",IF(INDEX(vc_Result,ROW()-4)="OK","OK",IF(H81="Hold","On hold",INDEX(vc_Result,ROW()-4))))</f>
        <v/>
      </c>
      <c r="Q81" s="28" t="str">
        <f aca="false">IF(B81="","",IF(H81="Pay",O81,0))</f>
        <v/>
      </c>
      <c r="R81" s="42" t="n">
        <f aca="false">R80+IF(N(Q81)&gt;0,1,0)</f>
        <v>68</v>
      </c>
    </row>
    <row r="82" customFormat="false" ht="15" hidden="false" customHeight="false" outlineLevel="0" collapsed="false">
      <c r="A82" s="36" t="str">
        <f aca="false">IF(B82="","",ROW()-4)</f>
        <v/>
      </c>
      <c r="B82" s="37"/>
      <c r="C82" s="37"/>
      <c r="D82" s="38"/>
      <c r="E82" s="39"/>
      <c r="F82" s="39"/>
      <c r="G82" s="39"/>
      <c r="H82" s="38"/>
      <c r="I82" s="37"/>
      <c r="J82" s="40" t="str">
        <f aca="false">IF(B82="","",IFERROR(INDEX(cg_ID,MATCH(B82,cg_Name,0)),"Not on roster"))</f>
        <v/>
      </c>
      <c r="K82" s="40" t="str">
        <f aca="false">IF(C82="","",IFERROR(INDEX(cl_ID,MATCH(C82,cl_Name,0)),"Not on roster"))</f>
        <v/>
      </c>
      <c r="L82" s="28" t="str">
        <f aca="false">IF(OR(B82="",D82=""),"",IFERROR(INDEX(rt_Rate,MATCH(D82,rt_Code,0)),0))</f>
        <v/>
      </c>
      <c r="M82" s="28" t="str">
        <f aca="false">IF(OR(B82="",D82=""),"",ROUND(N(F82)*L82,2))</f>
        <v/>
      </c>
      <c r="N82" s="41" t="str">
        <f aca="false">IF(B82="","",ROUND(N(G82)*MileRate,2))</f>
        <v/>
      </c>
      <c r="O82" s="28" t="str">
        <f aca="false">IF(B82="","",N(M82)+N82)</f>
        <v/>
      </c>
      <c r="P82" s="40" t="str">
        <f aca="false">IF(B82="","",IF(INDEX(vc_Result,ROW()-4)="OK","OK",IF(H82="Hold","On hold",INDEX(vc_Result,ROW()-4))))</f>
        <v/>
      </c>
      <c r="Q82" s="28" t="str">
        <f aca="false">IF(B82="","",IF(H82="Pay",O82,0))</f>
        <v/>
      </c>
      <c r="R82" s="42" t="n">
        <f aca="false">R81+IF(N(Q82)&gt;0,1,0)</f>
        <v>68</v>
      </c>
    </row>
    <row r="83" customFormat="false" ht="15" hidden="false" customHeight="false" outlineLevel="0" collapsed="false">
      <c r="A83" s="36" t="str">
        <f aca="false">IF(B83="","",ROW()-4)</f>
        <v/>
      </c>
      <c r="B83" s="37"/>
      <c r="C83" s="37"/>
      <c r="D83" s="38"/>
      <c r="E83" s="39"/>
      <c r="F83" s="39"/>
      <c r="G83" s="39"/>
      <c r="H83" s="38"/>
      <c r="I83" s="37"/>
      <c r="J83" s="40" t="str">
        <f aca="false">IF(B83="","",IFERROR(INDEX(cg_ID,MATCH(B83,cg_Name,0)),"Not on roster"))</f>
        <v/>
      </c>
      <c r="K83" s="40" t="str">
        <f aca="false">IF(C83="","",IFERROR(INDEX(cl_ID,MATCH(C83,cl_Name,0)),"Not on roster"))</f>
        <v/>
      </c>
      <c r="L83" s="28" t="str">
        <f aca="false">IF(OR(B83="",D83=""),"",IFERROR(INDEX(rt_Rate,MATCH(D83,rt_Code,0)),0))</f>
        <v/>
      </c>
      <c r="M83" s="28" t="str">
        <f aca="false">IF(OR(B83="",D83=""),"",ROUND(N(F83)*L83,2))</f>
        <v/>
      </c>
      <c r="N83" s="41" t="str">
        <f aca="false">IF(B83="","",ROUND(N(G83)*MileRate,2))</f>
        <v/>
      </c>
      <c r="O83" s="28" t="str">
        <f aca="false">IF(B83="","",N(M83)+N83)</f>
        <v/>
      </c>
      <c r="P83" s="40" t="str">
        <f aca="false">IF(B83="","",IF(INDEX(vc_Result,ROW()-4)="OK","OK",IF(H83="Hold","On hold",INDEX(vc_Result,ROW()-4))))</f>
        <v/>
      </c>
      <c r="Q83" s="28" t="str">
        <f aca="false">IF(B83="","",IF(H83="Pay",O83,0))</f>
        <v/>
      </c>
      <c r="R83" s="42" t="n">
        <f aca="false">R82+IF(N(Q83)&gt;0,1,0)</f>
        <v>68</v>
      </c>
    </row>
    <row r="84" customFormat="false" ht="15" hidden="false" customHeight="false" outlineLevel="0" collapsed="false">
      <c r="A84" s="36" t="str">
        <f aca="false">IF(B84="","",ROW()-4)</f>
        <v/>
      </c>
      <c r="B84" s="37"/>
      <c r="C84" s="37"/>
      <c r="D84" s="38"/>
      <c r="E84" s="39"/>
      <c r="F84" s="39"/>
      <c r="G84" s="39"/>
      <c r="H84" s="38"/>
      <c r="I84" s="37"/>
      <c r="J84" s="40" t="str">
        <f aca="false">IF(B84="","",IFERROR(INDEX(cg_ID,MATCH(B84,cg_Name,0)),"Not on roster"))</f>
        <v/>
      </c>
      <c r="K84" s="40" t="str">
        <f aca="false">IF(C84="","",IFERROR(INDEX(cl_ID,MATCH(C84,cl_Name,0)),"Not on roster"))</f>
        <v/>
      </c>
      <c r="L84" s="28" t="str">
        <f aca="false">IF(OR(B84="",D84=""),"",IFERROR(INDEX(rt_Rate,MATCH(D84,rt_Code,0)),0))</f>
        <v/>
      </c>
      <c r="M84" s="28" t="str">
        <f aca="false">IF(OR(B84="",D84=""),"",ROUND(N(F84)*L84,2))</f>
        <v/>
      </c>
      <c r="N84" s="41" t="str">
        <f aca="false">IF(B84="","",ROUND(N(G84)*MileRate,2))</f>
        <v/>
      </c>
      <c r="O84" s="28" t="str">
        <f aca="false">IF(B84="","",N(M84)+N84)</f>
        <v/>
      </c>
      <c r="P84" s="40" t="str">
        <f aca="false">IF(B84="","",IF(INDEX(vc_Result,ROW()-4)="OK","OK",IF(H84="Hold","On hold",INDEX(vc_Result,ROW()-4))))</f>
        <v/>
      </c>
      <c r="Q84" s="28" t="str">
        <f aca="false">IF(B84="","",IF(H84="Pay",O84,0))</f>
        <v/>
      </c>
      <c r="R84" s="42" t="n">
        <f aca="false">R83+IF(N(Q84)&gt;0,1,0)</f>
        <v>68</v>
      </c>
    </row>
    <row r="85" customFormat="false" ht="15" hidden="false" customHeight="false" outlineLevel="0" collapsed="false">
      <c r="A85" s="36" t="str">
        <f aca="false">IF(B85="","",ROW()-4)</f>
        <v/>
      </c>
      <c r="B85" s="37"/>
      <c r="C85" s="37"/>
      <c r="D85" s="38"/>
      <c r="E85" s="39"/>
      <c r="F85" s="39"/>
      <c r="G85" s="39"/>
      <c r="H85" s="38"/>
      <c r="I85" s="37"/>
      <c r="J85" s="40" t="str">
        <f aca="false">IF(B85="","",IFERROR(INDEX(cg_ID,MATCH(B85,cg_Name,0)),"Not on roster"))</f>
        <v/>
      </c>
      <c r="K85" s="40" t="str">
        <f aca="false">IF(C85="","",IFERROR(INDEX(cl_ID,MATCH(C85,cl_Name,0)),"Not on roster"))</f>
        <v/>
      </c>
      <c r="L85" s="28" t="str">
        <f aca="false">IF(OR(B85="",D85=""),"",IFERROR(INDEX(rt_Rate,MATCH(D85,rt_Code,0)),0))</f>
        <v/>
      </c>
      <c r="M85" s="28" t="str">
        <f aca="false">IF(OR(B85="",D85=""),"",ROUND(N(F85)*L85,2))</f>
        <v/>
      </c>
      <c r="N85" s="41" t="str">
        <f aca="false">IF(B85="","",ROUND(N(G85)*MileRate,2))</f>
        <v/>
      </c>
      <c r="O85" s="28" t="str">
        <f aca="false">IF(B85="","",N(M85)+N85)</f>
        <v/>
      </c>
      <c r="P85" s="40" t="str">
        <f aca="false">IF(B85="","",IF(INDEX(vc_Result,ROW()-4)="OK","OK",IF(H85="Hold","On hold",INDEX(vc_Result,ROW()-4))))</f>
        <v/>
      </c>
      <c r="Q85" s="28" t="str">
        <f aca="false">IF(B85="","",IF(H85="Pay",O85,0))</f>
        <v/>
      </c>
      <c r="R85" s="42" t="n">
        <f aca="false">R84+IF(N(Q85)&gt;0,1,0)</f>
        <v>68</v>
      </c>
    </row>
    <row r="86" customFormat="false" ht="15" hidden="false" customHeight="false" outlineLevel="0" collapsed="false">
      <c r="A86" s="36" t="str">
        <f aca="false">IF(B86="","",ROW()-4)</f>
        <v/>
      </c>
      <c r="B86" s="37"/>
      <c r="C86" s="37"/>
      <c r="D86" s="38"/>
      <c r="E86" s="39"/>
      <c r="F86" s="39"/>
      <c r="G86" s="39"/>
      <c r="H86" s="38"/>
      <c r="I86" s="37"/>
      <c r="J86" s="40" t="str">
        <f aca="false">IF(B86="","",IFERROR(INDEX(cg_ID,MATCH(B86,cg_Name,0)),"Not on roster"))</f>
        <v/>
      </c>
      <c r="K86" s="40" t="str">
        <f aca="false">IF(C86="","",IFERROR(INDEX(cl_ID,MATCH(C86,cl_Name,0)),"Not on roster"))</f>
        <v/>
      </c>
      <c r="L86" s="28" t="str">
        <f aca="false">IF(OR(B86="",D86=""),"",IFERROR(INDEX(rt_Rate,MATCH(D86,rt_Code,0)),0))</f>
        <v/>
      </c>
      <c r="M86" s="28" t="str">
        <f aca="false">IF(OR(B86="",D86=""),"",ROUND(N(F86)*L86,2))</f>
        <v/>
      </c>
      <c r="N86" s="41" t="str">
        <f aca="false">IF(B86="","",ROUND(N(G86)*MileRate,2))</f>
        <v/>
      </c>
      <c r="O86" s="28" t="str">
        <f aca="false">IF(B86="","",N(M86)+N86)</f>
        <v/>
      </c>
      <c r="P86" s="40" t="str">
        <f aca="false">IF(B86="","",IF(INDEX(vc_Result,ROW()-4)="OK","OK",IF(H86="Hold","On hold",INDEX(vc_Result,ROW()-4))))</f>
        <v/>
      </c>
      <c r="Q86" s="28" t="str">
        <f aca="false">IF(B86="","",IF(H86="Pay",O86,0))</f>
        <v/>
      </c>
      <c r="R86" s="42" t="n">
        <f aca="false">R85+IF(N(Q86)&gt;0,1,0)</f>
        <v>68</v>
      </c>
    </row>
    <row r="87" customFormat="false" ht="15" hidden="false" customHeight="false" outlineLevel="0" collapsed="false">
      <c r="A87" s="36" t="str">
        <f aca="false">IF(B87="","",ROW()-4)</f>
        <v/>
      </c>
      <c r="B87" s="37"/>
      <c r="C87" s="37"/>
      <c r="D87" s="38"/>
      <c r="E87" s="39"/>
      <c r="F87" s="39"/>
      <c r="G87" s="39"/>
      <c r="H87" s="38"/>
      <c r="I87" s="37"/>
      <c r="J87" s="40" t="str">
        <f aca="false">IF(B87="","",IFERROR(INDEX(cg_ID,MATCH(B87,cg_Name,0)),"Not on roster"))</f>
        <v/>
      </c>
      <c r="K87" s="40" t="str">
        <f aca="false">IF(C87="","",IFERROR(INDEX(cl_ID,MATCH(C87,cl_Name,0)),"Not on roster"))</f>
        <v/>
      </c>
      <c r="L87" s="28" t="str">
        <f aca="false">IF(OR(B87="",D87=""),"",IFERROR(INDEX(rt_Rate,MATCH(D87,rt_Code,0)),0))</f>
        <v/>
      </c>
      <c r="M87" s="28" t="str">
        <f aca="false">IF(OR(B87="",D87=""),"",ROUND(N(F87)*L87,2))</f>
        <v/>
      </c>
      <c r="N87" s="41" t="str">
        <f aca="false">IF(B87="","",ROUND(N(G87)*MileRate,2))</f>
        <v/>
      </c>
      <c r="O87" s="28" t="str">
        <f aca="false">IF(B87="","",N(M87)+N87)</f>
        <v/>
      </c>
      <c r="P87" s="40" t="str">
        <f aca="false">IF(B87="","",IF(INDEX(vc_Result,ROW()-4)="OK","OK",IF(H87="Hold","On hold",INDEX(vc_Result,ROW()-4))))</f>
        <v/>
      </c>
      <c r="Q87" s="28" t="str">
        <f aca="false">IF(B87="","",IF(H87="Pay",O87,0))</f>
        <v/>
      </c>
      <c r="R87" s="42" t="n">
        <f aca="false">R86+IF(N(Q87)&gt;0,1,0)</f>
        <v>68</v>
      </c>
    </row>
    <row r="88" customFormat="false" ht="15" hidden="false" customHeight="false" outlineLevel="0" collapsed="false">
      <c r="A88" s="36" t="str">
        <f aca="false">IF(B88="","",ROW()-4)</f>
        <v/>
      </c>
      <c r="B88" s="37"/>
      <c r="C88" s="37"/>
      <c r="D88" s="38"/>
      <c r="E88" s="39"/>
      <c r="F88" s="39"/>
      <c r="G88" s="39"/>
      <c r="H88" s="38"/>
      <c r="I88" s="37"/>
      <c r="J88" s="40" t="str">
        <f aca="false">IF(B88="","",IFERROR(INDEX(cg_ID,MATCH(B88,cg_Name,0)),"Not on roster"))</f>
        <v/>
      </c>
      <c r="K88" s="40" t="str">
        <f aca="false">IF(C88="","",IFERROR(INDEX(cl_ID,MATCH(C88,cl_Name,0)),"Not on roster"))</f>
        <v/>
      </c>
      <c r="L88" s="28" t="str">
        <f aca="false">IF(OR(B88="",D88=""),"",IFERROR(INDEX(rt_Rate,MATCH(D88,rt_Code,0)),0))</f>
        <v/>
      </c>
      <c r="M88" s="28" t="str">
        <f aca="false">IF(OR(B88="",D88=""),"",ROUND(N(F88)*L88,2))</f>
        <v/>
      </c>
      <c r="N88" s="41" t="str">
        <f aca="false">IF(B88="","",ROUND(N(G88)*MileRate,2))</f>
        <v/>
      </c>
      <c r="O88" s="28" t="str">
        <f aca="false">IF(B88="","",N(M88)+N88)</f>
        <v/>
      </c>
      <c r="P88" s="40" t="str">
        <f aca="false">IF(B88="","",IF(INDEX(vc_Result,ROW()-4)="OK","OK",IF(H88="Hold","On hold",INDEX(vc_Result,ROW()-4))))</f>
        <v/>
      </c>
      <c r="Q88" s="28" t="str">
        <f aca="false">IF(B88="","",IF(H88="Pay",O88,0))</f>
        <v/>
      </c>
      <c r="R88" s="42" t="n">
        <f aca="false">R87+IF(N(Q88)&gt;0,1,0)</f>
        <v>68</v>
      </c>
    </row>
    <row r="89" customFormat="false" ht="15" hidden="false" customHeight="false" outlineLevel="0" collapsed="false">
      <c r="A89" s="36" t="str">
        <f aca="false">IF(B89="","",ROW()-4)</f>
        <v/>
      </c>
      <c r="B89" s="37"/>
      <c r="C89" s="37"/>
      <c r="D89" s="38"/>
      <c r="E89" s="39"/>
      <c r="F89" s="39"/>
      <c r="G89" s="39"/>
      <c r="H89" s="38"/>
      <c r="I89" s="37"/>
      <c r="J89" s="40" t="str">
        <f aca="false">IF(B89="","",IFERROR(INDEX(cg_ID,MATCH(B89,cg_Name,0)),"Not on roster"))</f>
        <v/>
      </c>
      <c r="K89" s="40" t="str">
        <f aca="false">IF(C89="","",IFERROR(INDEX(cl_ID,MATCH(C89,cl_Name,0)),"Not on roster"))</f>
        <v/>
      </c>
      <c r="L89" s="28" t="str">
        <f aca="false">IF(OR(B89="",D89=""),"",IFERROR(INDEX(rt_Rate,MATCH(D89,rt_Code,0)),0))</f>
        <v/>
      </c>
      <c r="M89" s="28" t="str">
        <f aca="false">IF(OR(B89="",D89=""),"",ROUND(N(F89)*L89,2))</f>
        <v/>
      </c>
      <c r="N89" s="41" t="str">
        <f aca="false">IF(B89="","",ROUND(N(G89)*MileRate,2))</f>
        <v/>
      </c>
      <c r="O89" s="28" t="str">
        <f aca="false">IF(B89="","",N(M89)+N89)</f>
        <v/>
      </c>
      <c r="P89" s="40" t="str">
        <f aca="false">IF(B89="","",IF(INDEX(vc_Result,ROW()-4)="OK","OK",IF(H89="Hold","On hold",INDEX(vc_Result,ROW()-4))))</f>
        <v/>
      </c>
      <c r="Q89" s="28" t="str">
        <f aca="false">IF(B89="","",IF(H89="Pay",O89,0))</f>
        <v/>
      </c>
      <c r="R89" s="42" t="n">
        <f aca="false">R88+IF(N(Q89)&gt;0,1,0)</f>
        <v>68</v>
      </c>
    </row>
    <row r="90" customFormat="false" ht="15" hidden="false" customHeight="false" outlineLevel="0" collapsed="false">
      <c r="A90" s="36" t="str">
        <f aca="false">IF(B90="","",ROW()-4)</f>
        <v/>
      </c>
      <c r="B90" s="37"/>
      <c r="C90" s="37"/>
      <c r="D90" s="38"/>
      <c r="E90" s="39"/>
      <c r="F90" s="39"/>
      <c r="G90" s="39"/>
      <c r="H90" s="38"/>
      <c r="I90" s="37"/>
      <c r="J90" s="40" t="str">
        <f aca="false">IF(B90="","",IFERROR(INDEX(cg_ID,MATCH(B90,cg_Name,0)),"Not on roster"))</f>
        <v/>
      </c>
      <c r="K90" s="40" t="str">
        <f aca="false">IF(C90="","",IFERROR(INDEX(cl_ID,MATCH(C90,cl_Name,0)),"Not on roster"))</f>
        <v/>
      </c>
      <c r="L90" s="28" t="str">
        <f aca="false">IF(OR(B90="",D90=""),"",IFERROR(INDEX(rt_Rate,MATCH(D90,rt_Code,0)),0))</f>
        <v/>
      </c>
      <c r="M90" s="28" t="str">
        <f aca="false">IF(OR(B90="",D90=""),"",ROUND(N(F90)*L90,2))</f>
        <v/>
      </c>
      <c r="N90" s="41" t="str">
        <f aca="false">IF(B90="","",ROUND(N(G90)*MileRate,2))</f>
        <v/>
      </c>
      <c r="O90" s="28" t="str">
        <f aca="false">IF(B90="","",N(M90)+N90)</f>
        <v/>
      </c>
      <c r="P90" s="40" t="str">
        <f aca="false">IF(B90="","",IF(INDEX(vc_Result,ROW()-4)="OK","OK",IF(H90="Hold","On hold",INDEX(vc_Result,ROW()-4))))</f>
        <v/>
      </c>
      <c r="Q90" s="28" t="str">
        <f aca="false">IF(B90="","",IF(H90="Pay",O90,0))</f>
        <v/>
      </c>
      <c r="R90" s="42" t="n">
        <f aca="false">R89+IF(N(Q90)&gt;0,1,0)</f>
        <v>68</v>
      </c>
    </row>
    <row r="91" customFormat="false" ht="15" hidden="false" customHeight="false" outlineLevel="0" collapsed="false">
      <c r="A91" s="36" t="str">
        <f aca="false">IF(B91="","",ROW()-4)</f>
        <v/>
      </c>
      <c r="B91" s="37"/>
      <c r="C91" s="37"/>
      <c r="D91" s="38"/>
      <c r="E91" s="39"/>
      <c r="F91" s="39"/>
      <c r="G91" s="39"/>
      <c r="H91" s="38"/>
      <c r="I91" s="37"/>
      <c r="J91" s="40" t="str">
        <f aca="false">IF(B91="","",IFERROR(INDEX(cg_ID,MATCH(B91,cg_Name,0)),"Not on roster"))</f>
        <v/>
      </c>
      <c r="K91" s="40" t="str">
        <f aca="false">IF(C91="","",IFERROR(INDEX(cl_ID,MATCH(C91,cl_Name,0)),"Not on roster"))</f>
        <v/>
      </c>
      <c r="L91" s="28" t="str">
        <f aca="false">IF(OR(B91="",D91=""),"",IFERROR(INDEX(rt_Rate,MATCH(D91,rt_Code,0)),0))</f>
        <v/>
      </c>
      <c r="M91" s="28" t="str">
        <f aca="false">IF(OR(B91="",D91=""),"",ROUND(N(F91)*L91,2))</f>
        <v/>
      </c>
      <c r="N91" s="41" t="str">
        <f aca="false">IF(B91="","",ROUND(N(G91)*MileRate,2))</f>
        <v/>
      </c>
      <c r="O91" s="28" t="str">
        <f aca="false">IF(B91="","",N(M91)+N91)</f>
        <v/>
      </c>
      <c r="P91" s="40" t="str">
        <f aca="false">IF(B91="","",IF(INDEX(vc_Result,ROW()-4)="OK","OK",IF(H91="Hold","On hold",INDEX(vc_Result,ROW()-4))))</f>
        <v/>
      </c>
      <c r="Q91" s="28" t="str">
        <f aca="false">IF(B91="","",IF(H91="Pay",O91,0))</f>
        <v/>
      </c>
      <c r="R91" s="42" t="n">
        <f aca="false">R90+IF(N(Q91)&gt;0,1,0)</f>
        <v>68</v>
      </c>
    </row>
    <row r="92" customFormat="false" ht="15" hidden="false" customHeight="false" outlineLevel="0" collapsed="false">
      <c r="A92" s="36" t="str">
        <f aca="false">IF(B92="","",ROW()-4)</f>
        <v/>
      </c>
      <c r="B92" s="37"/>
      <c r="C92" s="37"/>
      <c r="D92" s="38"/>
      <c r="E92" s="39"/>
      <c r="F92" s="39"/>
      <c r="G92" s="39"/>
      <c r="H92" s="38"/>
      <c r="I92" s="37"/>
      <c r="J92" s="40" t="str">
        <f aca="false">IF(B92="","",IFERROR(INDEX(cg_ID,MATCH(B92,cg_Name,0)),"Not on roster"))</f>
        <v/>
      </c>
      <c r="K92" s="40" t="str">
        <f aca="false">IF(C92="","",IFERROR(INDEX(cl_ID,MATCH(C92,cl_Name,0)),"Not on roster"))</f>
        <v/>
      </c>
      <c r="L92" s="28" t="str">
        <f aca="false">IF(OR(B92="",D92=""),"",IFERROR(INDEX(rt_Rate,MATCH(D92,rt_Code,0)),0))</f>
        <v/>
      </c>
      <c r="M92" s="28" t="str">
        <f aca="false">IF(OR(B92="",D92=""),"",ROUND(N(F92)*L92,2))</f>
        <v/>
      </c>
      <c r="N92" s="41" t="str">
        <f aca="false">IF(B92="","",ROUND(N(G92)*MileRate,2))</f>
        <v/>
      </c>
      <c r="O92" s="28" t="str">
        <f aca="false">IF(B92="","",N(M92)+N92)</f>
        <v/>
      </c>
      <c r="P92" s="40" t="str">
        <f aca="false">IF(B92="","",IF(INDEX(vc_Result,ROW()-4)="OK","OK",IF(H92="Hold","On hold",INDEX(vc_Result,ROW()-4))))</f>
        <v/>
      </c>
      <c r="Q92" s="28" t="str">
        <f aca="false">IF(B92="","",IF(H92="Pay",O92,0))</f>
        <v/>
      </c>
      <c r="R92" s="42" t="n">
        <f aca="false">R91+IF(N(Q92)&gt;0,1,0)</f>
        <v>68</v>
      </c>
    </row>
    <row r="93" customFormat="false" ht="15" hidden="false" customHeight="false" outlineLevel="0" collapsed="false">
      <c r="A93" s="36" t="str">
        <f aca="false">IF(B93="","",ROW()-4)</f>
        <v/>
      </c>
      <c r="B93" s="37"/>
      <c r="C93" s="37"/>
      <c r="D93" s="38"/>
      <c r="E93" s="39"/>
      <c r="F93" s="39"/>
      <c r="G93" s="39"/>
      <c r="H93" s="38"/>
      <c r="I93" s="37"/>
      <c r="J93" s="40" t="str">
        <f aca="false">IF(B93="","",IFERROR(INDEX(cg_ID,MATCH(B93,cg_Name,0)),"Not on roster"))</f>
        <v/>
      </c>
      <c r="K93" s="40" t="str">
        <f aca="false">IF(C93="","",IFERROR(INDEX(cl_ID,MATCH(C93,cl_Name,0)),"Not on roster"))</f>
        <v/>
      </c>
      <c r="L93" s="28" t="str">
        <f aca="false">IF(OR(B93="",D93=""),"",IFERROR(INDEX(rt_Rate,MATCH(D93,rt_Code,0)),0))</f>
        <v/>
      </c>
      <c r="M93" s="28" t="str">
        <f aca="false">IF(OR(B93="",D93=""),"",ROUND(N(F93)*L93,2))</f>
        <v/>
      </c>
      <c r="N93" s="41" t="str">
        <f aca="false">IF(B93="","",ROUND(N(G93)*MileRate,2))</f>
        <v/>
      </c>
      <c r="O93" s="28" t="str">
        <f aca="false">IF(B93="","",N(M93)+N93)</f>
        <v/>
      </c>
      <c r="P93" s="40" t="str">
        <f aca="false">IF(B93="","",IF(INDEX(vc_Result,ROW()-4)="OK","OK",IF(H93="Hold","On hold",INDEX(vc_Result,ROW()-4))))</f>
        <v/>
      </c>
      <c r="Q93" s="28" t="str">
        <f aca="false">IF(B93="","",IF(H93="Pay",O93,0))</f>
        <v/>
      </c>
      <c r="R93" s="42" t="n">
        <f aca="false">R92+IF(N(Q93)&gt;0,1,0)</f>
        <v>68</v>
      </c>
    </row>
    <row r="94" customFormat="false" ht="15" hidden="false" customHeight="false" outlineLevel="0" collapsed="false">
      <c r="A94" s="36" t="str">
        <f aca="false">IF(B94="","",ROW()-4)</f>
        <v/>
      </c>
      <c r="B94" s="37"/>
      <c r="C94" s="37"/>
      <c r="D94" s="38"/>
      <c r="E94" s="39"/>
      <c r="F94" s="39"/>
      <c r="G94" s="39"/>
      <c r="H94" s="38"/>
      <c r="I94" s="37"/>
      <c r="J94" s="40" t="str">
        <f aca="false">IF(B94="","",IFERROR(INDEX(cg_ID,MATCH(B94,cg_Name,0)),"Not on roster"))</f>
        <v/>
      </c>
      <c r="K94" s="40" t="str">
        <f aca="false">IF(C94="","",IFERROR(INDEX(cl_ID,MATCH(C94,cl_Name,0)),"Not on roster"))</f>
        <v/>
      </c>
      <c r="L94" s="28" t="str">
        <f aca="false">IF(OR(B94="",D94=""),"",IFERROR(INDEX(rt_Rate,MATCH(D94,rt_Code,0)),0))</f>
        <v/>
      </c>
      <c r="M94" s="28" t="str">
        <f aca="false">IF(OR(B94="",D94=""),"",ROUND(N(F94)*L94,2))</f>
        <v/>
      </c>
      <c r="N94" s="41" t="str">
        <f aca="false">IF(B94="","",ROUND(N(G94)*MileRate,2))</f>
        <v/>
      </c>
      <c r="O94" s="28" t="str">
        <f aca="false">IF(B94="","",N(M94)+N94)</f>
        <v/>
      </c>
      <c r="P94" s="40" t="str">
        <f aca="false">IF(B94="","",IF(INDEX(vc_Result,ROW()-4)="OK","OK",IF(H94="Hold","On hold",INDEX(vc_Result,ROW()-4))))</f>
        <v/>
      </c>
      <c r="Q94" s="28" t="str">
        <f aca="false">IF(B94="","",IF(H94="Pay",O94,0))</f>
        <v/>
      </c>
      <c r="R94" s="42" t="n">
        <f aca="false">R93+IF(N(Q94)&gt;0,1,0)</f>
        <v>68</v>
      </c>
    </row>
    <row r="95" customFormat="false" ht="15" hidden="false" customHeight="false" outlineLevel="0" collapsed="false">
      <c r="A95" s="36" t="str">
        <f aca="false">IF(B95="","",ROW()-4)</f>
        <v/>
      </c>
      <c r="B95" s="37"/>
      <c r="C95" s="37"/>
      <c r="D95" s="38"/>
      <c r="E95" s="39"/>
      <c r="F95" s="39"/>
      <c r="G95" s="39"/>
      <c r="H95" s="38"/>
      <c r="I95" s="37"/>
      <c r="J95" s="40" t="str">
        <f aca="false">IF(B95="","",IFERROR(INDEX(cg_ID,MATCH(B95,cg_Name,0)),"Not on roster"))</f>
        <v/>
      </c>
      <c r="K95" s="40" t="str">
        <f aca="false">IF(C95="","",IFERROR(INDEX(cl_ID,MATCH(C95,cl_Name,0)),"Not on roster"))</f>
        <v/>
      </c>
      <c r="L95" s="28" t="str">
        <f aca="false">IF(OR(B95="",D95=""),"",IFERROR(INDEX(rt_Rate,MATCH(D95,rt_Code,0)),0))</f>
        <v/>
      </c>
      <c r="M95" s="28" t="str">
        <f aca="false">IF(OR(B95="",D95=""),"",ROUND(N(F95)*L95,2))</f>
        <v/>
      </c>
      <c r="N95" s="41" t="str">
        <f aca="false">IF(B95="","",ROUND(N(G95)*MileRate,2))</f>
        <v/>
      </c>
      <c r="O95" s="28" t="str">
        <f aca="false">IF(B95="","",N(M95)+N95)</f>
        <v/>
      </c>
      <c r="P95" s="40" t="str">
        <f aca="false">IF(B95="","",IF(INDEX(vc_Result,ROW()-4)="OK","OK",IF(H95="Hold","On hold",INDEX(vc_Result,ROW()-4))))</f>
        <v/>
      </c>
      <c r="Q95" s="28" t="str">
        <f aca="false">IF(B95="","",IF(H95="Pay",O95,0))</f>
        <v/>
      </c>
      <c r="R95" s="42" t="n">
        <f aca="false">R94+IF(N(Q95)&gt;0,1,0)</f>
        <v>68</v>
      </c>
    </row>
    <row r="96" customFormat="false" ht="15" hidden="false" customHeight="false" outlineLevel="0" collapsed="false">
      <c r="A96" s="36" t="str">
        <f aca="false">IF(B96="","",ROW()-4)</f>
        <v/>
      </c>
      <c r="B96" s="37"/>
      <c r="C96" s="37"/>
      <c r="D96" s="38"/>
      <c r="E96" s="39"/>
      <c r="F96" s="39"/>
      <c r="G96" s="39"/>
      <c r="H96" s="38"/>
      <c r="I96" s="37"/>
      <c r="J96" s="40" t="str">
        <f aca="false">IF(B96="","",IFERROR(INDEX(cg_ID,MATCH(B96,cg_Name,0)),"Not on roster"))</f>
        <v/>
      </c>
      <c r="K96" s="40" t="str">
        <f aca="false">IF(C96="","",IFERROR(INDEX(cl_ID,MATCH(C96,cl_Name,0)),"Not on roster"))</f>
        <v/>
      </c>
      <c r="L96" s="28" t="str">
        <f aca="false">IF(OR(B96="",D96=""),"",IFERROR(INDEX(rt_Rate,MATCH(D96,rt_Code,0)),0))</f>
        <v/>
      </c>
      <c r="M96" s="28" t="str">
        <f aca="false">IF(OR(B96="",D96=""),"",ROUND(N(F96)*L96,2))</f>
        <v/>
      </c>
      <c r="N96" s="41" t="str">
        <f aca="false">IF(B96="","",ROUND(N(G96)*MileRate,2))</f>
        <v/>
      </c>
      <c r="O96" s="28" t="str">
        <f aca="false">IF(B96="","",N(M96)+N96)</f>
        <v/>
      </c>
      <c r="P96" s="40" t="str">
        <f aca="false">IF(B96="","",IF(INDEX(vc_Result,ROW()-4)="OK","OK",IF(H96="Hold","On hold",INDEX(vc_Result,ROW()-4))))</f>
        <v/>
      </c>
      <c r="Q96" s="28" t="str">
        <f aca="false">IF(B96="","",IF(H96="Pay",O96,0))</f>
        <v/>
      </c>
      <c r="R96" s="42" t="n">
        <f aca="false">R95+IF(N(Q96)&gt;0,1,0)</f>
        <v>68</v>
      </c>
    </row>
    <row r="97" customFormat="false" ht="15" hidden="false" customHeight="false" outlineLevel="0" collapsed="false">
      <c r="A97" s="36" t="str">
        <f aca="false">IF(B97="","",ROW()-4)</f>
        <v/>
      </c>
      <c r="B97" s="37"/>
      <c r="C97" s="37"/>
      <c r="D97" s="38"/>
      <c r="E97" s="39"/>
      <c r="F97" s="39"/>
      <c r="G97" s="39"/>
      <c r="H97" s="38"/>
      <c r="I97" s="37"/>
      <c r="J97" s="40" t="str">
        <f aca="false">IF(B97="","",IFERROR(INDEX(cg_ID,MATCH(B97,cg_Name,0)),"Not on roster"))</f>
        <v/>
      </c>
      <c r="K97" s="40" t="str">
        <f aca="false">IF(C97="","",IFERROR(INDEX(cl_ID,MATCH(C97,cl_Name,0)),"Not on roster"))</f>
        <v/>
      </c>
      <c r="L97" s="28" t="str">
        <f aca="false">IF(OR(B97="",D97=""),"",IFERROR(INDEX(rt_Rate,MATCH(D97,rt_Code,0)),0))</f>
        <v/>
      </c>
      <c r="M97" s="28" t="str">
        <f aca="false">IF(OR(B97="",D97=""),"",ROUND(N(F97)*L97,2))</f>
        <v/>
      </c>
      <c r="N97" s="41" t="str">
        <f aca="false">IF(B97="","",ROUND(N(G97)*MileRate,2))</f>
        <v/>
      </c>
      <c r="O97" s="28" t="str">
        <f aca="false">IF(B97="","",N(M97)+N97)</f>
        <v/>
      </c>
      <c r="P97" s="40" t="str">
        <f aca="false">IF(B97="","",IF(INDEX(vc_Result,ROW()-4)="OK","OK",IF(H97="Hold","On hold",INDEX(vc_Result,ROW()-4))))</f>
        <v/>
      </c>
      <c r="Q97" s="28" t="str">
        <f aca="false">IF(B97="","",IF(H97="Pay",O97,0))</f>
        <v/>
      </c>
      <c r="R97" s="42" t="n">
        <f aca="false">R96+IF(N(Q97)&gt;0,1,0)</f>
        <v>68</v>
      </c>
    </row>
    <row r="98" customFormat="false" ht="15" hidden="false" customHeight="false" outlineLevel="0" collapsed="false">
      <c r="A98" s="36" t="str">
        <f aca="false">IF(B98="","",ROW()-4)</f>
        <v/>
      </c>
      <c r="B98" s="37"/>
      <c r="C98" s="37"/>
      <c r="D98" s="38"/>
      <c r="E98" s="39"/>
      <c r="F98" s="39"/>
      <c r="G98" s="39"/>
      <c r="H98" s="38"/>
      <c r="I98" s="37"/>
      <c r="J98" s="40" t="str">
        <f aca="false">IF(B98="","",IFERROR(INDEX(cg_ID,MATCH(B98,cg_Name,0)),"Not on roster"))</f>
        <v/>
      </c>
      <c r="K98" s="40" t="str">
        <f aca="false">IF(C98="","",IFERROR(INDEX(cl_ID,MATCH(C98,cl_Name,0)),"Not on roster"))</f>
        <v/>
      </c>
      <c r="L98" s="28" t="str">
        <f aca="false">IF(OR(B98="",D98=""),"",IFERROR(INDEX(rt_Rate,MATCH(D98,rt_Code,0)),0))</f>
        <v/>
      </c>
      <c r="M98" s="28" t="str">
        <f aca="false">IF(OR(B98="",D98=""),"",ROUND(N(F98)*L98,2))</f>
        <v/>
      </c>
      <c r="N98" s="41" t="str">
        <f aca="false">IF(B98="","",ROUND(N(G98)*MileRate,2))</f>
        <v/>
      </c>
      <c r="O98" s="28" t="str">
        <f aca="false">IF(B98="","",N(M98)+N98)</f>
        <v/>
      </c>
      <c r="P98" s="40" t="str">
        <f aca="false">IF(B98="","",IF(INDEX(vc_Result,ROW()-4)="OK","OK",IF(H98="Hold","On hold",INDEX(vc_Result,ROW()-4))))</f>
        <v/>
      </c>
      <c r="Q98" s="28" t="str">
        <f aca="false">IF(B98="","",IF(H98="Pay",O98,0))</f>
        <v/>
      </c>
      <c r="R98" s="42" t="n">
        <f aca="false">R97+IF(N(Q98)&gt;0,1,0)</f>
        <v>68</v>
      </c>
    </row>
    <row r="99" customFormat="false" ht="15" hidden="false" customHeight="false" outlineLevel="0" collapsed="false">
      <c r="A99" s="36" t="str">
        <f aca="false">IF(B99="","",ROW()-4)</f>
        <v/>
      </c>
      <c r="B99" s="37"/>
      <c r="C99" s="37"/>
      <c r="D99" s="38"/>
      <c r="E99" s="39"/>
      <c r="F99" s="39"/>
      <c r="G99" s="39"/>
      <c r="H99" s="38"/>
      <c r="I99" s="37"/>
      <c r="J99" s="40" t="str">
        <f aca="false">IF(B99="","",IFERROR(INDEX(cg_ID,MATCH(B99,cg_Name,0)),"Not on roster"))</f>
        <v/>
      </c>
      <c r="K99" s="40" t="str">
        <f aca="false">IF(C99="","",IFERROR(INDEX(cl_ID,MATCH(C99,cl_Name,0)),"Not on roster"))</f>
        <v/>
      </c>
      <c r="L99" s="28" t="str">
        <f aca="false">IF(OR(B99="",D99=""),"",IFERROR(INDEX(rt_Rate,MATCH(D99,rt_Code,0)),0))</f>
        <v/>
      </c>
      <c r="M99" s="28" t="str">
        <f aca="false">IF(OR(B99="",D99=""),"",ROUND(N(F99)*L99,2))</f>
        <v/>
      </c>
      <c r="N99" s="41" t="str">
        <f aca="false">IF(B99="","",ROUND(N(G99)*MileRate,2))</f>
        <v/>
      </c>
      <c r="O99" s="28" t="str">
        <f aca="false">IF(B99="","",N(M99)+N99)</f>
        <v/>
      </c>
      <c r="P99" s="40" t="str">
        <f aca="false">IF(B99="","",IF(INDEX(vc_Result,ROW()-4)="OK","OK",IF(H99="Hold","On hold",INDEX(vc_Result,ROW()-4))))</f>
        <v/>
      </c>
      <c r="Q99" s="28" t="str">
        <f aca="false">IF(B99="","",IF(H99="Pay",O99,0))</f>
        <v/>
      </c>
      <c r="R99" s="42" t="n">
        <f aca="false">R98+IF(N(Q99)&gt;0,1,0)</f>
        <v>68</v>
      </c>
    </row>
    <row r="100" customFormat="false" ht="15" hidden="false" customHeight="false" outlineLevel="0" collapsed="false">
      <c r="A100" s="36" t="str">
        <f aca="false">IF(B100="","",ROW()-4)</f>
        <v/>
      </c>
      <c r="B100" s="37"/>
      <c r="C100" s="37"/>
      <c r="D100" s="38"/>
      <c r="E100" s="39"/>
      <c r="F100" s="39"/>
      <c r="G100" s="39"/>
      <c r="H100" s="38"/>
      <c r="I100" s="37"/>
      <c r="J100" s="40" t="str">
        <f aca="false">IF(B100="","",IFERROR(INDEX(cg_ID,MATCH(B100,cg_Name,0)),"Not on roster"))</f>
        <v/>
      </c>
      <c r="K100" s="40" t="str">
        <f aca="false">IF(C100="","",IFERROR(INDEX(cl_ID,MATCH(C100,cl_Name,0)),"Not on roster"))</f>
        <v/>
      </c>
      <c r="L100" s="28" t="str">
        <f aca="false">IF(OR(B100="",D100=""),"",IFERROR(INDEX(rt_Rate,MATCH(D100,rt_Code,0)),0))</f>
        <v/>
      </c>
      <c r="M100" s="28" t="str">
        <f aca="false">IF(OR(B100="",D100=""),"",ROUND(N(F100)*L100,2))</f>
        <v/>
      </c>
      <c r="N100" s="41" t="str">
        <f aca="false">IF(B100="","",ROUND(N(G100)*MileRate,2))</f>
        <v/>
      </c>
      <c r="O100" s="28" t="str">
        <f aca="false">IF(B100="","",N(M100)+N100)</f>
        <v/>
      </c>
      <c r="P100" s="40" t="str">
        <f aca="false">IF(B100="","",IF(INDEX(vc_Result,ROW()-4)="OK","OK",IF(H100="Hold","On hold",INDEX(vc_Result,ROW()-4))))</f>
        <v/>
      </c>
      <c r="Q100" s="28" t="str">
        <f aca="false">IF(B100="","",IF(H100="Pay",O100,0))</f>
        <v/>
      </c>
      <c r="R100" s="42" t="n">
        <f aca="false">R99+IF(N(Q100)&gt;0,1,0)</f>
        <v>68</v>
      </c>
    </row>
    <row r="101" customFormat="false" ht="15" hidden="false" customHeight="false" outlineLevel="0" collapsed="false">
      <c r="A101" s="36" t="str">
        <f aca="false">IF(B101="","",ROW()-4)</f>
        <v/>
      </c>
      <c r="B101" s="37"/>
      <c r="C101" s="37"/>
      <c r="D101" s="38"/>
      <c r="E101" s="39"/>
      <c r="F101" s="39"/>
      <c r="G101" s="39"/>
      <c r="H101" s="38"/>
      <c r="I101" s="37"/>
      <c r="J101" s="40" t="str">
        <f aca="false">IF(B101="","",IFERROR(INDEX(cg_ID,MATCH(B101,cg_Name,0)),"Not on roster"))</f>
        <v/>
      </c>
      <c r="K101" s="40" t="str">
        <f aca="false">IF(C101="","",IFERROR(INDEX(cl_ID,MATCH(C101,cl_Name,0)),"Not on roster"))</f>
        <v/>
      </c>
      <c r="L101" s="28" t="str">
        <f aca="false">IF(OR(B101="",D101=""),"",IFERROR(INDEX(rt_Rate,MATCH(D101,rt_Code,0)),0))</f>
        <v/>
      </c>
      <c r="M101" s="28" t="str">
        <f aca="false">IF(OR(B101="",D101=""),"",ROUND(N(F101)*L101,2))</f>
        <v/>
      </c>
      <c r="N101" s="41" t="str">
        <f aca="false">IF(B101="","",ROUND(N(G101)*MileRate,2))</f>
        <v/>
      </c>
      <c r="O101" s="28" t="str">
        <f aca="false">IF(B101="","",N(M101)+N101)</f>
        <v/>
      </c>
      <c r="P101" s="40" t="str">
        <f aca="false">IF(B101="","",IF(INDEX(vc_Result,ROW()-4)="OK","OK",IF(H101="Hold","On hold",INDEX(vc_Result,ROW()-4))))</f>
        <v/>
      </c>
      <c r="Q101" s="28" t="str">
        <f aca="false">IF(B101="","",IF(H101="Pay",O101,0))</f>
        <v/>
      </c>
      <c r="R101" s="42" t="n">
        <f aca="false">R100+IF(N(Q101)&gt;0,1,0)</f>
        <v>68</v>
      </c>
    </row>
    <row r="102" customFormat="false" ht="15" hidden="false" customHeight="false" outlineLevel="0" collapsed="false">
      <c r="A102" s="36" t="str">
        <f aca="false">IF(B102="","",ROW()-4)</f>
        <v/>
      </c>
      <c r="B102" s="37"/>
      <c r="C102" s="37"/>
      <c r="D102" s="38"/>
      <c r="E102" s="39"/>
      <c r="F102" s="39"/>
      <c r="G102" s="39"/>
      <c r="H102" s="38"/>
      <c r="I102" s="37"/>
      <c r="J102" s="40" t="str">
        <f aca="false">IF(B102="","",IFERROR(INDEX(cg_ID,MATCH(B102,cg_Name,0)),"Not on roster"))</f>
        <v/>
      </c>
      <c r="K102" s="40" t="str">
        <f aca="false">IF(C102="","",IFERROR(INDEX(cl_ID,MATCH(C102,cl_Name,0)),"Not on roster"))</f>
        <v/>
      </c>
      <c r="L102" s="28" t="str">
        <f aca="false">IF(OR(B102="",D102=""),"",IFERROR(INDEX(rt_Rate,MATCH(D102,rt_Code,0)),0))</f>
        <v/>
      </c>
      <c r="M102" s="28" t="str">
        <f aca="false">IF(OR(B102="",D102=""),"",ROUND(N(F102)*L102,2))</f>
        <v/>
      </c>
      <c r="N102" s="41" t="str">
        <f aca="false">IF(B102="","",ROUND(N(G102)*MileRate,2))</f>
        <v/>
      </c>
      <c r="O102" s="28" t="str">
        <f aca="false">IF(B102="","",N(M102)+N102)</f>
        <v/>
      </c>
      <c r="P102" s="40" t="str">
        <f aca="false">IF(B102="","",IF(INDEX(vc_Result,ROW()-4)="OK","OK",IF(H102="Hold","On hold",INDEX(vc_Result,ROW()-4))))</f>
        <v/>
      </c>
      <c r="Q102" s="28" t="str">
        <f aca="false">IF(B102="","",IF(H102="Pay",O102,0))</f>
        <v/>
      </c>
      <c r="R102" s="42" t="n">
        <f aca="false">R101+IF(N(Q102)&gt;0,1,0)</f>
        <v>68</v>
      </c>
    </row>
    <row r="103" customFormat="false" ht="15" hidden="false" customHeight="false" outlineLevel="0" collapsed="false">
      <c r="A103" s="36" t="str">
        <f aca="false">IF(B103="","",ROW()-4)</f>
        <v/>
      </c>
      <c r="B103" s="37"/>
      <c r="C103" s="37"/>
      <c r="D103" s="38"/>
      <c r="E103" s="39"/>
      <c r="F103" s="39"/>
      <c r="G103" s="39"/>
      <c r="H103" s="38"/>
      <c r="I103" s="37"/>
      <c r="J103" s="40" t="str">
        <f aca="false">IF(B103="","",IFERROR(INDEX(cg_ID,MATCH(B103,cg_Name,0)),"Not on roster"))</f>
        <v/>
      </c>
      <c r="K103" s="40" t="str">
        <f aca="false">IF(C103="","",IFERROR(INDEX(cl_ID,MATCH(C103,cl_Name,0)),"Not on roster"))</f>
        <v/>
      </c>
      <c r="L103" s="28" t="str">
        <f aca="false">IF(OR(B103="",D103=""),"",IFERROR(INDEX(rt_Rate,MATCH(D103,rt_Code,0)),0))</f>
        <v/>
      </c>
      <c r="M103" s="28" t="str">
        <f aca="false">IF(OR(B103="",D103=""),"",ROUND(N(F103)*L103,2))</f>
        <v/>
      </c>
      <c r="N103" s="41" t="str">
        <f aca="false">IF(B103="","",ROUND(N(G103)*MileRate,2))</f>
        <v/>
      </c>
      <c r="O103" s="28" t="str">
        <f aca="false">IF(B103="","",N(M103)+N103)</f>
        <v/>
      </c>
      <c r="P103" s="40" t="str">
        <f aca="false">IF(B103="","",IF(INDEX(vc_Result,ROW()-4)="OK","OK",IF(H103="Hold","On hold",INDEX(vc_Result,ROW()-4))))</f>
        <v/>
      </c>
      <c r="Q103" s="28" t="str">
        <f aca="false">IF(B103="","",IF(H103="Pay",O103,0))</f>
        <v/>
      </c>
      <c r="R103" s="42" t="n">
        <f aca="false">R102+IF(N(Q103)&gt;0,1,0)</f>
        <v>68</v>
      </c>
    </row>
    <row r="104" customFormat="false" ht="15" hidden="false" customHeight="false" outlineLevel="0" collapsed="false">
      <c r="A104" s="36" t="str">
        <f aca="false">IF(B104="","",ROW()-4)</f>
        <v/>
      </c>
      <c r="B104" s="37"/>
      <c r="C104" s="37"/>
      <c r="D104" s="38"/>
      <c r="E104" s="39"/>
      <c r="F104" s="39"/>
      <c r="G104" s="39"/>
      <c r="H104" s="38"/>
      <c r="I104" s="37"/>
      <c r="J104" s="40" t="str">
        <f aca="false">IF(B104="","",IFERROR(INDEX(cg_ID,MATCH(B104,cg_Name,0)),"Not on roster"))</f>
        <v/>
      </c>
      <c r="K104" s="40" t="str">
        <f aca="false">IF(C104="","",IFERROR(INDEX(cl_ID,MATCH(C104,cl_Name,0)),"Not on roster"))</f>
        <v/>
      </c>
      <c r="L104" s="28" t="str">
        <f aca="false">IF(OR(B104="",D104=""),"",IFERROR(INDEX(rt_Rate,MATCH(D104,rt_Code,0)),0))</f>
        <v/>
      </c>
      <c r="M104" s="28" t="str">
        <f aca="false">IF(OR(B104="",D104=""),"",ROUND(N(F104)*L104,2))</f>
        <v/>
      </c>
      <c r="N104" s="41" t="str">
        <f aca="false">IF(B104="","",ROUND(N(G104)*MileRate,2))</f>
        <v/>
      </c>
      <c r="O104" s="28" t="str">
        <f aca="false">IF(B104="","",N(M104)+N104)</f>
        <v/>
      </c>
      <c r="P104" s="40" t="str">
        <f aca="false">IF(B104="","",IF(INDEX(vc_Result,ROW()-4)="OK","OK",IF(H104="Hold","On hold",INDEX(vc_Result,ROW()-4))))</f>
        <v/>
      </c>
      <c r="Q104" s="28" t="str">
        <f aca="false">IF(B104="","",IF(H104="Pay",O104,0))</f>
        <v/>
      </c>
      <c r="R104" s="42" t="n">
        <f aca="false">R103+IF(N(Q104)&gt;0,1,0)</f>
        <v>68</v>
      </c>
    </row>
    <row r="105" customFormat="false" ht="15" hidden="false" customHeight="false" outlineLevel="0" collapsed="false">
      <c r="A105" s="36" t="str">
        <f aca="false">IF(B105="","",ROW()-4)</f>
        <v/>
      </c>
      <c r="B105" s="37"/>
      <c r="C105" s="37"/>
      <c r="D105" s="38"/>
      <c r="E105" s="39"/>
      <c r="F105" s="39"/>
      <c r="G105" s="39"/>
      <c r="H105" s="38"/>
      <c r="I105" s="37"/>
      <c r="J105" s="40" t="str">
        <f aca="false">IF(B105="","",IFERROR(INDEX(cg_ID,MATCH(B105,cg_Name,0)),"Not on roster"))</f>
        <v/>
      </c>
      <c r="K105" s="40" t="str">
        <f aca="false">IF(C105="","",IFERROR(INDEX(cl_ID,MATCH(C105,cl_Name,0)),"Not on roster"))</f>
        <v/>
      </c>
      <c r="L105" s="28" t="str">
        <f aca="false">IF(OR(B105="",D105=""),"",IFERROR(INDEX(rt_Rate,MATCH(D105,rt_Code,0)),0))</f>
        <v/>
      </c>
      <c r="M105" s="28" t="str">
        <f aca="false">IF(OR(B105="",D105=""),"",ROUND(N(F105)*L105,2))</f>
        <v/>
      </c>
      <c r="N105" s="41" t="str">
        <f aca="false">IF(B105="","",ROUND(N(G105)*MileRate,2))</f>
        <v/>
      </c>
      <c r="O105" s="28" t="str">
        <f aca="false">IF(B105="","",N(M105)+N105)</f>
        <v/>
      </c>
      <c r="P105" s="40" t="str">
        <f aca="false">IF(B105="","",IF(INDEX(vc_Result,ROW()-4)="OK","OK",IF(H105="Hold","On hold",INDEX(vc_Result,ROW()-4))))</f>
        <v/>
      </c>
      <c r="Q105" s="28" t="str">
        <f aca="false">IF(B105="","",IF(H105="Pay",O105,0))</f>
        <v/>
      </c>
      <c r="R105" s="42" t="n">
        <f aca="false">R104+IF(N(Q105)&gt;0,1,0)</f>
        <v>68</v>
      </c>
    </row>
    <row r="106" customFormat="false" ht="15" hidden="false" customHeight="false" outlineLevel="0" collapsed="false">
      <c r="A106" s="36" t="str">
        <f aca="false">IF(B106="","",ROW()-4)</f>
        <v/>
      </c>
      <c r="B106" s="37"/>
      <c r="C106" s="37"/>
      <c r="D106" s="38"/>
      <c r="E106" s="39"/>
      <c r="F106" s="39"/>
      <c r="G106" s="39"/>
      <c r="H106" s="38"/>
      <c r="I106" s="37"/>
      <c r="J106" s="40" t="str">
        <f aca="false">IF(B106="","",IFERROR(INDEX(cg_ID,MATCH(B106,cg_Name,0)),"Not on roster"))</f>
        <v/>
      </c>
      <c r="K106" s="40" t="str">
        <f aca="false">IF(C106="","",IFERROR(INDEX(cl_ID,MATCH(C106,cl_Name,0)),"Not on roster"))</f>
        <v/>
      </c>
      <c r="L106" s="28" t="str">
        <f aca="false">IF(OR(B106="",D106=""),"",IFERROR(INDEX(rt_Rate,MATCH(D106,rt_Code,0)),0))</f>
        <v/>
      </c>
      <c r="M106" s="28" t="str">
        <f aca="false">IF(OR(B106="",D106=""),"",ROUND(N(F106)*L106,2))</f>
        <v/>
      </c>
      <c r="N106" s="41" t="str">
        <f aca="false">IF(B106="","",ROUND(N(G106)*MileRate,2))</f>
        <v/>
      </c>
      <c r="O106" s="28" t="str">
        <f aca="false">IF(B106="","",N(M106)+N106)</f>
        <v/>
      </c>
      <c r="P106" s="40" t="str">
        <f aca="false">IF(B106="","",IF(INDEX(vc_Result,ROW()-4)="OK","OK",IF(H106="Hold","On hold",INDEX(vc_Result,ROW()-4))))</f>
        <v/>
      </c>
      <c r="Q106" s="28" t="str">
        <f aca="false">IF(B106="","",IF(H106="Pay",O106,0))</f>
        <v/>
      </c>
      <c r="R106" s="42" t="n">
        <f aca="false">R105+IF(N(Q106)&gt;0,1,0)</f>
        <v>68</v>
      </c>
    </row>
    <row r="107" customFormat="false" ht="15" hidden="false" customHeight="false" outlineLevel="0" collapsed="false">
      <c r="A107" s="36" t="str">
        <f aca="false">IF(B107="","",ROW()-4)</f>
        <v/>
      </c>
      <c r="B107" s="37"/>
      <c r="C107" s="37"/>
      <c r="D107" s="38"/>
      <c r="E107" s="39"/>
      <c r="F107" s="39"/>
      <c r="G107" s="39"/>
      <c r="H107" s="38"/>
      <c r="I107" s="37"/>
      <c r="J107" s="40" t="str">
        <f aca="false">IF(B107="","",IFERROR(INDEX(cg_ID,MATCH(B107,cg_Name,0)),"Not on roster"))</f>
        <v/>
      </c>
      <c r="K107" s="40" t="str">
        <f aca="false">IF(C107="","",IFERROR(INDEX(cl_ID,MATCH(C107,cl_Name,0)),"Not on roster"))</f>
        <v/>
      </c>
      <c r="L107" s="28" t="str">
        <f aca="false">IF(OR(B107="",D107=""),"",IFERROR(INDEX(rt_Rate,MATCH(D107,rt_Code,0)),0))</f>
        <v/>
      </c>
      <c r="M107" s="28" t="str">
        <f aca="false">IF(OR(B107="",D107=""),"",ROUND(N(F107)*L107,2))</f>
        <v/>
      </c>
      <c r="N107" s="41" t="str">
        <f aca="false">IF(B107="","",ROUND(N(G107)*MileRate,2))</f>
        <v/>
      </c>
      <c r="O107" s="28" t="str">
        <f aca="false">IF(B107="","",N(M107)+N107)</f>
        <v/>
      </c>
      <c r="P107" s="40" t="str">
        <f aca="false">IF(B107="","",IF(INDEX(vc_Result,ROW()-4)="OK","OK",IF(H107="Hold","On hold",INDEX(vc_Result,ROW()-4))))</f>
        <v/>
      </c>
      <c r="Q107" s="28" t="str">
        <f aca="false">IF(B107="","",IF(H107="Pay",O107,0))</f>
        <v/>
      </c>
      <c r="R107" s="42" t="n">
        <f aca="false">R106+IF(N(Q107)&gt;0,1,0)</f>
        <v>68</v>
      </c>
    </row>
    <row r="108" customFormat="false" ht="15" hidden="false" customHeight="false" outlineLevel="0" collapsed="false">
      <c r="A108" s="36" t="str">
        <f aca="false">IF(B108="","",ROW()-4)</f>
        <v/>
      </c>
      <c r="B108" s="37"/>
      <c r="C108" s="37"/>
      <c r="D108" s="38"/>
      <c r="E108" s="39"/>
      <c r="F108" s="39"/>
      <c r="G108" s="39"/>
      <c r="H108" s="38"/>
      <c r="I108" s="37"/>
      <c r="J108" s="40" t="str">
        <f aca="false">IF(B108="","",IFERROR(INDEX(cg_ID,MATCH(B108,cg_Name,0)),"Not on roster"))</f>
        <v/>
      </c>
      <c r="K108" s="40" t="str">
        <f aca="false">IF(C108="","",IFERROR(INDEX(cl_ID,MATCH(C108,cl_Name,0)),"Not on roster"))</f>
        <v/>
      </c>
      <c r="L108" s="28" t="str">
        <f aca="false">IF(OR(B108="",D108=""),"",IFERROR(INDEX(rt_Rate,MATCH(D108,rt_Code,0)),0))</f>
        <v/>
      </c>
      <c r="M108" s="28" t="str">
        <f aca="false">IF(OR(B108="",D108=""),"",ROUND(N(F108)*L108,2))</f>
        <v/>
      </c>
      <c r="N108" s="41" t="str">
        <f aca="false">IF(B108="","",ROUND(N(G108)*MileRate,2))</f>
        <v/>
      </c>
      <c r="O108" s="28" t="str">
        <f aca="false">IF(B108="","",N(M108)+N108)</f>
        <v/>
      </c>
      <c r="P108" s="40" t="str">
        <f aca="false">IF(B108="","",IF(INDEX(vc_Result,ROW()-4)="OK","OK",IF(H108="Hold","On hold",INDEX(vc_Result,ROW()-4))))</f>
        <v/>
      </c>
      <c r="Q108" s="28" t="str">
        <f aca="false">IF(B108="","",IF(H108="Pay",O108,0))</f>
        <v/>
      </c>
      <c r="R108" s="42" t="n">
        <f aca="false">R107+IF(N(Q108)&gt;0,1,0)</f>
        <v>68</v>
      </c>
    </row>
    <row r="109" customFormat="false" ht="15" hidden="false" customHeight="false" outlineLevel="0" collapsed="false">
      <c r="A109" s="36" t="str">
        <f aca="false">IF(B109="","",ROW()-4)</f>
        <v/>
      </c>
      <c r="B109" s="37"/>
      <c r="C109" s="37"/>
      <c r="D109" s="38"/>
      <c r="E109" s="39"/>
      <c r="F109" s="39"/>
      <c r="G109" s="39"/>
      <c r="H109" s="38"/>
      <c r="I109" s="37"/>
      <c r="J109" s="40" t="str">
        <f aca="false">IF(B109="","",IFERROR(INDEX(cg_ID,MATCH(B109,cg_Name,0)),"Not on roster"))</f>
        <v/>
      </c>
      <c r="K109" s="40" t="str">
        <f aca="false">IF(C109="","",IFERROR(INDEX(cl_ID,MATCH(C109,cl_Name,0)),"Not on roster"))</f>
        <v/>
      </c>
      <c r="L109" s="28" t="str">
        <f aca="false">IF(OR(B109="",D109=""),"",IFERROR(INDEX(rt_Rate,MATCH(D109,rt_Code,0)),0))</f>
        <v/>
      </c>
      <c r="M109" s="28" t="str">
        <f aca="false">IF(OR(B109="",D109=""),"",ROUND(N(F109)*L109,2))</f>
        <v/>
      </c>
      <c r="N109" s="41" t="str">
        <f aca="false">IF(B109="","",ROUND(N(G109)*MileRate,2))</f>
        <v/>
      </c>
      <c r="O109" s="28" t="str">
        <f aca="false">IF(B109="","",N(M109)+N109)</f>
        <v/>
      </c>
      <c r="P109" s="40" t="str">
        <f aca="false">IF(B109="","",IF(INDEX(vc_Result,ROW()-4)="OK","OK",IF(H109="Hold","On hold",INDEX(vc_Result,ROW()-4))))</f>
        <v/>
      </c>
      <c r="Q109" s="28" t="str">
        <f aca="false">IF(B109="","",IF(H109="Pay",O109,0))</f>
        <v/>
      </c>
      <c r="R109" s="42" t="n">
        <f aca="false">R108+IF(N(Q109)&gt;0,1,0)</f>
        <v>68</v>
      </c>
    </row>
    <row r="110" customFormat="false" ht="15" hidden="false" customHeight="false" outlineLevel="0" collapsed="false">
      <c r="A110" s="36" t="str">
        <f aca="false">IF(B110="","",ROW()-4)</f>
        <v/>
      </c>
      <c r="B110" s="37"/>
      <c r="C110" s="37"/>
      <c r="D110" s="38"/>
      <c r="E110" s="39"/>
      <c r="F110" s="39"/>
      <c r="G110" s="39"/>
      <c r="H110" s="38"/>
      <c r="I110" s="37"/>
      <c r="J110" s="40" t="str">
        <f aca="false">IF(B110="","",IFERROR(INDEX(cg_ID,MATCH(B110,cg_Name,0)),"Not on roster"))</f>
        <v/>
      </c>
      <c r="K110" s="40" t="str">
        <f aca="false">IF(C110="","",IFERROR(INDEX(cl_ID,MATCH(C110,cl_Name,0)),"Not on roster"))</f>
        <v/>
      </c>
      <c r="L110" s="28" t="str">
        <f aca="false">IF(OR(B110="",D110=""),"",IFERROR(INDEX(rt_Rate,MATCH(D110,rt_Code,0)),0))</f>
        <v/>
      </c>
      <c r="M110" s="28" t="str">
        <f aca="false">IF(OR(B110="",D110=""),"",ROUND(N(F110)*L110,2))</f>
        <v/>
      </c>
      <c r="N110" s="41" t="str">
        <f aca="false">IF(B110="","",ROUND(N(G110)*MileRate,2))</f>
        <v/>
      </c>
      <c r="O110" s="28" t="str">
        <f aca="false">IF(B110="","",N(M110)+N110)</f>
        <v/>
      </c>
      <c r="P110" s="40" t="str">
        <f aca="false">IF(B110="","",IF(INDEX(vc_Result,ROW()-4)="OK","OK",IF(H110="Hold","On hold",INDEX(vc_Result,ROW()-4))))</f>
        <v/>
      </c>
      <c r="Q110" s="28" t="str">
        <f aca="false">IF(B110="","",IF(H110="Pay",O110,0))</f>
        <v/>
      </c>
      <c r="R110" s="42" t="n">
        <f aca="false">R109+IF(N(Q110)&gt;0,1,0)</f>
        <v>68</v>
      </c>
    </row>
    <row r="111" customFormat="false" ht="15" hidden="false" customHeight="false" outlineLevel="0" collapsed="false">
      <c r="A111" s="36" t="str">
        <f aca="false">IF(B111="","",ROW()-4)</f>
        <v/>
      </c>
      <c r="B111" s="37"/>
      <c r="C111" s="37"/>
      <c r="D111" s="38"/>
      <c r="E111" s="39"/>
      <c r="F111" s="39"/>
      <c r="G111" s="39"/>
      <c r="H111" s="38"/>
      <c r="I111" s="37"/>
      <c r="J111" s="40" t="str">
        <f aca="false">IF(B111="","",IFERROR(INDEX(cg_ID,MATCH(B111,cg_Name,0)),"Not on roster"))</f>
        <v/>
      </c>
      <c r="K111" s="40" t="str">
        <f aca="false">IF(C111="","",IFERROR(INDEX(cl_ID,MATCH(C111,cl_Name,0)),"Not on roster"))</f>
        <v/>
      </c>
      <c r="L111" s="28" t="str">
        <f aca="false">IF(OR(B111="",D111=""),"",IFERROR(INDEX(rt_Rate,MATCH(D111,rt_Code,0)),0))</f>
        <v/>
      </c>
      <c r="M111" s="28" t="str">
        <f aca="false">IF(OR(B111="",D111=""),"",ROUND(N(F111)*L111,2))</f>
        <v/>
      </c>
      <c r="N111" s="41" t="str">
        <f aca="false">IF(B111="","",ROUND(N(G111)*MileRate,2))</f>
        <v/>
      </c>
      <c r="O111" s="28" t="str">
        <f aca="false">IF(B111="","",N(M111)+N111)</f>
        <v/>
      </c>
      <c r="P111" s="40" t="str">
        <f aca="false">IF(B111="","",IF(INDEX(vc_Result,ROW()-4)="OK","OK",IF(H111="Hold","On hold",INDEX(vc_Result,ROW()-4))))</f>
        <v/>
      </c>
      <c r="Q111" s="28" t="str">
        <f aca="false">IF(B111="","",IF(H111="Pay",O111,0))</f>
        <v/>
      </c>
      <c r="R111" s="42" t="n">
        <f aca="false">R110+IF(N(Q111)&gt;0,1,0)</f>
        <v>68</v>
      </c>
    </row>
    <row r="112" customFormat="false" ht="15" hidden="false" customHeight="false" outlineLevel="0" collapsed="false">
      <c r="A112" s="36" t="str">
        <f aca="false">IF(B112="","",ROW()-4)</f>
        <v/>
      </c>
      <c r="B112" s="37"/>
      <c r="C112" s="37"/>
      <c r="D112" s="38"/>
      <c r="E112" s="39"/>
      <c r="F112" s="39"/>
      <c r="G112" s="39"/>
      <c r="H112" s="38"/>
      <c r="I112" s="37"/>
      <c r="J112" s="40" t="str">
        <f aca="false">IF(B112="","",IFERROR(INDEX(cg_ID,MATCH(B112,cg_Name,0)),"Not on roster"))</f>
        <v/>
      </c>
      <c r="K112" s="40" t="str">
        <f aca="false">IF(C112="","",IFERROR(INDEX(cl_ID,MATCH(C112,cl_Name,0)),"Not on roster"))</f>
        <v/>
      </c>
      <c r="L112" s="28" t="str">
        <f aca="false">IF(OR(B112="",D112=""),"",IFERROR(INDEX(rt_Rate,MATCH(D112,rt_Code,0)),0))</f>
        <v/>
      </c>
      <c r="M112" s="28" t="str">
        <f aca="false">IF(OR(B112="",D112=""),"",ROUND(N(F112)*L112,2))</f>
        <v/>
      </c>
      <c r="N112" s="41" t="str">
        <f aca="false">IF(B112="","",ROUND(N(G112)*MileRate,2))</f>
        <v/>
      </c>
      <c r="O112" s="28" t="str">
        <f aca="false">IF(B112="","",N(M112)+N112)</f>
        <v/>
      </c>
      <c r="P112" s="40" t="str">
        <f aca="false">IF(B112="","",IF(INDEX(vc_Result,ROW()-4)="OK","OK",IF(H112="Hold","On hold",INDEX(vc_Result,ROW()-4))))</f>
        <v/>
      </c>
      <c r="Q112" s="28" t="str">
        <f aca="false">IF(B112="","",IF(H112="Pay",O112,0))</f>
        <v/>
      </c>
      <c r="R112" s="42" t="n">
        <f aca="false">R111+IF(N(Q112)&gt;0,1,0)</f>
        <v>68</v>
      </c>
    </row>
    <row r="113" customFormat="false" ht="15" hidden="false" customHeight="false" outlineLevel="0" collapsed="false">
      <c r="A113" s="36" t="str">
        <f aca="false">IF(B113="","",ROW()-4)</f>
        <v/>
      </c>
      <c r="B113" s="37"/>
      <c r="C113" s="37"/>
      <c r="D113" s="38"/>
      <c r="E113" s="39"/>
      <c r="F113" s="39"/>
      <c r="G113" s="39"/>
      <c r="H113" s="38"/>
      <c r="I113" s="37"/>
      <c r="J113" s="40" t="str">
        <f aca="false">IF(B113="","",IFERROR(INDEX(cg_ID,MATCH(B113,cg_Name,0)),"Not on roster"))</f>
        <v/>
      </c>
      <c r="K113" s="40" t="str">
        <f aca="false">IF(C113="","",IFERROR(INDEX(cl_ID,MATCH(C113,cl_Name,0)),"Not on roster"))</f>
        <v/>
      </c>
      <c r="L113" s="28" t="str">
        <f aca="false">IF(OR(B113="",D113=""),"",IFERROR(INDEX(rt_Rate,MATCH(D113,rt_Code,0)),0))</f>
        <v/>
      </c>
      <c r="M113" s="28" t="str">
        <f aca="false">IF(OR(B113="",D113=""),"",ROUND(N(F113)*L113,2))</f>
        <v/>
      </c>
      <c r="N113" s="41" t="str">
        <f aca="false">IF(B113="","",ROUND(N(G113)*MileRate,2))</f>
        <v/>
      </c>
      <c r="O113" s="28" t="str">
        <f aca="false">IF(B113="","",N(M113)+N113)</f>
        <v/>
      </c>
      <c r="P113" s="40" t="str">
        <f aca="false">IF(B113="","",IF(INDEX(vc_Result,ROW()-4)="OK","OK",IF(H113="Hold","On hold",INDEX(vc_Result,ROW()-4))))</f>
        <v/>
      </c>
      <c r="Q113" s="28" t="str">
        <f aca="false">IF(B113="","",IF(H113="Pay",O113,0))</f>
        <v/>
      </c>
      <c r="R113" s="42" t="n">
        <f aca="false">R112+IF(N(Q113)&gt;0,1,0)</f>
        <v>68</v>
      </c>
    </row>
    <row r="114" customFormat="false" ht="15" hidden="false" customHeight="false" outlineLevel="0" collapsed="false">
      <c r="A114" s="36" t="str">
        <f aca="false">IF(B114="","",ROW()-4)</f>
        <v/>
      </c>
      <c r="B114" s="37"/>
      <c r="C114" s="37"/>
      <c r="D114" s="38"/>
      <c r="E114" s="39"/>
      <c r="F114" s="39"/>
      <c r="G114" s="39"/>
      <c r="H114" s="38"/>
      <c r="I114" s="37"/>
      <c r="J114" s="40" t="str">
        <f aca="false">IF(B114="","",IFERROR(INDEX(cg_ID,MATCH(B114,cg_Name,0)),"Not on roster"))</f>
        <v/>
      </c>
      <c r="K114" s="40" t="str">
        <f aca="false">IF(C114="","",IFERROR(INDEX(cl_ID,MATCH(C114,cl_Name,0)),"Not on roster"))</f>
        <v/>
      </c>
      <c r="L114" s="28" t="str">
        <f aca="false">IF(OR(B114="",D114=""),"",IFERROR(INDEX(rt_Rate,MATCH(D114,rt_Code,0)),0))</f>
        <v/>
      </c>
      <c r="M114" s="28" t="str">
        <f aca="false">IF(OR(B114="",D114=""),"",ROUND(N(F114)*L114,2))</f>
        <v/>
      </c>
      <c r="N114" s="41" t="str">
        <f aca="false">IF(B114="","",ROUND(N(G114)*MileRate,2))</f>
        <v/>
      </c>
      <c r="O114" s="28" t="str">
        <f aca="false">IF(B114="","",N(M114)+N114)</f>
        <v/>
      </c>
      <c r="P114" s="40" t="str">
        <f aca="false">IF(B114="","",IF(INDEX(vc_Result,ROW()-4)="OK","OK",IF(H114="Hold","On hold",INDEX(vc_Result,ROW()-4))))</f>
        <v/>
      </c>
      <c r="Q114" s="28" t="str">
        <f aca="false">IF(B114="","",IF(H114="Pay",O114,0))</f>
        <v/>
      </c>
      <c r="R114" s="42" t="n">
        <f aca="false">R113+IF(N(Q114)&gt;0,1,0)</f>
        <v>68</v>
      </c>
    </row>
    <row r="115" customFormat="false" ht="15" hidden="false" customHeight="false" outlineLevel="0" collapsed="false">
      <c r="A115" s="36" t="str">
        <f aca="false">IF(B115="","",ROW()-4)</f>
        <v/>
      </c>
      <c r="B115" s="37"/>
      <c r="C115" s="37"/>
      <c r="D115" s="38"/>
      <c r="E115" s="39"/>
      <c r="F115" s="39"/>
      <c r="G115" s="39"/>
      <c r="H115" s="38"/>
      <c r="I115" s="37"/>
      <c r="J115" s="40" t="str">
        <f aca="false">IF(B115="","",IFERROR(INDEX(cg_ID,MATCH(B115,cg_Name,0)),"Not on roster"))</f>
        <v/>
      </c>
      <c r="K115" s="40" t="str">
        <f aca="false">IF(C115="","",IFERROR(INDEX(cl_ID,MATCH(C115,cl_Name,0)),"Not on roster"))</f>
        <v/>
      </c>
      <c r="L115" s="28" t="str">
        <f aca="false">IF(OR(B115="",D115=""),"",IFERROR(INDEX(rt_Rate,MATCH(D115,rt_Code,0)),0))</f>
        <v/>
      </c>
      <c r="M115" s="28" t="str">
        <f aca="false">IF(OR(B115="",D115=""),"",ROUND(N(F115)*L115,2))</f>
        <v/>
      </c>
      <c r="N115" s="41" t="str">
        <f aca="false">IF(B115="","",ROUND(N(G115)*MileRate,2))</f>
        <v/>
      </c>
      <c r="O115" s="28" t="str">
        <f aca="false">IF(B115="","",N(M115)+N115)</f>
        <v/>
      </c>
      <c r="P115" s="40" t="str">
        <f aca="false">IF(B115="","",IF(INDEX(vc_Result,ROW()-4)="OK","OK",IF(H115="Hold","On hold",INDEX(vc_Result,ROW()-4))))</f>
        <v/>
      </c>
      <c r="Q115" s="28" t="str">
        <f aca="false">IF(B115="","",IF(H115="Pay",O115,0))</f>
        <v/>
      </c>
      <c r="R115" s="42" t="n">
        <f aca="false">R114+IF(N(Q115)&gt;0,1,0)</f>
        <v>68</v>
      </c>
    </row>
    <row r="116" customFormat="false" ht="15" hidden="false" customHeight="false" outlineLevel="0" collapsed="false">
      <c r="A116" s="36" t="str">
        <f aca="false">IF(B116="","",ROW()-4)</f>
        <v/>
      </c>
      <c r="B116" s="37"/>
      <c r="C116" s="37"/>
      <c r="D116" s="38"/>
      <c r="E116" s="39"/>
      <c r="F116" s="39"/>
      <c r="G116" s="39"/>
      <c r="H116" s="38"/>
      <c r="I116" s="37"/>
      <c r="J116" s="40" t="str">
        <f aca="false">IF(B116="","",IFERROR(INDEX(cg_ID,MATCH(B116,cg_Name,0)),"Not on roster"))</f>
        <v/>
      </c>
      <c r="K116" s="40" t="str">
        <f aca="false">IF(C116="","",IFERROR(INDEX(cl_ID,MATCH(C116,cl_Name,0)),"Not on roster"))</f>
        <v/>
      </c>
      <c r="L116" s="28" t="str">
        <f aca="false">IF(OR(B116="",D116=""),"",IFERROR(INDEX(rt_Rate,MATCH(D116,rt_Code,0)),0))</f>
        <v/>
      </c>
      <c r="M116" s="28" t="str">
        <f aca="false">IF(OR(B116="",D116=""),"",ROUND(N(F116)*L116,2))</f>
        <v/>
      </c>
      <c r="N116" s="41" t="str">
        <f aca="false">IF(B116="","",ROUND(N(G116)*MileRate,2))</f>
        <v/>
      </c>
      <c r="O116" s="28" t="str">
        <f aca="false">IF(B116="","",N(M116)+N116)</f>
        <v/>
      </c>
      <c r="P116" s="40" t="str">
        <f aca="false">IF(B116="","",IF(INDEX(vc_Result,ROW()-4)="OK","OK",IF(H116="Hold","On hold",INDEX(vc_Result,ROW()-4))))</f>
        <v/>
      </c>
      <c r="Q116" s="28" t="str">
        <f aca="false">IF(B116="","",IF(H116="Pay",O116,0))</f>
        <v/>
      </c>
      <c r="R116" s="42" t="n">
        <f aca="false">R115+IF(N(Q116)&gt;0,1,0)</f>
        <v>68</v>
      </c>
    </row>
    <row r="117" customFormat="false" ht="15" hidden="false" customHeight="false" outlineLevel="0" collapsed="false">
      <c r="A117" s="36" t="str">
        <f aca="false">IF(B117="","",ROW()-4)</f>
        <v/>
      </c>
      <c r="B117" s="37"/>
      <c r="C117" s="37"/>
      <c r="D117" s="38"/>
      <c r="E117" s="39"/>
      <c r="F117" s="39"/>
      <c r="G117" s="39"/>
      <c r="H117" s="38"/>
      <c r="I117" s="37"/>
      <c r="J117" s="40" t="str">
        <f aca="false">IF(B117="","",IFERROR(INDEX(cg_ID,MATCH(B117,cg_Name,0)),"Not on roster"))</f>
        <v/>
      </c>
      <c r="K117" s="40" t="str">
        <f aca="false">IF(C117="","",IFERROR(INDEX(cl_ID,MATCH(C117,cl_Name,0)),"Not on roster"))</f>
        <v/>
      </c>
      <c r="L117" s="28" t="str">
        <f aca="false">IF(OR(B117="",D117=""),"",IFERROR(INDEX(rt_Rate,MATCH(D117,rt_Code,0)),0))</f>
        <v/>
      </c>
      <c r="M117" s="28" t="str">
        <f aca="false">IF(OR(B117="",D117=""),"",ROUND(N(F117)*L117,2))</f>
        <v/>
      </c>
      <c r="N117" s="41" t="str">
        <f aca="false">IF(B117="","",ROUND(N(G117)*MileRate,2))</f>
        <v/>
      </c>
      <c r="O117" s="28" t="str">
        <f aca="false">IF(B117="","",N(M117)+N117)</f>
        <v/>
      </c>
      <c r="P117" s="40" t="str">
        <f aca="false">IF(B117="","",IF(INDEX(vc_Result,ROW()-4)="OK","OK",IF(H117="Hold","On hold",INDEX(vc_Result,ROW()-4))))</f>
        <v/>
      </c>
      <c r="Q117" s="28" t="str">
        <f aca="false">IF(B117="","",IF(H117="Pay",O117,0))</f>
        <v/>
      </c>
      <c r="R117" s="42" t="n">
        <f aca="false">R116+IF(N(Q117)&gt;0,1,0)</f>
        <v>68</v>
      </c>
    </row>
    <row r="118" customFormat="false" ht="15" hidden="false" customHeight="false" outlineLevel="0" collapsed="false">
      <c r="A118" s="36" t="str">
        <f aca="false">IF(B118="","",ROW()-4)</f>
        <v/>
      </c>
      <c r="B118" s="37"/>
      <c r="C118" s="37"/>
      <c r="D118" s="38"/>
      <c r="E118" s="39"/>
      <c r="F118" s="39"/>
      <c r="G118" s="39"/>
      <c r="H118" s="38"/>
      <c r="I118" s="37"/>
      <c r="J118" s="40" t="str">
        <f aca="false">IF(B118="","",IFERROR(INDEX(cg_ID,MATCH(B118,cg_Name,0)),"Not on roster"))</f>
        <v/>
      </c>
      <c r="K118" s="40" t="str">
        <f aca="false">IF(C118="","",IFERROR(INDEX(cl_ID,MATCH(C118,cl_Name,0)),"Not on roster"))</f>
        <v/>
      </c>
      <c r="L118" s="28" t="str">
        <f aca="false">IF(OR(B118="",D118=""),"",IFERROR(INDEX(rt_Rate,MATCH(D118,rt_Code,0)),0))</f>
        <v/>
      </c>
      <c r="M118" s="28" t="str">
        <f aca="false">IF(OR(B118="",D118=""),"",ROUND(N(F118)*L118,2))</f>
        <v/>
      </c>
      <c r="N118" s="41" t="str">
        <f aca="false">IF(B118="","",ROUND(N(G118)*MileRate,2))</f>
        <v/>
      </c>
      <c r="O118" s="28" t="str">
        <f aca="false">IF(B118="","",N(M118)+N118)</f>
        <v/>
      </c>
      <c r="P118" s="40" t="str">
        <f aca="false">IF(B118="","",IF(INDEX(vc_Result,ROW()-4)="OK","OK",IF(H118="Hold","On hold",INDEX(vc_Result,ROW()-4))))</f>
        <v/>
      </c>
      <c r="Q118" s="28" t="str">
        <f aca="false">IF(B118="","",IF(H118="Pay",O118,0))</f>
        <v/>
      </c>
      <c r="R118" s="42" t="n">
        <f aca="false">R117+IF(N(Q118)&gt;0,1,0)</f>
        <v>68</v>
      </c>
    </row>
    <row r="119" customFormat="false" ht="15" hidden="false" customHeight="false" outlineLevel="0" collapsed="false">
      <c r="A119" s="36" t="str">
        <f aca="false">IF(B119="","",ROW()-4)</f>
        <v/>
      </c>
      <c r="B119" s="37"/>
      <c r="C119" s="37"/>
      <c r="D119" s="38"/>
      <c r="E119" s="39"/>
      <c r="F119" s="39"/>
      <c r="G119" s="39"/>
      <c r="H119" s="38"/>
      <c r="I119" s="37"/>
      <c r="J119" s="40" t="str">
        <f aca="false">IF(B119="","",IFERROR(INDEX(cg_ID,MATCH(B119,cg_Name,0)),"Not on roster"))</f>
        <v/>
      </c>
      <c r="K119" s="40" t="str">
        <f aca="false">IF(C119="","",IFERROR(INDEX(cl_ID,MATCH(C119,cl_Name,0)),"Not on roster"))</f>
        <v/>
      </c>
      <c r="L119" s="28" t="str">
        <f aca="false">IF(OR(B119="",D119=""),"",IFERROR(INDEX(rt_Rate,MATCH(D119,rt_Code,0)),0))</f>
        <v/>
      </c>
      <c r="M119" s="28" t="str">
        <f aca="false">IF(OR(B119="",D119=""),"",ROUND(N(F119)*L119,2))</f>
        <v/>
      </c>
      <c r="N119" s="41" t="str">
        <f aca="false">IF(B119="","",ROUND(N(G119)*MileRate,2))</f>
        <v/>
      </c>
      <c r="O119" s="28" t="str">
        <f aca="false">IF(B119="","",N(M119)+N119)</f>
        <v/>
      </c>
      <c r="P119" s="40" t="str">
        <f aca="false">IF(B119="","",IF(INDEX(vc_Result,ROW()-4)="OK","OK",IF(H119="Hold","On hold",INDEX(vc_Result,ROW()-4))))</f>
        <v/>
      </c>
      <c r="Q119" s="28" t="str">
        <f aca="false">IF(B119="","",IF(H119="Pay",O119,0))</f>
        <v/>
      </c>
      <c r="R119" s="42" t="n">
        <f aca="false">R118+IF(N(Q119)&gt;0,1,0)</f>
        <v>68</v>
      </c>
    </row>
    <row r="120" customFormat="false" ht="15" hidden="false" customHeight="false" outlineLevel="0" collapsed="false">
      <c r="A120" s="36" t="str">
        <f aca="false">IF(B120="","",ROW()-4)</f>
        <v/>
      </c>
      <c r="B120" s="37"/>
      <c r="C120" s="37"/>
      <c r="D120" s="38"/>
      <c r="E120" s="39"/>
      <c r="F120" s="39"/>
      <c r="G120" s="39"/>
      <c r="H120" s="38"/>
      <c r="I120" s="37"/>
      <c r="J120" s="40" t="str">
        <f aca="false">IF(B120="","",IFERROR(INDEX(cg_ID,MATCH(B120,cg_Name,0)),"Not on roster"))</f>
        <v/>
      </c>
      <c r="K120" s="40" t="str">
        <f aca="false">IF(C120="","",IFERROR(INDEX(cl_ID,MATCH(C120,cl_Name,0)),"Not on roster"))</f>
        <v/>
      </c>
      <c r="L120" s="28" t="str">
        <f aca="false">IF(OR(B120="",D120=""),"",IFERROR(INDEX(rt_Rate,MATCH(D120,rt_Code,0)),0))</f>
        <v/>
      </c>
      <c r="M120" s="28" t="str">
        <f aca="false">IF(OR(B120="",D120=""),"",ROUND(N(F120)*L120,2))</f>
        <v/>
      </c>
      <c r="N120" s="41" t="str">
        <f aca="false">IF(B120="","",ROUND(N(G120)*MileRate,2))</f>
        <v/>
      </c>
      <c r="O120" s="28" t="str">
        <f aca="false">IF(B120="","",N(M120)+N120)</f>
        <v/>
      </c>
      <c r="P120" s="40" t="str">
        <f aca="false">IF(B120="","",IF(INDEX(vc_Result,ROW()-4)="OK","OK",IF(H120="Hold","On hold",INDEX(vc_Result,ROW()-4))))</f>
        <v/>
      </c>
      <c r="Q120" s="28" t="str">
        <f aca="false">IF(B120="","",IF(H120="Pay",O120,0))</f>
        <v/>
      </c>
      <c r="R120" s="42" t="n">
        <f aca="false">R119+IF(N(Q120)&gt;0,1,0)</f>
        <v>68</v>
      </c>
    </row>
    <row r="121" customFormat="false" ht="15" hidden="false" customHeight="false" outlineLevel="0" collapsed="false">
      <c r="A121" s="36" t="str">
        <f aca="false">IF(B121="","",ROW()-4)</f>
        <v/>
      </c>
      <c r="B121" s="37"/>
      <c r="C121" s="37"/>
      <c r="D121" s="38"/>
      <c r="E121" s="39"/>
      <c r="F121" s="39"/>
      <c r="G121" s="39"/>
      <c r="H121" s="38"/>
      <c r="I121" s="37"/>
      <c r="J121" s="40" t="str">
        <f aca="false">IF(B121="","",IFERROR(INDEX(cg_ID,MATCH(B121,cg_Name,0)),"Not on roster"))</f>
        <v/>
      </c>
      <c r="K121" s="40" t="str">
        <f aca="false">IF(C121="","",IFERROR(INDEX(cl_ID,MATCH(C121,cl_Name,0)),"Not on roster"))</f>
        <v/>
      </c>
      <c r="L121" s="28" t="str">
        <f aca="false">IF(OR(B121="",D121=""),"",IFERROR(INDEX(rt_Rate,MATCH(D121,rt_Code,0)),0))</f>
        <v/>
      </c>
      <c r="M121" s="28" t="str">
        <f aca="false">IF(OR(B121="",D121=""),"",ROUND(N(F121)*L121,2))</f>
        <v/>
      </c>
      <c r="N121" s="41" t="str">
        <f aca="false">IF(B121="","",ROUND(N(G121)*MileRate,2))</f>
        <v/>
      </c>
      <c r="O121" s="28" t="str">
        <f aca="false">IF(B121="","",N(M121)+N121)</f>
        <v/>
      </c>
      <c r="P121" s="40" t="str">
        <f aca="false">IF(B121="","",IF(INDEX(vc_Result,ROW()-4)="OK","OK",IF(H121="Hold","On hold",INDEX(vc_Result,ROW()-4))))</f>
        <v/>
      </c>
      <c r="Q121" s="28" t="str">
        <f aca="false">IF(B121="","",IF(H121="Pay",O121,0))</f>
        <v/>
      </c>
      <c r="R121" s="42" t="n">
        <f aca="false">R120+IF(N(Q121)&gt;0,1,0)</f>
        <v>68</v>
      </c>
    </row>
    <row r="122" customFormat="false" ht="15" hidden="false" customHeight="false" outlineLevel="0" collapsed="false">
      <c r="A122" s="36" t="str">
        <f aca="false">IF(B122="","",ROW()-4)</f>
        <v/>
      </c>
      <c r="B122" s="37"/>
      <c r="C122" s="37"/>
      <c r="D122" s="38"/>
      <c r="E122" s="39"/>
      <c r="F122" s="39"/>
      <c r="G122" s="39"/>
      <c r="H122" s="38"/>
      <c r="I122" s="37"/>
      <c r="J122" s="40" t="str">
        <f aca="false">IF(B122="","",IFERROR(INDEX(cg_ID,MATCH(B122,cg_Name,0)),"Not on roster"))</f>
        <v/>
      </c>
      <c r="K122" s="40" t="str">
        <f aca="false">IF(C122="","",IFERROR(INDEX(cl_ID,MATCH(C122,cl_Name,0)),"Not on roster"))</f>
        <v/>
      </c>
      <c r="L122" s="28" t="str">
        <f aca="false">IF(OR(B122="",D122=""),"",IFERROR(INDEX(rt_Rate,MATCH(D122,rt_Code,0)),0))</f>
        <v/>
      </c>
      <c r="M122" s="28" t="str">
        <f aca="false">IF(OR(B122="",D122=""),"",ROUND(N(F122)*L122,2))</f>
        <v/>
      </c>
      <c r="N122" s="41" t="str">
        <f aca="false">IF(B122="","",ROUND(N(G122)*MileRate,2))</f>
        <v/>
      </c>
      <c r="O122" s="28" t="str">
        <f aca="false">IF(B122="","",N(M122)+N122)</f>
        <v/>
      </c>
      <c r="P122" s="40" t="str">
        <f aca="false">IF(B122="","",IF(INDEX(vc_Result,ROW()-4)="OK","OK",IF(H122="Hold","On hold",INDEX(vc_Result,ROW()-4))))</f>
        <v/>
      </c>
      <c r="Q122" s="28" t="str">
        <f aca="false">IF(B122="","",IF(H122="Pay",O122,0))</f>
        <v/>
      </c>
      <c r="R122" s="42" t="n">
        <f aca="false">R121+IF(N(Q122)&gt;0,1,0)</f>
        <v>68</v>
      </c>
    </row>
    <row r="123" customFormat="false" ht="15" hidden="false" customHeight="false" outlineLevel="0" collapsed="false">
      <c r="A123" s="36" t="str">
        <f aca="false">IF(B123="","",ROW()-4)</f>
        <v/>
      </c>
      <c r="B123" s="37"/>
      <c r="C123" s="37"/>
      <c r="D123" s="38"/>
      <c r="E123" s="39"/>
      <c r="F123" s="39"/>
      <c r="G123" s="39"/>
      <c r="H123" s="38"/>
      <c r="I123" s="37"/>
      <c r="J123" s="40" t="str">
        <f aca="false">IF(B123="","",IFERROR(INDEX(cg_ID,MATCH(B123,cg_Name,0)),"Not on roster"))</f>
        <v/>
      </c>
      <c r="K123" s="40" t="str">
        <f aca="false">IF(C123="","",IFERROR(INDEX(cl_ID,MATCH(C123,cl_Name,0)),"Not on roster"))</f>
        <v/>
      </c>
      <c r="L123" s="28" t="str">
        <f aca="false">IF(OR(B123="",D123=""),"",IFERROR(INDEX(rt_Rate,MATCH(D123,rt_Code,0)),0))</f>
        <v/>
      </c>
      <c r="M123" s="28" t="str">
        <f aca="false">IF(OR(B123="",D123=""),"",ROUND(N(F123)*L123,2))</f>
        <v/>
      </c>
      <c r="N123" s="41" t="str">
        <f aca="false">IF(B123="","",ROUND(N(G123)*MileRate,2))</f>
        <v/>
      </c>
      <c r="O123" s="28" t="str">
        <f aca="false">IF(B123="","",N(M123)+N123)</f>
        <v/>
      </c>
      <c r="P123" s="40" t="str">
        <f aca="false">IF(B123="","",IF(INDEX(vc_Result,ROW()-4)="OK","OK",IF(H123="Hold","On hold",INDEX(vc_Result,ROW()-4))))</f>
        <v/>
      </c>
      <c r="Q123" s="28" t="str">
        <f aca="false">IF(B123="","",IF(H123="Pay",O123,0))</f>
        <v/>
      </c>
      <c r="R123" s="42" t="n">
        <f aca="false">R122+IF(N(Q123)&gt;0,1,0)</f>
        <v>68</v>
      </c>
    </row>
    <row r="124" customFormat="false" ht="15" hidden="false" customHeight="false" outlineLevel="0" collapsed="false">
      <c r="A124" s="36" t="str">
        <f aca="false">IF(B124="","",ROW()-4)</f>
        <v/>
      </c>
      <c r="B124" s="37"/>
      <c r="C124" s="37"/>
      <c r="D124" s="38"/>
      <c r="E124" s="39"/>
      <c r="F124" s="39"/>
      <c r="G124" s="39"/>
      <c r="H124" s="38"/>
      <c r="I124" s="37"/>
      <c r="J124" s="40" t="str">
        <f aca="false">IF(B124="","",IFERROR(INDEX(cg_ID,MATCH(B124,cg_Name,0)),"Not on roster"))</f>
        <v/>
      </c>
      <c r="K124" s="40" t="str">
        <f aca="false">IF(C124="","",IFERROR(INDEX(cl_ID,MATCH(C124,cl_Name,0)),"Not on roster"))</f>
        <v/>
      </c>
      <c r="L124" s="28" t="str">
        <f aca="false">IF(OR(B124="",D124=""),"",IFERROR(INDEX(rt_Rate,MATCH(D124,rt_Code,0)),0))</f>
        <v/>
      </c>
      <c r="M124" s="28" t="str">
        <f aca="false">IF(OR(B124="",D124=""),"",ROUND(N(F124)*L124,2))</f>
        <v/>
      </c>
      <c r="N124" s="41" t="str">
        <f aca="false">IF(B124="","",ROUND(N(G124)*MileRate,2))</f>
        <v/>
      </c>
      <c r="O124" s="28" t="str">
        <f aca="false">IF(B124="","",N(M124)+N124)</f>
        <v/>
      </c>
      <c r="P124" s="40" t="str">
        <f aca="false">IF(B124="","",IF(INDEX(vc_Result,ROW()-4)="OK","OK",IF(H124="Hold","On hold",INDEX(vc_Result,ROW()-4))))</f>
        <v/>
      </c>
      <c r="Q124" s="28" t="str">
        <f aca="false">IF(B124="","",IF(H124="Pay",O124,0))</f>
        <v/>
      </c>
      <c r="R124" s="42" t="n">
        <f aca="false">R123+IF(N(Q124)&gt;0,1,0)</f>
        <v>68</v>
      </c>
    </row>
    <row r="125" customFormat="false" ht="15" hidden="false" customHeight="false" outlineLevel="0" collapsed="false">
      <c r="A125" s="36" t="str">
        <f aca="false">IF(B125="","",ROW()-4)</f>
        <v/>
      </c>
      <c r="B125" s="37"/>
      <c r="C125" s="37"/>
      <c r="D125" s="38"/>
      <c r="E125" s="39"/>
      <c r="F125" s="39"/>
      <c r="G125" s="39"/>
      <c r="H125" s="38"/>
      <c r="I125" s="37"/>
      <c r="J125" s="40" t="str">
        <f aca="false">IF(B125="","",IFERROR(INDEX(cg_ID,MATCH(B125,cg_Name,0)),"Not on roster"))</f>
        <v/>
      </c>
      <c r="K125" s="40" t="str">
        <f aca="false">IF(C125="","",IFERROR(INDEX(cl_ID,MATCH(C125,cl_Name,0)),"Not on roster"))</f>
        <v/>
      </c>
      <c r="L125" s="28" t="str">
        <f aca="false">IF(OR(B125="",D125=""),"",IFERROR(INDEX(rt_Rate,MATCH(D125,rt_Code,0)),0))</f>
        <v/>
      </c>
      <c r="M125" s="28" t="str">
        <f aca="false">IF(OR(B125="",D125=""),"",ROUND(N(F125)*L125,2))</f>
        <v/>
      </c>
      <c r="N125" s="41" t="str">
        <f aca="false">IF(B125="","",ROUND(N(G125)*MileRate,2))</f>
        <v/>
      </c>
      <c r="O125" s="28" t="str">
        <f aca="false">IF(B125="","",N(M125)+N125)</f>
        <v/>
      </c>
      <c r="P125" s="40" t="str">
        <f aca="false">IF(B125="","",IF(INDEX(vc_Result,ROW()-4)="OK","OK",IF(H125="Hold","On hold",INDEX(vc_Result,ROW()-4))))</f>
        <v/>
      </c>
      <c r="Q125" s="28" t="str">
        <f aca="false">IF(B125="","",IF(H125="Pay",O125,0))</f>
        <v/>
      </c>
      <c r="R125" s="42" t="n">
        <f aca="false">R124+IF(N(Q125)&gt;0,1,0)</f>
        <v>68</v>
      </c>
    </row>
    <row r="126" customFormat="false" ht="15" hidden="false" customHeight="false" outlineLevel="0" collapsed="false">
      <c r="A126" s="36" t="str">
        <f aca="false">IF(B126="","",ROW()-4)</f>
        <v/>
      </c>
      <c r="B126" s="37"/>
      <c r="C126" s="37"/>
      <c r="D126" s="38"/>
      <c r="E126" s="39"/>
      <c r="F126" s="39"/>
      <c r="G126" s="39"/>
      <c r="H126" s="38"/>
      <c r="I126" s="37"/>
      <c r="J126" s="40" t="str">
        <f aca="false">IF(B126="","",IFERROR(INDEX(cg_ID,MATCH(B126,cg_Name,0)),"Not on roster"))</f>
        <v/>
      </c>
      <c r="K126" s="40" t="str">
        <f aca="false">IF(C126="","",IFERROR(INDEX(cl_ID,MATCH(C126,cl_Name,0)),"Not on roster"))</f>
        <v/>
      </c>
      <c r="L126" s="28" t="str">
        <f aca="false">IF(OR(B126="",D126=""),"",IFERROR(INDEX(rt_Rate,MATCH(D126,rt_Code,0)),0))</f>
        <v/>
      </c>
      <c r="M126" s="28" t="str">
        <f aca="false">IF(OR(B126="",D126=""),"",ROUND(N(F126)*L126,2))</f>
        <v/>
      </c>
      <c r="N126" s="41" t="str">
        <f aca="false">IF(B126="","",ROUND(N(G126)*MileRate,2))</f>
        <v/>
      </c>
      <c r="O126" s="28" t="str">
        <f aca="false">IF(B126="","",N(M126)+N126)</f>
        <v/>
      </c>
      <c r="P126" s="40" t="str">
        <f aca="false">IF(B126="","",IF(INDEX(vc_Result,ROW()-4)="OK","OK",IF(H126="Hold","On hold",INDEX(vc_Result,ROW()-4))))</f>
        <v/>
      </c>
      <c r="Q126" s="28" t="str">
        <f aca="false">IF(B126="","",IF(H126="Pay",O126,0))</f>
        <v/>
      </c>
      <c r="R126" s="42" t="n">
        <f aca="false">R125+IF(N(Q126)&gt;0,1,0)</f>
        <v>68</v>
      </c>
    </row>
    <row r="127" customFormat="false" ht="15" hidden="false" customHeight="false" outlineLevel="0" collapsed="false">
      <c r="A127" s="36" t="str">
        <f aca="false">IF(B127="","",ROW()-4)</f>
        <v/>
      </c>
      <c r="B127" s="37"/>
      <c r="C127" s="37"/>
      <c r="D127" s="38"/>
      <c r="E127" s="39"/>
      <c r="F127" s="39"/>
      <c r="G127" s="39"/>
      <c r="H127" s="38"/>
      <c r="I127" s="37"/>
      <c r="J127" s="40" t="str">
        <f aca="false">IF(B127="","",IFERROR(INDEX(cg_ID,MATCH(B127,cg_Name,0)),"Not on roster"))</f>
        <v/>
      </c>
      <c r="K127" s="40" t="str">
        <f aca="false">IF(C127="","",IFERROR(INDEX(cl_ID,MATCH(C127,cl_Name,0)),"Not on roster"))</f>
        <v/>
      </c>
      <c r="L127" s="28" t="str">
        <f aca="false">IF(OR(B127="",D127=""),"",IFERROR(INDEX(rt_Rate,MATCH(D127,rt_Code,0)),0))</f>
        <v/>
      </c>
      <c r="M127" s="28" t="str">
        <f aca="false">IF(OR(B127="",D127=""),"",ROUND(N(F127)*L127,2))</f>
        <v/>
      </c>
      <c r="N127" s="41" t="str">
        <f aca="false">IF(B127="","",ROUND(N(G127)*MileRate,2))</f>
        <v/>
      </c>
      <c r="O127" s="28" t="str">
        <f aca="false">IF(B127="","",N(M127)+N127)</f>
        <v/>
      </c>
      <c r="P127" s="40" t="str">
        <f aca="false">IF(B127="","",IF(INDEX(vc_Result,ROW()-4)="OK","OK",IF(H127="Hold","On hold",INDEX(vc_Result,ROW()-4))))</f>
        <v/>
      </c>
      <c r="Q127" s="28" t="str">
        <f aca="false">IF(B127="","",IF(H127="Pay",O127,0))</f>
        <v/>
      </c>
      <c r="R127" s="42" t="n">
        <f aca="false">R126+IF(N(Q127)&gt;0,1,0)</f>
        <v>68</v>
      </c>
    </row>
    <row r="128" customFormat="false" ht="15" hidden="false" customHeight="false" outlineLevel="0" collapsed="false">
      <c r="A128" s="36" t="str">
        <f aca="false">IF(B128="","",ROW()-4)</f>
        <v/>
      </c>
      <c r="B128" s="37"/>
      <c r="C128" s="37"/>
      <c r="D128" s="38"/>
      <c r="E128" s="39"/>
      <c r="F128" s="39"/>
      <c r="G128" s="39"/>
      <c r="H128" s="38"/>
      <c r="I128" s="37"/>
      <c r="J128" s="40" t="str">
        <f aca="false">IF(B128="","",IFERROR(INDEX(cg_ID,MATCH(B128,cg_Name,0)),"Not on roster"))</f>
        <v/>
      </c>
      <c r="K128" s="40" t="str">
        <f aca="false">IF(C128="","",IFERROR(INDEX(cl_ID,MATCH(C128,cl_Name,0)),"Not on roster"))</f>
        <v/>
      </c>
      <c r="L128" s="28" t="str">
        <f aca="false">IF(OR(B128="",D128=""),"",IFERROR(INDEX(rt_Rate,MATCH(D128,rt_Code,0)),0))</f>
        <v/>
      </c>
      <c r="M128" s="28" t="str">
        <f aca="false">IF(OR(B128="",D128=""),"",ROUND(N(F128)*L128,2))</f>
        <v/>
      </c>
      <c r="N128" s="41" t="str">
        <f aca="false">IF(B128="","",ROUND(N(G128)*MileRate,2))</f>
        <v/>
      </c>
      <c r="O128" s="28" t="str">
        <f aca="false">IF(B128="","",N(M128)+N128)</f>
        <v/>
      </c>
      <c r="P128" s="40" t="str">
        <f aca="false">IF(B128="","",IF(INDEX(vc_Result,ROW()-4)="OK","OK",IF(H128="Hold","On hold",INDEX(vc_Result,ROW()-4))))</f>
        <v/>
      </c>
      <c r="Q128" s="28" t="str">
        <f aca="false">IF(B128="","",IF(H128="Pay",O128,0))</f>
        <v/>
      </c>
      <c r="R128" s="42" t="n">
        <f aca="false">R127+IF(N(Q128)&gt;0,1,0)</f>
        <v>68</v>
      </c>
    </row>
    <row r="129" customFormat="false" ht="15" hidden="false" customHeight="false" outlineLevel="0" collapsed="false">
      <c r="A129" s="36" t="str">
        <f aca="false">IF(B129="","",ROW()-4)</f>
        <v/>
      </c>
      <c r="B129" s="37"/>
      <c r="C129" s="37"/>
      <c r="D129" s="38"/>
      <c r="E129" s="39"/>
      <c r="F129" s="39"/>
      <c r="G129" s="39"/>
      <c r="H129" s="38"/>
      <c r="I129" s="37"/>
      <c r="J129" s="40" t="str">
        <f aca="false">IF(B129="","",IFERROR(INDEX(cg_ID,MATCH(B129,cg_Name,0)),"Not on roster"))</f>
        <v/>
      </c>
      <c r="K129" s="40" t="str">
        <f aca="false">IF(C129="","",IFERROR(INDEX(cl_ID,MATCH(C129,cl_Name,0)),"Not on roster"))</f>
        <v/>
      </c>
      <c r="L129" s="28" t="str">
        <f aca="false">IF(OR(B129="",D129=""),"",IFERROR(INDEX(rt_Rate,MATCH(D129,rt_Code,0)),0))</f>
        <v/>
      </c>
      <c r="M129" s="28" t="str">
        <f aca="false">IF(OR(B129="",D129=""),"",ROUND(N(F129)*L129,2))</f>
        <v/>
      </c>
      <c r="N129" s="41" t="str">
        <f aca="false">IF(B129="","",ROUND(N(G129)*MileRate,2))</f>
        <v/>
      </c>
      <c r="O129" s="28" t="str">
        <f aca="false">IF(B129="","",N(M129)+N129)</f>
        <v/>
      </c>
      <c r="P129" s="40" t="str">
        <f aca="false">IF(B129="","",IF(INDEX(vc_Result,ROW()-4)="OK","OK",IF(H129="Hold","On hold",INDEX(vc_Result,ROW()-4))))</f>
        <v/>
      </c>
      <c r="Q129" s="28" t="str">
        <f aca="false">IF(B129="","",IF(H129="Pay",O129,0))</f>
        <v/>
      </c>
      <c r="R129" s="42" t="n">
        <f aca="false">R128+IF(N(Q129)&gt;0,1,0)</f>
        <v>68</v>
      </c>
    </row>
    <row r="130" customFormat="false" ht="15" hidden="false" customHeight="false" outlineLevel="0" collapsed="false">
      <c r="A130" s="36" t="str">
        <f aca="false">IF(B130="","",ROW()-4)</f>
        <v/>
      </c>
      <c r="B130" s="37"/>
      <c r="C130" s="37"/>
      <c r="D130" s="38"/>
      <c r="E130" s="39"/>
      <c r="F130" s="39"/>
      <c r="G130" s="39"/>
      <c r="H130" s="38"/>
      <c r="I130" s="37"/>
      <c r="J130" s="40" t="str">
        <f aca="false">IF(B130="","",IFERROR(INDEX(cg_ID,MATCH(B130,cg_Name,0)),"Not on roster"))</f>
        <v/>
      </c>
      <c r="K130" s="40" t="str">
        <f aca="false">IF(C130="","",IFERROR(INDEX(cl_ID,MATCH(C130,cl_Name,0)),"Not on roster"))</f>
        <v/>
      </c>
      <c r="L130" s="28" t="str">
        <f aca="false">IF(OR(B130="",D130=""),"",IFERROR(INDEX(rt_Rate,MATCH(D130,rt_Code,0)),0))</f>
        <v/>
      </c>
      <c r="M130" s="28" t="str">
        <f aca="false">IF(OR(B130="",D130=""),"",ROUND(N(F130)*L130,2))</f>
        <v/>
      </c>
      <c r="N130" s="41" t="str">
        <f aca="false">IF(B130="","",ROUND(N(G130)*MileRate,2))</f>
        <v/>
      </c>
      <c r="O130" s="28" t="str">
        <f aca="false">IF(B130="","",N(M130)+N130)</f>
        <v/>
      </c>
      <c r="P130" s="40" t="str">
        <f aca="false">IF(B130="","",IF(INDEX(vc_Result,ROW()-4)="OK","OK",IF(H130="Hold","On hold",INDEX(vc_Result,ROW()-4))))</f>
        <v/>
      </c>
      <c r="Q130" s="28" t="str">
        <f aca="false">IF(B130="","",IF(H130="Pay",O130,0))</f>
        <v/>
      </c>
      <c r="R130" s="42" t="n">
        <f aca="false">R129+IF(N(Q130)&gt;0,1,0)</f>
        <v>68</v>
      </c>
    </row>
    <row r="131" customFormat="false" ht="15" hidden="false" customHeight="false" outlineLevel="0" collapsed="false">
      <c r="A131" s="36" t="str">
        <f aca="false">IF(B131="","",ROW()-4)</f>
        <v/>
      </c>
      <c r="B131" s="37"/>
      <c r="C131" s="37"/>
      <c r="D131" s="38"/>
      <c r="E131" s="39"/>
      <c r="F131" s="39"/>
      <c r="G131" s="39"/>
      <c r="H131" s="38"/>
      <c r="I131" s="37"/>
      <c r="J131" s="40" t="str">
        <f aca="false">IF(B131="","",IFERROR(INDEX(cg_ID,MATCH(B131,cg_Name,0)),"Not on roster"))</f>
        <v/>
      </c>
      <c r="K131" s="40" t="str">
        <f aca="false">IF(C131="","",IFERROR(INDEX(cl_ID,MATCH(C131,cl_Name,0)),"Not on roster"))</f>
        <v/>
      </c>
      <c r="L131" s="28" t="str">
        <f aca="false">IF(OR(B131="",D131=""),"",IFERROR(INDEX(rt_Rate,MATCH(D131,rt_Code,0)),0))</f>
        <v/>
      </c>
      <c r="M131" s="28" t="str">
        <f aca="false">IF(OR(B131="",D131=""),"",ROUND(N(F131)*L131,2))</f>
        <v/>
      </c>
      <c r="N131" s="41" t="str">
        <f aca="false">IF(B131="","",ROUND(N(G131)*MileRate,2))</f>
        <v/>
      </c>
      <c r="O131" s="28" t="str">
        <f aca="false">IF(B131="","",N(M131)+N131)</f>
        <v/>
      </c>
      <c r="P131" s="40" t="str">
        <f aca="false">IF(B131="","",IF(INDEX(vc_Result,ROW()-4)="OK","OK",IF(H131="Hold","On hold",INDEX(vc_Result,ROW()-4))))</f>
        <v/>
      </c>
      <c r="Q131" s="28" t="str">
        <f aca="false">IF(B131="","",IF(H131="Pay",O131,0))</f>
        <v/>
      </c>
      <c r="R131" s="42" t="n">
        <f aca="false">R130+IF(N(Q131)&gt;0,1,0)</f>
        <v>68</v>
      </c>
    </row>
    <row r="132" customFormat="false" ht="15" hidden="false" customHeight="false" outlineLevel="0" collapsed="false">
      <c r="A132" s="36" t="str">
        <f aca="false">IF(B132="","",ROW()-4)</f>
        <v/>
      </c>
      <c r="B132" s="37"/>
      <c r="C132" s="37"/>
      <c r="D132" s="38"/>
      <c r="E132" s="39"/>
      <c r="F132" s="39"/>
      <c r="G132" s="39"/>
      <c r="H132" s="38"/>
      <c r="I132" s="37"/>
      <c r="J132" s="40" t="str">
        <f aca="false">IF(B132="","",IFERROR(INDEX(cg_ID,MATCH(B132,cg_Name,0)),"Not on roster"))</f>
        <v/>
      </c>
      <c r="K132" s="40" t="str">
        <f aca="false">IF(C132="","",IFERROR(INDEX(cl_ID,MATCH(C132,cl_Name,0)),"Not on roster"))</f>
        <v/>
      </c>
      <c r="L132" s="28" t="str">
        <f aca="false">IF(OR(B132="",D132=""),"",IFERROR(INDEX(rt_Rate,MATCH(D132,rt_Code,0)),0))</f>
        <v/>
      </c>
      <c r="M132" s="28" t="str">
        <f aca="false">IF(OR(B132="",D132=""),"",ROUND(N(F132)*L132,2))</f>
        <v/>
      </c>
      <c r="N132" s="41" t="str">
        <f aca="false">IF(B132="","",ROUND(N(G132)*MileRate,2))</f>
        <v/>
      </c>
      <c r="O132" s="28" t="str">
        <f aca="false">IF(B132="","",N(M132)+N132)</f>
        <v/>
      </c>
      <c r="P132" s="40" t="str">
        <f aca="false">IF(B132="","",IF(INDEX(vc_Result,ROW()-4)="OK","OK",IF(H132="Hold","On hold",INDEX(vc_Result,ROW()-4))))</f>
        <v/>
      </c>
      <c r="Q132" s="28" t="str">
        <f aca="false">IF(B132="","",IF(H132="Pay",O132,0))</f>
        <v/>
      </c>
      <c r="R132" s="42" t="n">
        <f aca="false">R131+IF(N(Q132)&gt;0,1,0)</f>
        <v>68</v>
      </c>
    </row>
    <row r="133" customFormat="false" ht="15" hidden="false" customHeight="false" outlineLevel="0" collapsed="false">
      <c r="A133" s="36" t="str">
        <f aca="false">IF(B133="","",ROW()-4)</f>
        <v/>
      </c>
      <c r="B133" s="37"/>
      <c r="C133" s="37"/>
      <c r="D133" s="38"/>
      <c r="E133" s="39"/>
      <c r="F133" s="39"/>
      <c r="G133" s="39"/>
      <c r="H133" s="38"/>
      <c r="I133" s="37"/>
      <c r="J133" s="40" t="str">
        <f aca="false">IF(B133="","",IFERROR(INDEX(cg_ID,MATCH(B133,cg_Name,0)),"Not on roster"))</f>
        <v/>
      </c>
      <c r="K133" s="40" t="str">
        <f aca="false">IF(C133="","",IFERROR(INDEX(cl_ID,MATCH(C133,cl_Name,0)),"Not on roster"))</f>
        <v/>
      </c>
      <c r="L133" s="28" t="str">
        <f aca="false">IF(OR(B133="",D133=""),"",IFERROR(INDEX(rt_Rate,MATCH(D133,rt_Code,0)),0))</f>
        <v/>
      </c>
      <c r="M133" s="28" t="str">
        <f aca="false">IF(OR(B133="",D133=""),"",ROUND(N(F133)*L133,2))</f>
        <v/>
      </c>
      <c r="N133" s="41" t="str">
        <f aca="false">IF(B133="","",ROUND(N(G133)*MileRate,2))</f>
        <v/>
      </c>
      <c r="O133" s="28" t="str">
        <f aca="false">IF(B133="","",N(M133)+N133)</f>
        <v/>
      </c>
      <c r="P133" s="40" t="str">
        <f aca="false">IF(B133="","",IF(INDEX(vc_Result,ROW()-4)="OK","OK",IF(H133="Hold","On hold",INDEX(vc_Result,ROW()-4))))</f>
        <v/>
      </c>
      <c r="Q133" s="28" t="str">
        <f aca="false">IF(B133="","",IF(H133="Pay",O133,0))</f>
        <v/>
      </c>
      <c r="R133" s="42" t="n">
        <f aca="false">R132+IF(N(Q133)&gt;0,1,0)</f>
        <v>68</v>
      </c>
    </row>
    <row r="134" customFormat="false" ht="15" hidden="false" customHeight="false" outlineLevel="0" collapsed="false">
      <c r="A134" s="36" t="str">
        <f aca="false">IF(B134="","",ROW()-4)</f>
        <v/>
      </c>
      <c r="B134" s="37"/>
      <c r="C134" s="37"/>
      <c r="D134" s="38"/>
      <c r="E134" s="39"/>
      <c r="F134" s="39"/>
      <c r="G134" s="39"/>
      <c r="H134" s="38"/>
      <c r="I134" s="37"/>
      <c r="J134" s="40" t="str">
        <f aca="false">IF(B134="","",IFERROR(INDEX(cg_ID,MATCH(B134,cg_Name,0)),"Not on roster"))</f>
        <v/>
      </c>
      <c r="K134" s="40" t="str">
        <f aca="false">IF(C134="","",IFERROR(INDEX(cl_ID,MATCH(C134,cl_Name,0)),"Not on roster"))</f>
        <v/>
      </c>
      <c r="L134" s="28" t="str">
        <f aca="false">IF(OR(B134="",D134=""),"",IFERROR(INDEX(rt_Rate,MATCH(D134,rt_Code,0)),0))</f>
        <v/>
      </c>
      <c r="M134" s="28" t="str">
        <f aca="false">IF(OR(B134="",D134=""),"",ROUND(N(F134)*L134,2))</f>
        <v/>
      </c>
      <c r="N134" s="41" t="str">
        <f aca="false">IF(B134="","",ROUND(N(G134)*MileRate,2))</f>
        <v/>
      </c>
      <c r="O134" s="28" t="str">
        <f aca="false">IF(B134="","",N(M134)+N134)</f>
        <v/>
      </c>
      <c r="P134" s="40" t="str">
        <f aca="false">IF(B134="","",IF(INDEX(vc_Result,ROW()-4)="OK","OK",IF(H134="Hold","On hold",INDEX(vc_Result,ROW()-4))))</f>
        <v/>
      </c>
      <c r="Q134" s="28" t="str">
        <f aca="false">IF(B134="","",IF(H134="Pay",O134,0))</f>
        <v/>
      </c>
      <c r="R134" s="42" t="n">
        <f aca="false">R133+IF(N(Q134)&gt;0,1,0)</f>
        <v>68</v>
      </c>
    </row>
    <row r="135" customFormat="false" ht="15" hidden="false" customHeight="false" outlineLevel="0" collapsed="false">
      <c r="A135" s="36" t="str">
        <f aca="false">IF(B135="","",ROW()-4)</f>
        <v/>
      </c>
      <c r="B135" s="37"/>
      <c r="C135" s="37"/>
      <c r="D135" s="38"/>
      <c r="E135" s="39"/>
      <c r="F135" s="39"/>
      <c r="G135" s="39"/>
      <c r="H135" s="38"/>
      <c r="I135" s="37"/>
      <c r="J135" s="40" t="str">
        <f aca="false">IF(B135="","",IFERROR(INDEX(cg_ID,MATCH(B135,cg_Name,0)),"Not on roster"))</f>
        <v/>
      </c>
      <c r="K135" s="40" t="str">
        <f aca="false">IF(C135="","",IFERROR(INDEX(cl_ID,MATCH(C135,cl_Name,0)),"Not on roster"))</f>
        <v/>
      </c>
      <c r="L135" s="28" t="str">
        <f aca="false">IF(OR(B135="",D135=""),"",IFERROR(INDEX(rt_Rate,MATCH(D135,rt_Code,0)),0))</f>
        <v/>
      </c>
      <c r="M135" s="28" t="str">
        <f aca="false">IF(OR(B135="",D135=""),"",ROUND(N(F135)*L135,2))</f>
        <v/>
      </c>
      <c r="N135" s="41" t="str">
        <f aca="false">IF(B135="","",ROUND(N(G135)*MileRate,2))</f>
        <v/>
      </c>
      <c r="O135" s="28" t="str">
        <f aca="false">IF(B135="","",N(M135)+N135)</f>
        <v/>
      </c>
      <c r="P135" s="40" t="str">
        <f aca="false">IF(B135="","",IF(INDEX(vc_Result,ROW()-4)="OK","OK",IF(H135="Hold","On hold",INDEX(vc_Result,ROW()-4))))</f>
        <v/>
      </c>
      <c r="Q135" s="28" t="str">
        <f aca="false">IF(B135="","",IF(H135="Pay",O135,0))</f>
        <v/>
      </c>
      <c r="R135" s="42" t="n">
        <f aca="false">R134+IF(N(Q135)&gt;0,1,0)</f>
        <v>68</v>
      </c>
    </row>
    <row r="136" customFormat="false" ht="15" hidden="false" customHeight="false" outlineLevel="0" collapsed="false">
      <c r="A136" s="36" t="str">
        <f aca="false">IF(B136="","",ROW()-4)</f>
        <v/>
      </c>
      <c r="B136" s="37"/>
      <c r="C136" s="37"/>
      <c r="D136" s="38"/>
      <c r="E136" s="39"/>
      <c r="F136" s="39"/>
      <c r="G136" s="39"/>
      <c r="H136" s="38"/>
      <c r="I136" s="37"/>
      <c r="J136" s="40" t="str">
        <f aca="false">IF(B136="","",IFERROR(INDEX(cg_ID,MATCH(B136,cg_Name,0)),"Not on roster"))</f>
        <v/>
      </c>
      <c r="K136" s="40" t="str">
        <f aca="false">IF(C136="","",IFERROR(INDEX(cl_ID,MATCH(C136,cl_Name,0)),"Not on roster"))</f>
        <v/>
      </c>
      <c r="L136" s="28" t="str">
        <f aca="false">IF(OR(B136="",D136=""),"",IFERROR(INDEX(rt_Rate,MATCH(D136,rt_Code,0)),0))</f>
        <v/>
      </c>
      <c r="M136" s="28" t="str">
        <f aca="false">IF(OR(B136="",D136=""),"",ROUND(N(F136)*L136,2))</f>
        <v/>
      </c>
      <c r="N136" s="41" t="str">
        <f aca="false">IF(B136="","",ROUND(N(G136)*MileRate,2))</f>
        <v/>
      </c>
      <c r="O136" s="28" t="str">
        <f aca="false">IF(B136="","",N(M136)+N136)</f>
        <v/>
      </c>
      <c r="P136" s="40" t="str">
        <f aca="false">IF(B136="","",IF(INDEX(vc_Result,ROW()-4)="OK","OK",IF(H136="Hold","On hold",INDEX(vc_Result,ROW()-4))))</f>
        <v/>
      </c>
      <c r="Q136" s="28" t="str">
        <f aca="false">IF(B136="","",IF(H136="Pay",O136,0))</f>
        <v/>
      </c>
      <c r="R136" s="42" t="n">
        <f aca="false">R135+IF(N(Q136)&gt;0,1,0)</f>
        <v>68</v>
      </c>
    </row>
    <row r="137" customFormat="false" ht="15" hidden="false" customHeight="false" outlineLevel="0" collapsed="false">
      <c r="A137" s="36" t="str">
        <f aca="false">IF(B137="","",ROW()-4)</f>
        <v/>
      </c>
      <c r="B137" s="37"/>
      <c r="C137" s="37"/>
      <c r="D137" s="38"/>
      <c r="E137" s="39"/>
      <c r="F137" s="39"/>
      <c r="G137" s="39"/>
      <c r="H137" s="38"/>
      <c r="I137" s="37"/>
      <c r="J137" s="40" t="str">
        <f aca="false">IF(B137="","",IFERROR(INDEX(cg_ID,MATCH(B137,cg_Name,0)),"Not on roster"))</f>
        <v/>
      </c>
      <c r="K137" s="40" t="str">
        <f aca="false">IF(C137="","",IFERROR(INDEX(cl_ID,MATCH(C137,cl_Name,0)),"Not on roster"))</f>
        <v/>
      </c>
      <c r="L137" s="28" t="str">
        <f aca="false">IF(OR(B137="",D137=""),"",IFERROR(INDEX(rt_Rate,MATCH(D137,rt_Code,0)),0))</f>
        <v/>
      </c>
      <c r="M137" s="28" t="str">
        <f aca="false">IF(OR(B137="",D137=""),"",ROUND(N(F137)*L137,2))</f>
        <v/>
      </c>
      <c r="N137" s="41" t="str">
        <f aca="false">IF(B137="","",ROUND(N(G137)*MileRate,2))</f>
        <v/>
      </c>
      <c r="O137" s="28" t="str">
        <f aca="false">IF(B137="","",N(M137)+N137)</f>
        <v/>
      </c>
      <c r="P137" s="40" t="str">
        <f aca="false">IF(B137="","",IF(INDEX(vc_Result,ROW()-4)="OK","OK",IF(H137="Hold","On hold",INDEX(vc_Result,ROW()-4))))</f>
        <v/>
      </c>
      <c r="Q137" s="28" t="str">
        <f aca="false">IF(B137="","",IF(H137="Pay",O137,0))</f>
        <v/>
      </c>
      <c r="R137" s="42" t="n">
        <f aca="false">R136+IF(N(Q137)&gt;0,1,0)</f>
        <v>68</v>
      </c>
    </row>
    <row r="138" customFormat="false" ht="15" hidden="false" customHeight="false" outlineLevel="0" collapsed="false">
      <c r="A138" s="36" t="str">
        <f aca="false">IF(B138="","",ROW()-4)</f>
        <v/>
      </c>
      <c r="B138" s="37"/>
      <c r="C138" s="37"/>
      <c r="D138" s="38"/>
      <c r="E138" s="39"/>
      <c r="F138" s="39"/>
      <c r="G138" s="39"/>
      <c r="H138" s="38"/>
      <c r="I138" s="37"/>
      <c r="J138" s="40" t="str">
        <f aca="false">IF(B138="","",IFERROR(INDEX(cg_ID,MATCH(B138,cg_Name,0)),"Not on roster"))</f>
        <v/>
      </c>
      <c r="K138" s="40" t="str">
        <f aca="false">IF(C138="","",IFERROR(INDEX(cl_ID,MATCH(C138,cl_Name,0)),"Not on roster"))</f>
        <v/>
      </c>
      <c r="L138" s="28" t="str">
        <f aca="false">IF(OR(B138="",D138=""),"",IFERROR(INDEX(rt_Rate,MATCH(D138,rt_Code,0)),0))</f>
        <v/>
      </c>
      <c r="M138" s="28" t="str">
        <f aca="false">IF(OR(B138="",D138=""),"",ROUND(N(F138)*L138,2))</f>
        <v/>
      </c>
      <c r="N138" s="41" t="str">
        <f aca="false">IF(B138="","",ROUND(N(G138)*MileRate,2))</f>
        <v/>
      </c>
      <c r="O138" s="28" t="str">
        <f aca="false">IF(B138="","",N(M138)+N138)</f>
        <v/>
      </c>
      <c r="P138" s="40" t="str">
        <f aca="false">IF(B138="","",IF(INDEX(vc_Result,ROW()-4)="OK","OK",IF(H138="Hold","On hold",INDEX(vc_Result,ROW()-4))))</f>
        <v/>
      </c>
      <c r="Q138" s="28" t="str">
        <f aca="false">IF(B138="","",IF(H138="Pay",O138,0))</f>
        <v/>
      </c>
      <c r="R138" s="42" t="n">
        <f aca="false">R137+IF(N(Q138)&gt;0,1,0)</f>
        <v>68</v>
      </c>
    </row>
    <row r="139" customFormat="false" ht="15" hidden="false" customHeight="false" outlineLevel="0" collapsed="false">
      <c r="A139" s="36" t="str">
        <f aca="false">IF(B139="","",ROW()-4)</f>
        <v/>
      </c>
      <c r="B139" s="37"/>
      <c r="C139" s="37"/>
      <c r="D139" s="38"/>
      <c r="E139" s="39"/>
      <c r="F139" s="39"/>
      <c r="G139" s="39"/>
      <c r="H139" s="38"/>
      <c r="I139" s="37"/>
      <c r="J139" s="40" t="str">
        <f aca="false">IF(B139="","",IFERROR(INDEX(cg_ID,MATCH(B139,cg_Name,0)),"Not on roster"))</f>
        <v/>
      </c>
      <c r="K139" s="40" t="str">
        <f aca="false">IF(C139="","",IFERROR(INDEX(cl_ID,MATCH(C139,cl_Name,0)),"Not on roster"))</f>
        <v/>
      </c>
      <c r="L139" s="28" t="str">
        <f aca="false">IF(OR(B139="",D139=""),"",IFERROR(INDEX(rt_Rate,MATCH(D139,rt_Code,0)),0))</f>
        <v/>
      </c>
      <c r="M139" s="28" t="str">
        <f aca="false">IF(OR(B139="",D139=""),"",ROUND(N(F139)*L139,2))</f>
        <v/>
      </c>
      <c r="N139" s="41" t="str">
        <f aca="false">IF(B139="","",ROUND(N(G139)*MileRate,2))</f>
        <v/>
      </c>
      <c r="O139" s="28" t="str">
        <f aca="false">IF(B139="","",N(M139)+N139)</f>
        <v/>
      </c>
      <c r="P139" s="40" t="str">
        <f aca="false">IF(B139="","",IF(INDEX(vc_Result,ROW()-4)="OK","OK",IF(H139="Hold","On hold",INDEX(vc_Result,ROW()-4))))</f>
        <v/>
      </c>
      <c r="Q139" s="28" t="str">
        <f aca="false">IF(B139="","",IF(H139="Pay",O139,0))</f>
        <v/>
      </c>
      <c r="R139" s="42" t="n">
        <f aca="false">R138+IF(N(Q139)&gt;0,1,0)</f>
        <v>68</v>
      </c>
    </row>
    <row r="140" customFormat="false" ht="15" hidden="false" customHeight="false" outlineLevel="0" collapsed="false">
      <c r="A140" s="36" t="str">
        <f aca="false">IF(B140="","",ROW()-4)</f>
        <v/>
      </c>
      <c r="B140" s="37"/>
      <c r="C140" s="37"/>
      <c r="D140" s="38"/>
      <c r="E140" s="39"/>
      <c r="F140" s="39"/>
      <c r="G140" s="39"/>
      <c r="H140" s="38"/>
      <c r="I140" s="37"/>
      <c r="J140" s="40" t="str">
        <f aca="false">IF(B140="","",IFERROR(INDEX(cg_ID,MATCH(B140,cg_Name,0)),"Not on roster"))</f>
        <v/>
      </c>
      <c r="K140" s="40" t="str">
        <f aca="false">IF(C140="","",IFERROR(INDEX(cl_ID,MATCH(C140,cl_Name,0)),"Not on roster"))</f>
        <v/>
      </c>
      <c r="L140" s="28" t="str">
        <f aca="false">IF(OR(B140="",D140=""),"",IFERROR(INDEX(rt_Rate,MATCH(D140,rt_Code,0)),0))</f>
        <v/>
      </c>
      <c r="M140" s="28" t="str">
        <f aca="false">IF(OR(B140="",D140=""),"",ROUND(N(F140)*L140,2))</f>
        <v/>
      </c>
      <c r="N140" s="41" t="str">
        <f aca="false">IF(B140="","",ROUND(N(G140)*MileRate,2))</f>
        <v/>
      </c>
      <c r="O140" s="28" t="str">
        <f aca="false">IF(B140="","",N(M140)+N140)</f>
        <v/>
      </c>
      <c r="P140" s="40" t="str">
        <f aca="false">IF(B140="","",IF(INDEX(vc_Result,ROW()-4)="OK","OK",IF(H140="Hold","On hold",INDEX(vc_Result,ROW()-4))))</f>
        <v/>
      </c>
      <c r="Q140" s="28" t="str">
        <f aca="false">IF(B140="","",IF(H140="Pay",O140,0))</f>
        <v/>
      </c>
      <c r="R140" s="42" t="n">
        <f aca="false">R139+IF(N(Q140)&gt;0,1,0)</f>
        <v>68</v>
      </c>
    </row>
    <row r="141" customFormat="false" ht="15" hidden="false" customHeight="false" outlineLevel="0" collapsed="false">
      <c r="A141" s="36" t="str">
        <f aca="false">IF(B141="","",ROW()-4)</f>
        <v/>
      </c>
      <c r="B141" s="37"/>
      <c r="C141" s="37"/>
      <c r="D141" s="38"/>
      <c r="E141" s="39"/>
      <c r="F141" s="39"/>
      <c r="G141" s="39"/>
      <c r="H141" s="38"/>
      <c r="I141" s="37"/>
      <c r="J141" s="40" t="str">
        <f aca="false">IF(B141="","",IFERROR(INDEX(cg_ID,MATCH(B141,cg_Name,0)),"Not on roster"))</f>
        <v/>
      </c>
      <c r="K141" s="40" t="str">
        <f aca="false">IF(C141="","",IFERROR(INDEX(cl_ID,MATCH(C141,cl_Name,0)),"Not on roster"))</f>
        <v/>
      </c>
      <c r="L141" s="28" t="str">
        <f aca="false">IF(OR(B141="",D141=""),"",IFERROR(INDEX(rt_Rate,MATCH(D141,rt_Code,0)),0))</f>
        <v/>
      </c>
      <c r="M141" s="28" t="str">
        <f aca="false">IF(OR(B141="",D141=""),"",ROUND(N(F141)*L141,2))</f>
        <v/>
      </c>
      <c r="N141" s="41" t="str">
        <f aca="false">IF(B141="","",ROUND(N(G141)*MileRate,2))</f>
        <v/>
      </c>
      <c r="O141" s="28" t="str">
        <f aca="false">IF(B141="","",N(M141)+N141)</f>
        <v/>
      </c>
      <c r="P141" s="40" t="str">
        <f aca="false">IF(B141="","",IF(INDEX(vc_Result,ROW()-4)="OK","OK",IF(H141="Hold","On hold",INDEX(vc_Result,ROW()-4))))</f>
        <v/>
      </c>
      <c r="Q141" s="28" t="str">
        <f aca="false">IF(B141="","",IF(H141="Pay",O141,0))</f>
        <v/>
      </c>
      <c r="R141" s="42" t="n">
        <f aca="false">R140+IF(N(Q141)&gt;0,1,0)</f>
        <v>68</v>
      </c>
    </row>
    <row r="142" customFormat="false" ht="15" hidden="false" customHeight="false" outlineLevel="0" collapsed="false">
      <c r="A142" s="36" t="str">
        <f aca="false">IF(B142="","",ROW()-4)</f>
        <v/>
      </c>
      <c r="B142" s="37"/>
      <c r="C142" s="37"/>
      <c r="D142" s="38"/>
      <c r="E142" s="39"/>
      <c r="F142" s="39"/>
      <c r="G142" s="39"/>
      <c r="H142" s="38"/>
      <c r="I142" s="37"/>
      <c r="J142" s="40" t="str">
        <f aca="false">IF(B142="","",IFERROR(INDEX(cg_ID,MATCH(B142,cg_Name,0)),"Not on roster"))</f>
        <v/>
      </c>
      <c r="K142" s="40" t="str">
        <f aca="false">IF(C142="","",IFERROR(INDEX(cl_ID,MATCH(C142,cl_Name,0)),"Not on roster"))</f>
        <v/>
      </c>
      <c r="L142" s="28" t="str">
        <f aca="false">IF(OR(B142="",D142=""),"",IFERROR(INDEX(rt_Rate,MATCH(D142,rt_Code,0)),0))</f>
        <v/>
      </c>
      <c r="M142" s="28" t="str">
        <f aca="false">IF(OR(B142="",D142=""),"",ROUND(N(F142)*L142,2))</f>
        <v/>
      </c>
      <c r="N142" s="41" t="str">
        <f aca="false">IF(B142="","",ROUND(N(G142)*MileRate,2))</f>
        <v/>
      </c>
      <c r="O142" s="28" t="str">
        <f aca="false">IF(B142="","",N(M142)+N142)</f>
        <v/>
      </c>
      <c r="P142" s="40" t="str">
        <f aca="false">IF(B142="","",IF(INDEX(vc_Result,ROW()-4)="OK","OK",IF(H142="Hold","On hold",INDEX(vc_Result,ROW()-4))))</f>
        <v/>
      </c>
      <c r="Q142" s="28" t="str">
        <f aca="false">IF(B142="","",IF(H142="Pay",O142,0))</f>
        <v/>
      </c>
      <c r="R142" s="42" t="n">
        <f aca="false">R141+IF(N(Q142)&gt;0,1,0)</f>
        <v>68</v>
      </c>
    </row>
    <row r="143" customFormat="false" ht="15" hidden="false" customHeight="false" outlineLevel="0" collapsed="false">
      <c r="A143" s="36" t="str">
        <f aca="false">IF(B143="","",ROW()-4)</f>
        <v/>
      </c>
      <c r="B143" s="37"/>
      <c r="C143" s="37"/>
      <c r="D143" s="38"/>
      <c r="E143" s="39"/>
      <c r="F143" s="39"/>
      <c r="G143" s="39"/>
      <c r="H143" s="38"/>
      <c r="I143" s="37"/>
      <c r="J143" s="40" t="str">
        <f aca="false">IF(B143="","",IFERROR(INDEX(cg_ID,MATCH(B143,cg_Name,0)),"Not on roster"))</f>
        <v/>
      </c>
      <c r="K143" s="40" t="str">
        <f aca="false">IF(C143="","",IFERROR(INDEX(cl_ID,MATCH(C143,cl_Name,0)),"Not on roster"))</f>
        <v/>
      </c>
      <c r="L143" s="28" t="str">
        <f aca="false">IF(OR(B143="",D143=""),"",IFERROR(INDEX(rt_Rate,MATCH(D143,rt_Code,0)),0))</f>
        <v/>
      </c>
      <c r="M143" s="28" t="str">
        <f aca="false">IF(OR(B143="",D143=""),"",ROUND(N(F143)*L143,2))</f>
        <v/>
      </c>
      <c r="N143" s="41" t="str">
        <f aca="false">IF(B143="","",ROUND(N(G143)*MileRate,2))</f>
        <v/>
      </c>
      <c r="O143" s="28" t="str">
        <f aca="false">IF(B143="","",N(M143)+N143)</f>
        <v/>
      </c>
      <c r="P143" s="40" t="str">
        <f aca="false">IF(B143="","",IF(INDEX(vc_Result,ROW()-4)="OK","OK",IF(H143="Hold","On hold",INDEX(vc_Result,ROW()-4))))</f>
        <v/>
      </c>
      <c r="Q143" s="28" t="str">
        <f aca="false">IF(B143="","",IF(H143="Pay",O143,0))</f>
        <v/>
      </c>
      <c r="R143" s="42" t="n">
        <f aca="false">R142+IF(N(Q143)&gt;0,1,0)</f>
        <v>68</v>
      </c>
    </row>
    <row r="144" customFormat="false" ht="15" hidden="false" customHeight="false" outlineLevel="0" collapsed="false">
      <c r="A144" s="36" t="str">
        <f aca="false">IF(B144="","",ROW()-4)</f>
        <v/>
      </c>
      <c r="B144" s="37"/>
      <c r="C144" s="37"/>
      <c r="D144" s="38"/>
      <c r="E144" s="39"/>
      <c r="F144" s="39"/>
      <c r="G144" s="39"/>
      <c r="H144" s="38"/>
      <c r="I144" s="37"/>
      <c r="J144" s="40" t="str">
        <f aca="false">IF(B144="","",IFERROR(INDEX(cg_ID,MATCH(B144,cg_Name,0)),"Not on roster"))</f>
        <v/>
      </c>
      <c r="K144" s="40" t="str">
        <f aca="false">IF(C144="","",IFERROR(INDEX(cl_ID,MATCH(C144,cl_Name,0)),"Not on roster"))</f>
        <v/>
      </c>
      <c r="L144" s="28" t="str">
        <f aca="false">IF(OR(B144="",D144=""),"",IFERROR(INDEX(rt_Rate,MATCH(D144,rt_Code,0)),0))</f>
        <v/>
      </c>
      <c r="M144" s="28" t="str">
        <f aca="false">IF(OR(B144="",D144=""),"",ROUND(N(F144)*L144,2))</f>
        <v/>
      </c>
      <c r="N144" s="41" t="str">
        <f aca="false">IF(B144="","",ROUND(N(G144)*MileRate,2))</f>
        <v/>
      </c>
      <c r="O144" s="28" t="str">
        <f aca="false">IF(B144="","",N(M144)+N144)</f>
        <v/>
      </c>
      <c r="P144" s="40" t="str">
        <f aca="false">IF(B144="","",IF(INDEX(vc_Result,ROW()-4)="OK","OK",IF(H144="Hold","On hold",INDEX(vc_Result,ROW()-4))))</f>
        <v/>
      </c>
      <c r="Q144" s="28" t="str">
        <f aca="false">IF(B144="","",IF(H144="Pay",O144,0))</f>
        <v/>
      </c>
      <c r="R144" s="42" t="n">
        <f aca="false">R143+IF(N(Q144)&gt;0,1,0)</f>
        <v>68</v>
      </c>
    </row>
    <row r="145" customFormat="false" ht="15" hidden="false" customHeight="false" outlineLevel="0" collapsed="false">
      <c r="A145" s="36" t="str">
        <f aca="false">IF(B145="","",ROW()-4)</f>
        <v/>
      </c>
      <c r="B145" s="37"/>
      <c r="C145" s="37"/>
      <c r="D145" s="38"/>
      <c r="E145" s="39"/>
      <c r="F145" s="39"/>
      <c r="G145" s="39"/>
      <c r="H145" s="38"/>
      <c r="I145" s="37"/>
      <c r="J145" s="40" t="str">
        <f aca="false">IF(B145="","",IFERROR(INDEX(cg_ID,MATCH(B145,cg_Name,0)),"Not on roster"))</f>
        <v/>
      </c>
      <c r="K145" s="40" t="str">
        <f aca="false">IF(C145="","",IFERROR(INDEX(cl_ID,MATCH(C145,cl_Name,0)),"Not on roster"))</f>
        <v/>
      </c>
      <c r="L145" s="28" t="str">
        <f aca="false">IF(OR(B145="",D145=""),"",IFERROR(INDEX(rt_Rate,MATCH(D145,rt_Code,0)),0))</f>
        <v/>
      </c>
      <c r="M145" s="28" t="str">
        <f aca="false">IF(OR(B145="",D145=""),"",ROUND(N(F145)*L145,2))</f>
        <v/>
      </c>
      <c r="N145" s="41" t="str">
        <f aca="false">IF(B145="","",ROUND(N(G145)*MileRate,2))</f>
        <v/>
      </c>
      <c r="O145" s="28" t="str">
        <f aca="false">IF(B145="","",N(M145)+N145)</f>
        <v/>
      </c>
      <c r="P145" s="40" t="str">
        <f aca="false">IF(B145="","",IF(INDEX(vc_Result,ROW()-4)="OK","OK",IF(H145="Hold","On hold",INDEX(vc_Result,ROW()-4))))</f>
        <v/>
      </c>
      <c r="Q145" s="28" t="str">
        <f aca="false">IF(B145="","",IF(H145="Pay",O145,0))</f>
        <v/>
      </c>
      <c r="R145" s="42" t="n">
        <f aca="false">R144+IF(N(Q145)&gt;0,1,0)</f>
        <v>68</v>
      </c>
    </row>
    <row r="146" customFormat="false" ht="15" hidden="false" customHeight="false" outlineLevel="0" collapsed="false">
      <c r="A146" s="36" t="str">
        <f aca="false">IF(B146="","",ROW()-4)</f>
        <v/>
      </c>
      <c r="B146" s="37"/>
      <c r="C146" s="37"/>
      <c r="D146" s="38"/>
      <c r="E146" s="39"/>
      <c r="F146" s="39"/>
      <c r="G146" s="39"/>
      <c r="H146" s="38"/>
      <c r="I146" s="37"/>
      <c r="J146" s="40" t="str">
        <f aca="false">IF(B146="","",IFERROR(INDEX(cg_ID,MATCH(B146,cg_Name,0)),"Not on roster"))</f>
        <v/>
      </c>
      <c r="K146" s="40" t="str">
        <f aca="false">IF(C146="","",IFERROR(INDEX(cl_ID,MATCH(C146,cl_Name,0)),"Not on roster"))</f>
        <v/>
      </c>
      <c r="L146" s="28" t="str">
        <f aca="false">IF(OR(B146="",D146=""),"",IFERROR(INDEX(rt_Rate,MATCH(D146,rt_Code,0)),0))</f>
        <v/>
      </c>
      <c r="M146" s="28" t="str">
        <f aca="false">IF(OR(B146="",D146=""),"",ROUND(N(F146)*L146,2))</f>
        <v/>
      </c>
      <c r="N146" s="41" t="str">
        <f aca="false">IF(B146="","",ROUND(N(G146)*MileRate,2))</f>
        <v/>
      </c>
      <c r="O146" s="28" t="str">
        <f aca="false">IF(B146="","",N(M146)+N146)</f>
        <v/>
      </c>
      <c r="P146" s="40" t="str">
        <f aca="false">IF(B146="","",IF(INDEX(vc_Result,ROW()-4)="OK","OK",IF(H146="Hold","On hold",INDEX(vc_Result,ROW()-4))))</f>
        <v/>
      </c>
      <c r="Q146" s="28" t="str">
        <f aca="false">IF(B146="","",IF(H146="Pay",O146,0))</f>
        <v/>
      </c>
      <c r="R146" s="42" t="n">
        <f aca="false">R145+IF(N(Q146)&gt;0,1,0)</f>
        <v>68</v>
      </c>
    </row>
    <row r="147" customFormat="false" ht="15" hidden="false" customHeight="false" outlineLevel="0" collapsed="false">
      <c r="A147" s="36" t="str">
        <f aca="false">IF(B147="","",ROW()-4)</f>
        <v/>
      </c>
      <c r="B147" s="37"/>
      <c r="C147" s="37"/>
      <c r="D147" s="38"/>
      <c r="E147" s="39"/>
      <c r="F147" s="39"/>
      <c r="G147" s="39"/>
      <c r="H147" s="38"/>
      <c r="I147" s="37"/>
      <c r="J147" s="40" t="str">
        <f aca="false">IF(B147="","",IFERROR(INDEX(cg_ID,MATCH(B147,cg_Name,0)),"Not on roster"))</f>
        <v/>
      </c>
      <c r="K147" s="40" t="str">
        <f aca="false">IF(C147="","",IFERROR(INDEX(cl_ID,MATCH(C147,cl_Name,0)),"Not on roster"))</f>
        <v/>
      </c>
      <c r="L147" s="28" t="str">
        <f aca="false">IF(OR(B147="",D147=""),"",IFERROR(INDEX(rt_Rate,MATCH(D147,rt_Code,0)),0))</f>
        <v/>
      </c>
      <c r="M147" s="28" t="str">
        <f aca="false">IF(OR(B147="",D147=""),"",ROUND(N(F147)*L147,2))</f>
        <v/>
      </c>
      <c r="N147" s="41" t="str">
        <f aca="false">IF(B147="","",ROUND(N(G147)*MileRate,2))</f>
        <v/>
      </c>
      <c r="O147" s="28" t="str">
        <f aca="false">IF(B147="","",N(M147)+N147)</f>
        <v/>
      </c>
      <c r="P147" s="40" t="str">
        <f aca="false">IF(B147="","",IF(INDEX(vc_Result,ROW()-4)="OK","OK",IF(H147="Hold","On hold",INDEX(vc_Result,ROW()-4))))</f>
        <v/>
      </c>
      <c r="Q147" s="28" t="str">
        <f aca="false">IF(B147="","",IF(H147="Pay",O147,0))</f>
        <v/>
      </c>
      <c r="R147" s="42" t="n">
        <f aca="false">R146+IF(N(Q147)&gt;0,1,0)</f>
        <v>68</v>
      </c>
    </row>
    <row r="148" customFormat="false" ht="15" hidden="false" customHeight="false" outlineLevel="0" collapsed="false">
      <c r="A148" s="36" t="str">
        <f aca="false">IF(B148="","",ROW()-4)</f>
        <v/>
      </c>
      <c r="B148" s="37"/>
      <c r="C148" s="37"/>
      <c r="D148" s="38"/>
      <c r="E148" s="39"/>
      <c r="F148" s="39"/>
      <c r="G148" s="39"/>
      <c r="H148" s="38"/>
      <c r="I148" s="37"/>
      <c r="J148" s="40" t="str">
        <f aca="false">IF(B148="","",IFERROR(INDEX(cg_ID,MATCH(B148,cg_Name,0)),"Not on roster"))</f>
        <v/>
      </c>
      <c r="K148" s="40" t="str">
        <f aca="false">IF(C148="","",IFERROR(INDEX(cl_ID,MATCH(C148,cl_Name,0)),"Not on roster"))</f>
        <v/>
      </c>
      <c r="L148" s="28" t="str">
        <f aca="false">IF(OR(B148="",D148=""),"",IFERROR(INDEX(rt_Rate,MATCH(D148,rt_Code,0)),0))</f>
        <v/>
      </c>
      <c r="M148" s="28" t="str">
        <f aca="false">IF(OR(B148="",D148=""),"",ROUND(N(F148)*L148,2))</f>
        <v/>
      </c>
      <c r="N148" s="41" t="str">
        <f aca="false">IF(B148="","",ROUND(N(G148)*MileRate,2))</f>
        <v/>
      </c>
      <c r="O148" s="28" t="str">
        <f aca="false">IF(B148="","",N(M148)+N148)</f>
        <v/>
      </c>
      <c r="P148" s="40" t="str">
        <f aca="false">IF(B148="","",IF(INDEX(vc_Result,ROW()-4)="OK","OK",IF(H148="Hold","On hold",INDEX(vc_Result,ROW()-4))))</f>
        <v/>
      </c>
      <c r="Q148" s="28" t="str">
        <f aca="false">IF(B148="","",IF(H148="Pay",O148,0))</f>
        <v/>
      </c>
      <c r="R148" s="42" t="n">
        <f aca="false">R147+IF(N(Q148)&gt;0,1,0)</f>
        <v>68</v>
      </c>
    </row>
    <row r="149" customFormat="false" ht="15" hidden="false" customHeight="false" outlineLevel="0" collapsed="false">
      <c r="A149" s="36" t="str">
        <f aca="false">IF(B149="","",ROW()-4)</f>
        <v/>
      </c>
      <c r="B149" s="37"/>
      <c r="C149" s="37"/>
      <c r="D149" s="38"/>
      <c r="E149" s="39"/>
      <c r="F149" s="39"/>
      <c r="G149" s="39"/>
      <c r="H149" s="38"/>
      <c r="I149" s="37"/>
      <c r="J149" s="40" t="str">
        <f aca="false">IF(B149="","",IFERROR(INDEX(cg_ID,MATCH(B149,cg_Name,0)),"Not on roster"))</f>
        <v/>
      </c>
      <c r="K149" s="40" t="str">
        <f aca="false">IF(C149="","",IFERROR(INDEX(cl_ID,MATCH(C149,cl_Name,0)),"Not on roster"))</f>
        <v/>
      </c>
      <c r="L149" s="28" t="str">
        <f aca="false">IF(OR(B149="",D149=""),"",IFERROR(INDEX(rt_Rate,MATCH(D149,rt_Code,0)),0))</f>
        <v/>
      </c>
      <c r="M149" s="28" t="str">
        <f aca="false">IF(OR(B149="",D149=""),"",ROUND(N(F149)*L149,2))</f>
        <v/>
      </c>
      <c r="N149" s="41" t="str">
        <f aca="false">IF(B149="","",ROUND(N(G149)*MileRate,2))</f>
        <v/>
      </c>
      <c r="O149" s="28" t="str">
        <f aca="false">IF(B149="","",N(M149)+N149)</f>
        <v/>
      </c>
      <c r="P149" s="40" t="str">
        <f aca="false">IF(B149="","",IF(INDEX(vc_Result,ROW()-4)="OK","OK",IF(H149="Hold","On hold",INDEX(vc_Result,ROW()-4))))</f>
        <v/>
      </c>
      <c r="Q149" s="28" t="str">
        <f aca="false">IF(B149="","",IF(H149="Pay",O149,0))</f>
        <v/>
      </c>
      <c r="R149" s="42" t="n">
        <f aca="false">R148+IF(N(Q149)&gt;0,1,0)</f>
        <v>68</v>
      </c>
    </row>
    <row r="150" customFormat="false" ht="15" hidden="false" customHeight="false" outlineLevel="0" collapsed="false">
      <c r="A150" s="36" t="str">
        <f aca="false">IF(B150="","",ROW()-4)</f>
        <v/>
      </c>
      <c r="B150" s="37"/>
      <c r="C150" s="37"/>
      <c r="D150" s="38"/>
      <c r="E150" s="39"/>
      <c r="F150" s="39"/>
      <c r="G150" s="39"/>
      <c r="H150" s="38"/>
      <c r="I150" s="37"/>
      <c r="J150" s="40" t="str">
        <f aca="false">IF(B150="","",IFERROR(INDEX(cg_ID,MATCH(B150,cg_Name,0)),"Not on roster"))</f>
        <v/>
      </c>
      <c r="K150" s="40" t="str">
        <f aca="false">IF(C150="","",IFERROR(INDEX(cl_ID,MATCH(C150,cl_Name,0)),"Not on roster"))</f>
        <v/>
      </c>
      <c r="L150" s="28" t="str">
        <f aca="false">IF(OR(B150="",D150=""),"",IFERROR(INDEX(rt_Rate,MATCH(D150,rt_Code,0)),0))</f>
        <v/>
      </c>
      <c r="M150" s="28" t="str">
        <f aca="false">IF(OR(B150="",D150=""),"",ROUND(N(F150)*L150,2))</f>
        <v/>
      </c>
      <c r="N150" s="41" t="str">
        <f aca="false">IF(B150="","",ROUND(N(G150)*MileRate,2))</f>
        <v/>
      </c>
      <c r="O150" s="28" t="str">
        <f aca="false">IF(B150="","",N(M150)+N150)</f>
        <v/>
      </c>
      <c r="P150" s="40" t="str">
        <f aca="false">IF(B150="","",IF(INDEX(vc_Result,ROW()-4)="OK","OK",IF(H150="Hold","On hold",INDEX(vc_Result,ROW()-4))))</f>
        <v/>
      </c>
      <c r="Q150" s="28" t="str">
        <f aca="false">IF(B150="","",IF(H150="Pay",O150,0))</f>
        <v/>
      </c>
      <c r="R150" s="42" t="n">
        <f aca="false">R149+IF(N(Q150)&gt;0,1,0)</f>
        <v>68</v>
      </c>
    </row>
    <row r="151" customFormat="false" ht="15" hidden="false" customHeight="false" outlineLevel="0" collapsed="false">
      <c r="A151" s="36" t="str">
        <f aca="false">IF(B151="","",ROW()-4)</f>
        <v/>
      </c>
      <c r="B151" s="37"/>
      <c r="C151" s="37"/>
      <c r="D151" s="38"/>
      <c r="E151" s="39"/>
      <c r="F151" s="39"/>
      <c r="G151" s="39"/>
      <c r="H151" s="38"/>
      <c r="I151" s="37"/>
      <c r="J151" s="40" t="str">
        <f aca="false">IF(B151="","",IFERROR(INDEX(cg_ID,MATCH(B151,cg_Name,0)),"Not on roster"))</f>
        <v/>
      </c>
      <c r="K151" s="40" t="str">
        <f aca="false">IF(C151="","",IFERROR(INDEX(cl_ID,MATCH(C151,cl_Name,0)),"Not on roster"))</f>
        <v/>
      </c>
      <c r="L151" s="28" t="str">
        <f aca="false">IF(OR(B151="",D151=""),"",IFERROR(INDEX(rt_Rate,MATCH(D151,rt_Code,0)),0))</f>
        <v/>
      </c>
      <c r="M151" s="28" t="str">
        <f aca="false">IF(OR(B151="",D151=""),"",ROUND(N(F151)*L151,2))</f>
        <v/>
      </c>
      <c r="N151" s="41" t="str">
        <f aca="false">IF(B151="","",ROUND(N(G151)*MileRate,2))</f>
        <v/>
      </c>
      <c r="O151" s="28" t="str">
        <f aca="false">IF(B151="","",N(M151)+N151)</f>
        <v/>
      </c>
      <c r="P151" s="40" t="str">
        <f aca="false">IF(B151="","",IF(INDEX(vc_Result,ROW()-4)="OK","OK",IF(H151="Hold","On hold",INDEX(vc_Result,ROW()-4))))</f>
        <v/>
      </c>
      <c r="Q151" s="28" t="str">
        <f aca="false">IF(B151="","",IF(H151="Pay",O151,0))</f>
        <v/>
      </c>
      <c r="R151" s="42" t="n">
        <f aca="false">R150+IF(N(Q151)&gt;0,1,0)</f>
        <v>68</v>
      </c>
    </row>
    <row r="152" customFormat="false" ht="15" hidden="false" customHeight="false" outlineLevel="0" collapsed="false">
      <c r="A152" s="36" t="str">
        <f aca="false">IF(B152="","",ROW()-4)</f>
        <v/>
      </c>
      <c r="B152" s="37"/>
      <c r="C152" s="37"/>
      <c r="D152" s="38"/>
      <c r="E152" s="39"/>
      <c r="F152" s="39"/>
      <c r="G152" s="39"/>
      <c r="H152" s="38"/>
      <c r="I152" s="37"/>
      <c r="J152" s="40" t="str">
        <f aca="false">IF(B152="","",IFERROR(INDEX(cg_ID,MATCH(B152,cg_Name,0)),"Not on roster"))</f>
        <v/>
      </c>
      <c r="K152" s="40" t="str">
        <f aca="false">IF(C152="","",IFERROR(INDEX(cl_ID,MATCH(C152,cl_Name,0)),"Not on roster"))</f>
        <v/>
      </c>
      <c r="L152" s="28" t="str">
        <f aca="false">IF(OR(B152="",D152=""),"",IFERROR(INDEX(rt_Rate,MATCH(D152,rt_Code,0)),0))</f>
        <v/>
      </c>
      <c r="M152" s="28" t="str">
        <f aca="false">IF(OR(B152="",D152=""),"",ROUND(N(F152)*L152,2))</f>
        <v/>
      </c>
      <c r="N152" s="41" t="str">
        <f aca="false">IF(B152="","",ROUND(N(G152)*MileRate,2))</f>
        <v/>
      </c>
      <c r="O152" s="28" t="str">
        <f aca="false">IF(B152="","",N(M152)+N152)</f>
        <v/>
      </c>
      <c r="P152" s="40" t="str">
        <f aca="false">IF(B152="","",IF(INDEX(vc_Result,ROW()-4)="OK","OK",IF(H152="Hold","On hold",INDEX(vc_Result,ROW()-4))))</f>
        <v/>
      </c>
      <c r="Q152" s="28" t="str">
        <f aca="false">IF(B152="","",IF(H152="Pay",O152,0))</f>
        <v/>
      </c>
      <c r="R152" s="42" t="n">
        <f aca="false">R151+IF(N(Q152)&gt;0,1,0)</f>
        <v>68</v>
      </c>
    </row>
    <row r="153" customFormat="false" ht="15" hidden="false" customHeight="false" outlineLevel="0" collapsed="false">
      <c r="A153" s="36" t="str">
        <f aca="false">IF(B153="","",ROW()-4)</f>
        <v/>
      </c>
      <c r="B153" s="37"/>
      <c r="C153" s="37"/>
      <c r="D153" s="38"/>
      <c r="E153" s="39"/>
      <c r="F153" s="39"/>
      <c r="G153" s="39"/>
      <c r="H153" s="38"/>
      <c r="I153" s="37"/>
      <c r="J153" s="40" t="str">
        <f aca="false">IF(B153="","",IFERROR(INDEX(cg_ID,MATCH(B153,cg_Name,0)),"Not on roster"))</f>
        <v/>
      </c>
      <c r="K153" s="40" t="str">
        <f aca="false">IF(C153="","",IFERROR(INDEX(cl_ID,MATCH(C153,cl_Name,0)),"Not on roster"))</f>
        <v/>
      </c>
      <c r="L153" s="28" t="str">
        <f aca="false">IF(OR(B153="",D153=""),"",IFERROR(INDEX(rt_Rate,MATCH(D153,rt_Code,0)),0))</f>
        <v/>
      </c>
      <c r="M153" s="28" t="str">
        <f aca="false">IF(OR(B153="",D153=""),"",ROUND(N(F153)*L153,2))</f>
        <v/>
      </c>
      <c r="N153" s="41" t="str">
        <f aca="false">IF(B153="","",ROUND(N(G153)*MileRate,2))</f>
        <v/>
      </c>
      <c r="O153" s="28" t="str">
        <f aca="false">IF(B153="","",N(M153)+N153)</f>
        <v/>
      </c>
      <c r="P153" s="40" t="str">
        <f aca="false">IF(B153="","",IF(INDEX(vc_Result,ROW()-4)="OK","OK",IF(H153="Hold","On hold",INDEX(vc_Result,ROW()-4))))</f>
        <v/>
      </c>
      <c r="Q153" s="28" t="str">
        <f aca="false">IF(B153="","",IF(H153="Pay",O153,0))</f>
        <v/>
      </c>
      <c r="R153" s="42" t="n">
        <f aca="false">R152+IF(N(Q153)&gt;0,1,0)</f>
        <v>68</v>
      </c>
    </row>
    <row r="154" customFormat="false" ht="15" hidden="false" customHeight="false" outlineLevel="0" collapsed="false">
      <c r="A154" s="36" t="str">
        <f aca="false">IF(B154="","",ROW()-4)</f>
        <v/>
      </c>
      <c r="B154" s="37"/>
      <c r="C154" s="37"/>
      <c r="D154" s="38"/>
      <c r="E154" s="39"/>
      <c r="F154" s="39"/>
      <c r="G154" s="39"/>
      <c r="H154" s="38"/>
      <c r="I154" s="37"/>
      <c r="J154" s="40" t="str">
        <f aca="false">IF(B154="","",IFERROR(INDEX(cg_ID,MATCH(B154,cg_Name,0)),"Not on roster"))</f>
        <v/>
      </c>
      <c r="K154" s="40" t="str">
        <f aca="false">IF(C154="","",IFERROR(INDEX(cl_ID,MATCH(C154,cl_Name,0)),"Not on roster"))</f>
        <v/>
      </c>
      <c r="L154" s="28" t="str">
        <f aca="false">IF(OR(B154="",D154=""),"",IFERROR(INDEX(rt_Rate,MATCH(D154,rt_Code,0)),0))</f>
        <v/>
      </c>
      <c r="M154" s="28" t="str">
        <f aca="false">IF(OR(B154="",D154=""),"",ROUND(N(F154)*L154,2))</f>
        <v/>
      </c>
      <c r="N154" s="41" t="str">
        <f aca="false">IF(B154="","",ROUND(N(G154)*MileRate,2))</f>
        <v/>
      </c>
      <c r="O154" s="28" t="str">
        <f aca="false">IF(B154="","",N(M154)+N154)</f>
        <v/>
      </c>
      <c r="P154" s="40" t="str">
        <f aca="false">IF(B154="","",IF(INDEX(vc_Result,ROW()-4)="OK","OK",IF(H154="Hold","On hold",INDEX(vc_Result,ROW()-4))))</f>
        <v/>
      </c>
      <c r="Q154" s="28" t="str">
        <f aca="false">IF(B154="","",IF(H154="Pay",O154,0))</f>
        <v/>
      </c>
      <c r="R154" s="42" t="n">
        <f aca="false">R153+IF(N(Q154)&gt;0,1,0)</f>
        <v>68</v>
      </c>
    </row>
    <row r="155" customFormat="false" ht="15" hidden="false" customHeight="false" outlineLevel="0" collapsed="false">
      <c r="A155" s="36" t="str">
        <f aca="false">IF(B155="","",ROW()-4)</f>
        <v/>
      </c>
      <c r="B155" s="37"/>
      <c r="C155" s="37"/>
      <c r="D155" s="38"/>
      <c r="E155" s="39"/>
      <c r="F155" s="39"/>
      <c r="G155" s="39"/>
      <c r="H155" s="38"/>
      <c r="I155" s="37"/>
      <c r="J155" s="40" t="str">
        <f aca="false">IF(B155="","",IFERROR(INDEX(cg_ID,MATCH(B155,cg_Name,0)),"Not on roster"))</f>
        <v/>
      </c>
      <c r="K155" s="40" t="str">
        <f aca="false">IF(C155="","",IFERROR(INDEX(cl_ID,MATCH(C155,cl_Name,0)),"Not on roster"))</f>
        <v/>
      </c>
      <c r="L155" s="28" t="str">
        <f aca="false">IF(OR(B155="",D155=""),"",IFERROR(INDEX(rt_Rate,MATCH(D155,rt_Code,0)),0))</f>
        <v/>
      </c>
      <c r="M155" s="28" t="str">
        <f aca="false">IF(OR(B155="",D155=""),"",ROUND(N(F155)*L155,2))</f>
        <v/>
      </c>
      <c r="N155" s="41" t="str">
        <f aca="false">IF(B155="","",ROUND(N(G155)*MileRate,2))</f>
        <v/>
      </c>
      <c r="O155" s="28" t="str">
        <f aca="false">IF(B155="","",N(M155)+N155)</f>
        <v/>
      </c>
      <c r="P155" s="40" t="str">
        <f aca="false">IF(B155="","",IF(INDEX(vc_Result,ROW()-4)="OK","OK",IF(H155="Hold","On hold",INDEX(vc_Result,ROW()-4))))</f>
        <v/>
      </c>
      <c r="Q155" s="28" t="str">
        <f aca="false">IF(B155="","",IF(H155="Pay",O155,0))</f>
        <v/>
      </c>
      <c r="R155" s="42" t="n">
        <f aca="false">R154+IF(N(Q155)&gt;0,1,0)</f>
        <v>68</v>
      </c>
    </row>
    <row r="156" customFormat="false" ht="15" hidden="false" customHeight="false" outlineLevel="0" collapsed="false">
      <c r="A156" s="36" t="str">
        <f aca="false">IF(B156="","",ROW()-4)</f>
        <v/>
      </c>
      <c r="B156" s="37"/>
      <c r="C156" s="37"/>
      <c r="D156" s="38"/>
      <c r="E156" s="39"/>
      <c r="F156" s="39"/>
      <c r="G156" s="39"/>
      <c r="H156" s="38"/>
      <c r="I156" s="37"/>
      <c r="J156" s="40" t="str">
        <f aca="false">IF(B156="","",IFERROR(INDEX(cg_ID,MATCH(B156,cg_Name,0)),"Not on roster"))</f>
        <v/>
      </c>
      <c r="K156" s="40" t="str">
        <f aca="false">IF(C156="","",IFERROR(INDEX(cl_ID,MATCH(C156,cl_Name,0)),"Not on roster"))</f>
        <v/>
      </c>
      <c r="L156" s="28" t="str">
        <f aca="false">IF(OR(B156="",D156=""),"",IFERROR(INDEX(rt_Rate,MATCH(D156,rt_Code,0)),0))</f>
        <v/>
      </c>
      <c r="M156" s="28" t="str">
        <f aca="false">IF(OR(B156="",D156=""),"",ROUND(N(F156)*L156,2))</f>
        <v/>
      </c>
      <c r="N156" s="41" t="str">
        <f aca="false">IF(B156="","",ROUND(N(G156)*MileRate,2))</f>
        <v/>
      </c>
      <c r="O156" s="28" t="str">
        <f aca="false">IF(B156="","",N(M156)+N156)</f>
        <v/>
      </c>
      <c r="P156" s="40" t="str">
        <f aca="false">IF(B156="","",IF(INDEX(vc_Result,ROW()-4)="OK","OK",IF(H156="Hold","On hold",INDEX(vc_Result,ROW()-4))))</f>
        <v/>
      </c>
      <c r="Q156" s="28" t="str">
        <f aca="false">IF(B156="","",IF(H156="Pay",O156,0))</f>
        <v/>
      </c>
      <c r="R156" s="42" t="n">
        <f aca="false">R155+IF(N(Q156)&gt;0,1,0)</f>
        <v>68</v>
      </c>
    </row>
    <row r="157" customFormat="false" ht="15" hidden="false" customHeight="false" outlineLevel="0" collapsed="false">
      <c r="A157" s="36" t="str">
        <f aca="false">IF(B157="","",ROW()-4)</f>
        <v/>
      </c>
      <c r="B157" s="37"/>
      <c r="C157" s="37"/>
      <c r="D157" s="38"/>
      <c r="E157" s="39"/>
      <c r="F157" s="39"/>
      <c r="G157" s="39"/>
      <c r="H157" s="38"/>
      <c r="I157" s="37"/>
      <c r="J157" s="40" t="str">
        <f aca="false">IF(B157="","",IFERROR(INDEX(cg_ID,MATCH(B157,cg_Name,0)),"Not on roster"))</f>
        <v/>
      </c>
      <c r="K157" s="40" t="str">
        <f aca="false">IF(C157="","",IFERROR(INDEX(cl_ID,MATCH(C157,cl_Name,0)),"Not on roster"))</f>
        <v/>
      </c>
      <c r="L157" s="28" t="str">
        <f aca="false">IF(OR(B157="",D157=""),"",IFERROR(INDEX(rt_Rate,MATCH(D157,rt_Code,0)),0))</f>
        <v/>
      </c>
      <c r="M157" s="28" t="str">
        <f aca="false">IF(OR(B157="",D157=""),"",ROUND(N(F157)*L157,2))</f>
        <v/>
      </c>
      <c r="N157" s="41" t="str">
        <f aca="false">IF(B157="","",ROUND(N(G157)*MileRate,2))</f>
        <v/>
      </c>
      <c r="O157" s="28" t="str">
        <f aca="false">IF(B157="","",N(M157)+N157)</f>
        <v/>
      </c>
      <c r="P157" s="40" t="str">
        <f aca="false">IF(B157="","",IF(INDEX(vc_Result,ROW()-4)="OK","OK",IF(H157="Hold","On hold",INDEX(vc_Result,ROW()-4))))</f>
        <v/>
      </c>
      <c r="Q157" s="28" t="str">
        <f aca="false">IF(B157="","",IF(H157="Pay",O157,0))</f>
        <v/>
      </c>
      <c r="R157" s="42" t="n">
        <f aca="false">R156+IF(N(Q157)&gt;0,1,0)</f>
        <v>68</v>
      </c>
    </row>
    <row r="158" customFormat="false" ht="15" hidden="false" customHeight="false" outlineLevel="0" collapsed="false">
      <c r="A158" s="36" t="str">
        <f aca="false">IF(B158="","",ROW()-4)</f>
        <v/>
      </c>
      <c r="B158" s="37"/>
      <c r="C158" s="37"/>
      <c r="D158" s="38"/>
      <c r="E158" s="39"/>
      <c r="F158" s="39"/>
      <c r="G158" s="39"/>
      <c r="H158" s="38"/>
      <c r="I158" s="37"/>
      <c r="J158" s="40" t="str">
        <f aca="false">IF(B158="","",IFERROR(INDEX(cg_ID,MATCH(B158,cg_Name,0)),"Not on roster"))</f>
        <v/>
      </c>
      <c r="K158" s="40" t="str">
        <f aca="false">IF(C158="","",IFERROR(INDEX(cl_ID,MATCH(C158,cl_Name,0)),"Not on roster"))</f>
        <v/>
      </c>
      <c r="L158" s="28" t="str">
        <f aca="false">IF(OR(B158="",D158=""),"",IFERROR(INDEX(rt_Rate,MATCH(D158,rt_Code,0)),0))</f>
        <v/>
      </c>
      <c r="M158" s="28" t="str">
        <f aca="false">IF(OR(B158="",D158=""),"",ROUND(N(F158)*L158,2))</f>
        <v/>
      </c>
      <c r="N158" s="41" t="str">
        <f aca="false">IF(B158="","",ROUND(N(G158)*MileRate,2))</f>
        <v/>
      </c>
      <c r="O158" s="28" t="str">
        <f aca="false">IF(B158="","",N(M158)+N158)</f>
        <v/>
      </c>
      <c r="P158" s="40" t="str">
        <f aca="false">IF(B158="","",IF(INDEX(vc_Result,ROW()-4)="OK","OK",IF(H158="Hold","On hold",INDEX(vc_Result,ROW()-4))))</f>
        <v/>
      </c>
      <c r="Q158" s="28" t="str">
        <f aca="false">IF(B158="","",IF(H158="Pay",O158,0))</f>
        <v/>
      </c>
      <c r="R158" s="42" t="n">
        <f aca="false">R157+IF(N(Q158)&gt;0,1,0)</f>
        <v>68</v>
      </c>
    </row>
    <row r="159" customFormat="false" ht="15" hidden="false" customHeight="false" outlineLevel="0" collapsed="false">
      <c r="A159" s="36" t="str">
        <f aca="false">IF(B159="","",ROW()-4)</f>
        <v/>
      </c>
      <c r="B159" s="37"/>
      <c r="C159" s="37"/>
      <c r="D159" s="38"/>
      <c r="E159" s="39"/>
      <c r="F159" s="39"/>
      <c r="G159" s="39"/>
      <c r="H159" s="38"/>
      <c r="I159" s="37"/>
      <c r="J159" s="40" t="str">
        <f aca="false">IF(B159="","",IFERROR(INDEX(cg_ID,MATCH(B159,cg_Name,0)),"Not on roster"))</f>
        <v/>
      </c>
      <c r="K159" s="40" t="str">
        <f aca="false">IF(C159="","",IFERROR(INDEX(cl_ID,MATCH(C159,cl_Name,0)),"Not on roster"))</f>
        <v/>
      </c>
      <c r="L159" s="28" t="str">
        <f aca="false">IF(OR(B159="",D159=""),"",IFERROR(INDEX(rt_Rate,MATCH(D159,rt_Code,0)),0))</f>
        <v/>
      </c>
      <c r="M159" s="28" t="str">
        <f aca="false">IF(OR(B159="",D159=""),"",ROUND(N(F159)*L159,2))</f>
        <v/>
      </c>
      <c r="N159" s="41" t="str">
        <f aca="false">IF(B159="","",ROUND(N(G159)*MileRate,2))</f>
        <v/>
      </c>
      <c r="O159" s="28" t="str">
        <f aca="false">IF(B159="","",N(M159)+N159)</f>
        <v/>
      </c>
      <c r="P159" s="40" t="str">
        <f aca="false">IF(B159="","",IF(INDEX(vc_Result,ROW()-4)="OK","OK",IF(H159="Hold","On hold",INDEX(vc_Result,ROW()-4))))</f>
        <v/>
      </c>
      <c r="Q159" s="28" t="str">
        <f aca="false">IF(B159="","",IF(H159="Pay",O159,0))</f>
        <v/>
      </c>
      <c r="R159" s="42" t="n">
        <f aca="false">R158+IF(N(Q159)&gt;0,1,0)</f>
        <v>68</v>
      </c>
    </row>
    <row r="160" customFormat="false" ht="15" hidden="false" customHeight="false" outlineLevel="0" collapsed="false">
      <c r="A160" s="36" t="str">
        <f aca="false">IF(B160="","",ROW()-4)</f>
        <v/>
      </c>
      <c r="B160" s="37"/>
      <c r="C160" s="37"/>
      <c r="D160" s="38"/>
      <c r="E160" s="39"/>
      <c r="F160" s="39"/>
      <c r="G160" s="39"/>
      <c r="H160" s="38"/>
      <c r="I160" s="37"/>
      <c r="J160" s="40" t="str">
        <f aca="false">IF(B160="","",IFERROR(INDEX(cg_ID,MATCH(B160,cg_Name,0)),"Not on roster"))</f>
        <v/>
      </c>
      <c r="K160" s="40" t="str">
        <f aca="false">IF(C160="","",IFERROR(INDEX(cl_ID,MATCH(C160,cl_Name,0)),"Not on roster"))</f>
        <v/>
      </c>
      <c r="L160" s="28" t="str">
        <f aca="false">IF(OR(B160="",D160=""),"",IFERROR(INDEX(rt_Rate,MATCH(D160,rt_Code,0)),0))</f>
        <v/>
      </c>
      <c r="M160" s="28" t="str">
        <f aca="false">IF(OR(B160="",D160=""),"",ROUND(N(F160)*L160,2))</f>
        <v/>
      </c>
      <c r="N160" s="41" t="str">
        <f aca="false">IF(B160="","",ROUND(N(G160)*MileRate,2))</f>
        <v/>
      </c>
      <c r="O160" s="28" t="str">
        <f aca="false">IF(B160="","",N(M160)+N160)</f>
        <v/>
      </c>
      <c r="P160" s="40" t="str">
        <f aca="false">IF(B160="","",IF(INDEX(vc_Result,ROW()-4)="OK","OK",IF(H160="Hold","On hold",INDEX(vc_Result,ROW()-4))))</f>
        <v/>
      </c>
      <c r="Q160" s="28" t="str">
        <f aca="false">IF(B160="","",IF(H160="Pay",O160,0))</f>
        <v/>
      </c>
      <c r="R160" s="42" t="n">
        <f aca="false">R159+IF(N(Q160)&gt;0,1,0)</f>
        <v>68</v>
      </c>
    </row>
    <row r="161" customFormat="false" ht="15" hidden="false" customHeight="false" outlineLevel="0" collapsed="false">
      <c r="A161" s="36" t="str">
        <f aca="false">IF(B161="","",ROW()-4)</f>
        <v/>
      </c>
      <c r="B161" s="37"/>
      <c r="C161" s="37"/>
      <c r="D161" s="38"/>
      <c r="E161" s="39"/>
      <c r="F161" s="39"/>
      <c r="G161" s="39"/>
      <c r="H161" s="38"/>
      <c r="I161" s="37"/>
      <c r="J161" s="40" t="str">
        <f aca="false">IF(B161="","",IFERROR(INDEX(cg_ID,MATCH(B161,cg_Name,0)),"Not on roster"))</f>
        <v/>
      </c>
      <c r="K161" s="40" t="str">
        <f aca="false">IF(C161="","",IFERROR(INDEX(cl_ID,MATCH(C161,cl_Name,0)),"Not on roster"))</f>
        <v/>
      </c>
      <c r="L161" s="28" t="str">
        <f aca="false">IF(OR(B161="",D161=""),"",IFERROR(INDEX(rt_Rate,MATCH(D161,rt_Code,0)),0))</f>
        <v/>
      </c>
      <c r="M161" s="28" t="str">
        <f aca="false">IF(OR(B161="",D161=""),"",ROUND(N(F161)*L161,2))</f>
        <v/>
      </c>
      <c r="N161" s="41" t="str">
        <f aca="false">IF(B161="","",ROUND(N(G161)*MileRate,2))</f>
        <v/>
      </c>
      <c r="O161" s="28" t="str">
        <f aca="false">IF(B161="","",N(M161)+N161)</f>
        <v/>
      </c>
      <c r="P161" s="40" t="str">
        <f aca="false">IF(B161="","",IF(INDEX(vc_Result,ROW()-4)="OK","OK",IF(H161="Hold","On hold",INDEX(vc_Result,ROW()-4))))</f>
        <v/>
      </c>
      <c r="Q161" s="28" t="str">
        <f aca="false">IF(B161="","",IF(H161="Pay",O161,0))</f>
        <v/>
      </c>
      <c r="R161" s="42" t="n">
        <f aca="false">R160+IF(N(Q161)&gt;0,1,0)</f>
        <v>68</v>
      </c>
    </row>
    <row r="162" customFormat="false" ht="15" hidden="false" customHeight="false" outlineLevel="0" collapsed="false">
      <c r="A162" s="36" t="str">
        <f aca="false">IF(B162="","",ROW()-4)</f>
        <v/>
      </c>
      <c r="B162" s="37"/>
      <c r="C162" s="37"/>
      <c r="D162" s="38"/>
      <c r="E162" s="39"/>
      <c r="F162" s="39"/>
      <c r="G162" s="39"/>
      <c r="H162" s="38"/>
      <c r="I162" s="37"/>
      <c r="J162" s="40" t="str">
        <f aca="false">IF(B162="","",IFERROR(INDEX(cg_ID,MATCH(B162,cg_Name,0)),"Not on roster"))</f>
        <v/>
      </c>
      <c r="K162" s="40" t="str">
        <f aca="false">IF(C162="","",IFERROR(INDEX(cl_ID,MATCH(C162,cl_Name,0)),"Not on roster"))</f>
        <v/>
      </c>
      <c r="L162" s="28" t="str">
        <f aca="false">IF(OR(B162="",D162=""),"",IFERROR(INDEX(rt_Rate,MATCH(D162,rt_Code,0)),0))</f>
        <v/>
      </c>
      <c r="M162" s="28" t="str">
        <f aca="false">IF(OR(B162="",D162=""),"",ROUND(N(F162)*L162,2))</f>
        <v/>
      </c>
      <c r="N162" s="41" t="str">
        <f aca="false">IF(B162="","",ROUND(N(G162)*MileRate,2))</f>
        <v/>
      </c>
      <c r="O162" s="28" t="str">
        <f aca="false">IF(B162="","",N(M162)+N162)</f>
        <v/>
      </c>
      <c r="P162" s="40" t="str">
        <f aca="false">IF(B162="","",IF(INDEX(vc_Result,ROW()-4)="OK","OK",IF(H162="Hold","On hold",INDEX(vc_Result,ROW()-4))))</f>
        <v/>
      </c>
      <c r="Q162" s="28" t="str">
        <f aca="false">IF(B162="","",IF(H162="Pay",O162,0))</f>
        <v/>
      </c>
      <c r="R162" s="42" t="n">
        <f aca="false">R161+IF(N(Q162)&gt;0,1,0)</f>
        <v>68</v>
      </c>
    </row>
    <row r="163" customFormat="false" ht="15" hidden="false" customHeight="false" outlineLevel="0" collapsed="false">
      <c r="A163" s="36" t="str">
        <f aca="false">IF(B163="","",ROW()-4)</f>
        <v/>
      </c>
      <c r="B163" s="37"/>
      <c r="C163" s="37"/>
      <c r="D163" s="38"/>
      <c r="E163" s="39"/>
      <c r="F163" s="39"/>
      <c r="G163" s="39"/>
      <c r="H163" s="38"/>
      <c r="I163" s="37"/>
      <c r="J163" s="40" t="str">
        <f aca="false">IF(B163="","",IFERROR(INDEX(cg_ID,MATCH(B163,cg_Name,0)),"Not on roster"))</f>
        <v/>
      </c>
      <c r="K163" s="40" t="str">
        <f aca="false">IF(C163="","",IFERROR(INDEX(cl_ID,MATCH(C163,cl_Name,0)),"Not on roster"))</f>
        <v/>
      </c>
      <c r="L163" s="28" t="str">
        <f aca="false">IF(OR(B163="",D163=""),"",IFERROR(INDEX(rt_Rate,MATCH(D163,rt_Code,0)),0))</f>
        <v/>
      </c>
      <c r="M163" s="28" t="str">
        <f aca="false">IF(OR(B163="",D163=""),"",ROUND(N(F163)*L163,2))</f>
        <v/>
      </c>
      <c r="N163" s="41" t="str">
        <f aca="false">IF(B163="","",ROUND(N(G163)*MileRate,2))</f>
        <v/>
      </c>
      <c r="O163" s="28" t="str">
        <f aca="false">IF(B163="","",N(M163)+N163)</f>
        <v/>
      </c>
      <c r="P163" s="40" t="str">
        <f aca="false">IF(B163="","",IF(INDEX(vc_Result,ROW()-4)="OK","OK",IF(H163="Hold","On hold",INDEX(vc_Result,ROW()-4))))</f>
        <v/>
      </c>
      <c r="Q163" s="28" t="str">
        <f aca="false">IF(B163="","",IF(H163="Pay",O163,0))</f>
        <v/>
      </c>
      <c r="R163" s="42" t="n">
        <f aca="false">R162+IF(N(Q163)&gt;0,1,0)</f>
        <v>68</v>
      </c>
    </row>
    <row r="164" customFormat="false" ht="15" hidden="false" customHeight="false" outlineLevel="0" collapsed="false">
      <c r="A164" s="36" t="str">
        <f aca="false">IF(B164="","",ROW()-4)</f>
        <v/>
      </c>
      <c r="B164" s="37"/>
      <c r="C164" s="37"/>
      <c r="D164" s="38"/>
      <c r="E164" s="39"/>
      <c r="F164" s="39"/>
      <c r="G164" s="39"/>
      <c r="H164" s="38"/>
      <c r="I164" s="37"/>
      <c r="J164" s="40" t="str">
        <f aca="false">IF(B164="","",IFERROR(INDEX(cg_ID,MATCH(B164,cg_Name,0)),"Not on roster"))</f>
        <v/>
      </c>
      <c r="K164" s="40" t="str">
        <f aca="false">IF(C164="","",IFERROR(INDEX(cl_ID,MATCH(C164,cl_Name,0)),"Not on roster"))</f>
        <v/>
      </c>
      <c r="L164" s="28" t="str">
        <f aca="false">IF(OR(B164="",D164=""),"",IFERROR(INDEX(rt_Rate,MATCH(D164,rt_Code,0)),0))</f>
        <v/>
      </c>
      <c r="M164" s="28" t="str">
        <f aca="false">IF(OR(B164="",D164=""),"",ROUND(N(F164)*L164,2))</f>
        <v/>
      </c>
      <c r="N164" s="41" t="str">
        <f aca="false">IF(B164="","",ROUND(N(G164)*MileRate,2))</f>
        <v/>
      </c>
      <c r="O164" s="28" t="str">
        <f aca="false">IF(B164="","",N(M164)+N164)</f>
        <v/>
      </c>
      <c r="P164" s="40" t="str">
        <f aca="false">IF(B164="","",IF(INDEX(vc_Result,ROW()-4)="OK","OK",IF(H164="Hold","On hold",INDEX(vc_Result,ROW()-4))))</f>
        <v/>
      </c>
      <c r="Q164" s="28" t="str">
        <f aca="false">IF(B164="","",IF(H164="Pay",O164,0))</f>
        <v/>
      </c>
      <c r="R164" s="42" t="n">
        <f aca="false">R163+IF(N(Q164)&gt;0,1,0)</f>
        <v>68</v>
      </c>
    </row>
    <row r="165" customFormat="false" ht="15" hidden="false" customHeight="false" outlineLevel="0" collapsed="false">
      <c r="A165" s="36" t="str">
        <f aca="false">IF(B165="","",ROW()-4)</f>
        <v/>
      </c>
      <c r="B165" s="37"/>
      <c r="C165" s="37"/>
      <c r="D165" s="38"/>
      <c r="E165" s="39"/>
      <c r="F165" s="39"/>
      <c r="G165" s="39"/>
      <c r="H165" s="38"/>
      <c r="I165" s="37"/>
      <c r="J165" s="40" t="str">
        <f aca="false">IF(B165="","",IFERROR(INDEX(cg_ID,MATCH(B165,cg_Name,0)),"Not on roster"))</f>
        <v/>
      </c>
      <c r="K165" s="40" t="str">
        <f aca="false">IF(C165="","",IFERROR(INDEX(cl_ID,MATCH(C165,cl_Name,0)),"Not on roster"))</f>
        <v/>
      </c>
      <c r="L165" s="28" t="str">
        <f aca="false">IF(OR(B165="",D165=""),"",IFERROR(INDEX(rt_Rate,MATCH(D165,rt_Code,0)),0))</f>
        <v/>
      </c>
      <c r="M165" s="28" t="str">
        <f aca="false">IF(OR(B165="",D165=""),"",ROUND(N(F165)*L165,2))</f>
        <v/>
      </c>
      <c r="N165" s="41" t="str">
        <f aca="false">IF(B165="","",ROUND(N(G165)*MileRate,2))</f>
        <v/>
      </c>
      <c r="O165" s="28" t="str">
        <f aca="false">IF(B165="","",N(M165)+N165)</f>
        <v/>
      </c>
      <c r="P165" s="40" t="str">
        <f aca="false">IF(B165="","",IF(INDEX(vc_Result,ROW()-4)="OK","OK",IF(H165="Hold","On hold",INDEX(vc_Result,ROW()-4))))</f>
        <v/>
      </c>
      <c r="Q165" s="28" t="str">
        <f aca="false">IF(B165="","",IF(H165="Pay",O165,0))</f>
        <v/>
      </c>
      <c r="R165" s="42" t="n">
        <f aca="false">R164+IF(N(Q165)&gt;0,1,0)</f>
        <v>68</v>
      </c>
    </row>
    <row r="166" customFormat="false" ht="15" hidden="false" customHeight="false" outlineLevel="0" collapsed="false">
      <c r="A166" s="36" t="str">
        <f aca="false">IF(B166="","",ROW()-4)</f>
        <v/>
      </c>
      <c r="B166" s="37"/>
      <c r="C166" s="37"/>
      <c r="D166" s="38"/>
      <c r="E166" s="39"/>
      <c r="F166" s="39"/>
      <c r="G166" s="39"/>
      <c r="H166" s="38"/>
      <c r="I166" s="37"/>
      <c r="J166" s="40" t="str">
        <f aca="false">IF(B166="","",IFERROR(INDEX(cg_ID,MATCH(B166,cg_Name,0)),"Not on roster"))</f>
        <v/>
      </c>
      <c r="K166" s="40" t="str">
        <f aca="false">IF(C166="","",IFERROR(INDEX(cl_ID,MATCH(C166,cl_Name,0)),"Not on roster"))</f>
        <v/>
      </c>
      <c r="L166" s="28" t="str">
        <f aca="false">IF(OR(B166="",D166=""),"",IFERROR(INDEX(rt_Rate,MATCH(D166,rt_Code,0)),0))</f>
        <v/>
      </c>
      <c r="M166" s="28" t="str">
        <f aca="false">IF(OR(B166="",D166=""),"",ROUND(N(F166)*L166,2))</f>
        <v/>
      </c>
      <c r="N166" s="41" t="str">
        <f aca="false">IF(B166="","",ROUND(N(G166)*MileRate,2))</f>
        <v/>
      </c>
      <c r="O166" s="28" t="str">
        <f aca="false">IF(B166="","",N(M166)+N166)</f>
        <v/>
      </c>
      <c r="P166" s="40" t="str">
        <f aca="false">IF(B166="","",IF(INDEX(vc_Result,ROW()-4)="OK","OK",IF(H166="Hold","On hold",INDEX(vc_Result,ROW()-4))))</f>
        <v/>
      </c>
      <c r="Q166" s="28" t="str">
        <f aca="false">IF(B166="","",IF(H166="Pay",O166,0))</f>
        <v/>
      </c>
      <c r="R166" s="42" t="n">
        <f aca="false">R165+IF(N(Q166)&gt;0,1,0)</f>
        <v>68</v>
      </c>
    </row>
    <row r="167" customFormat="false" ht="15" hidden="false" customHeight="false" outlineLevel="0" collapsed="false">
      <c r="A167" s="36" t="str">
        <f aca="false">IF(B167="","",ROW()-4)</f>
        <v/>
      </c>
      <c r="B167" s="37"/>
      <c r="C167" s="37"/>
      <c r="D167" s="38"/>
      <c r="E167" s="39"/>
      <c r="F167" s="39"/>
      <c r="G167" s="39"/>
      <c r="H167" s="38"/>
      <c r="I167" s="37"/>
      <c r="J167" s="40" t="str">
        <f aca="false">IF(B167="","",IFERROR(INDEX(cg_ID,MATCH(B167,cg_Name,0)),"Not on roster"))</f>
        <v/>
      </c>
      <c r="K167" s="40" t="str">
        <f aca="false">IF(C167="","",IFERROR(INDEX(cl_ID,MATCH(C167,cl_Name,0)),"Not on roster"))</f>
        <v/>
      </c>
      <c r="L167" s="28" t="str">
        <f aca="false">IF(OR(B167="",D167=""),"",IFERROR(INDEX(rt_Rate,MATCH(D167,rt_Code,0)),0))</f>
        <v/>
      </c>
      <c r="M167" s="28" t="str">
        <f aca="false">IF(OR(B167="",D167=""),"",ROUND(N(F167)*L167,2))</f>
        <v/>
      </c>
      <c r="N167" s="41" t="str">
        <f aca="false">IF(B167="","",ROUND(N(G167)*MileRate,2))</f>
        <v/>
      </c>
      <c r="O167" s="28" t="str">
        <f aca="false">IF(B167="","",N(M167)+N167)</f>
        <v/>
      </c>
      <c r="P167" s="40" t="str">
        <f aca="false">IF(B167="","",IF(INDEX(vc_Result,ROW()-4)="OK","OK",IF(H167="Hold","On hold",INDEX(vc_Result,ROW()-4))))</f>
        <v/>
      </c>
      <c r="Q167" s="28" t="str">
        <f aca="false">IF(B167="","",IF(H167="Pay",O167,0))</f>
        <v/>
      </c>
      <c r="R167" s="42" t="n">
        <f aca="false">R166+IF(N(Q167)&gt;0,1,0)</f>
        <v>68</v>
      </c>
    </row>
    <row r="168" customFormat="false" ht="15" hidden="false" customHeight="false" outlineLevel="0" collapsed="false">
      <c r="A168" s="36" t="str">
        <f aca="false">IF(B168="","",ROW()-4)</f>
        <v/>
      </c>
      <c r="B168" s="37"/>
      <c r="C168" s="37"/>
      <c r="D168" s="38"/>
      <c r="E168" s="39"/>
      <c r="F168" s="39"/>
      <c r="G168" s="39"/>
      <c r="H168" s="38"/>
      <c r="I168" s="37"/>
      <c r="J168" s="40" t="str">
        <f aca="false">IF(B168="","",IFERROR(INDEX(cg_ID,MATCH(B168,cg_Name,0)),"Not on roster"))</f>
        <v/>
      </c>
      <c r="K168" s="40" t="str">
        <f aca="false">IF(C168="","",IFERROR(INDEX(cl_ID,MATCH(C168,cl_Name,0)),"Not on roster"))</f>
        <v/>
      </c>
      <c r="L168" s="28" t="str">
        <f aca="false">IF(OR(B168="",D168=""),"",IFERROR(INDEX(rt_Rate,MATCH(D168,rt_Code,0)),0))</f>
        <v/>
      </c>
      <c r="M168" s="28" t="str">
        <f aca="false">IF(OR(B168="",D168=""),"",ROUND(N(F168)*L168,2))</f>
        <v/>
      </c>
      <c r="N168" s="41" t="str">
        <f aca="false">IF(B168="","",ROUND(N(G168)*MileRate,2))</f>
        <v/>
      </c>
      <c r="O168" s="28" t="str">
        <f aca="false">IF(B168="","",N(M168)+N168)</f>
        <v/>
      </c>
      <c r="P168" s="40" t="str">
        <f aca="false">IF(B168="","",IF(INDEX(vc_Result,ROW()-4)="OK","OK",IF(H168="Hold","On hold",INDEX(vc_Result,ROW()-4))))</f>
        <v/>
      </c>
      <c r="Q168" s="28" t="str">
        <f aca="false">IF(B168="","",IF(H168="Pay",O168,0))</f>
        <v/>
      </c>
      <c r="R168" s="42" t="n">
        <f aca="false">R167+IF(N(Q168)&gt;0,1,0)</f>
        <v>68</v>
      </c>
    </row>
    <row r="169" customFormat="false" ht="15" hidden="false" customHeight="false" outlineLevel="0" collapsed="false">
      <c r="A169" s="36" t="str">
        <f aca="false">IF(B169="","",ROW()-4)</f>
        <v/>
      </c>
      <c r="B169" s="37"/>
      <c r="C169" s="37"/>
      <c r="D169" s="38"/>
      <c r="E169" s="39"/>
      <c r="F169" s="39"/>
      <c r="G169" s="39"/>
      <c r="H169" s="38"/>
      <c r="I169" s="37"/>
      <c r="J169" s="40" t="str">
        <f aca="false">IF(B169="","",IFERROR(INDEX(cg_ID,MATCH(B169,cg_Name,0)),"Not on roster"))</f>
        <v/>
      </c>
      <c r="K169" s="40" t="str">
        <f aca="false">IF(C169="","",IFERROR(INDEX(cl_ID,MATCH(C169,cl_Name,0)),"Not on roster"))</f>
        <v/>
      </c>
      <c r="L169" s="28" t="str">
        <f aca="false">IF(OR(B169="",D169=""),"",IFERROR(INDEX(rt_Rate,MATCH(D169,rt_Code,0)),0))</f>
        <v/>
      </c>
      <c r="M169" s="28" t="str">
        <f aca="false">IF(OR(B169="",D169=""),"",ROUND(N(F169)*L169,2))</f>
        <v/>
      </c>
      <c r="N169" s="41" t="str">
        <f aca="false">IF(B169="","",ROUND(N(G169)*MileRate,2))</f>
        <v/>
      </c>
      <c r="O169" s="28" t="str">
        <f aca="false">IF(B169="","",N(M169)+N169)</f>
        <v/>
      </c>
      <c r="P169" s="40" t="str">
        <f aca="false">IF(B169="","",IF(INDEX(vc_Result,ROW()-4)="OK","OK",IF(H169="Hold","On hold",INDEX(vc_Result,ROW()-4))))</f>
        <v/>
      </c>
      <c r="Q169" s="28" t="str">
        <f aca="false">IF(B169="","",IF(H169="Pay",O169,0))</f>
        <v/>
      </c>
      <c r="R169" s="42" t="n">
        <f aca="false">R168+IF(N(Q169)&gt;0,1,0)</f>
        <v>68</v>
      </c>
    </row>
    <row r="170" customFormat="false" ht="15" hidden="false" customHeight="false" outlineLevel="0" collapsed="false">
      <c r="A170" s="36" t="str">
        <f aca="false">IF(B170="","",ROW()-4)</f>
        <v/>
      </c>
      <c r="B170" s="37"/>
      <c r="C170" s="37"/>
      <c r="D170" s="38"/>
      <c r="E170" s="39"/>
      <c r="F170" s="39"/>
      <c r="G170" s="39"/>
      <c r="H170" s="38"/>
      <c r="I170" s="37"/>
      <c r="J170" s="40" t="str">
        <f aca="false">IF(B170="","",IFERROR(INDEX(cg_ID,MATCH(B170,cg_Name,0)),"Not on roster"))</f>
        <v/>
      </c>
      <c r="K170" s="40" t="str">
        <f aca="false">IF(C170="","",IFERROR(INDEX(cl_ID,MATCH(C170,cl_Name,0)),"Not on roster"))</f>
        <v/>
      </c>
      <c r="L170" s="28" t="str">
        <f aca="false">IF(OR(B170="",D170=""),"",IFERROR(INDEX(rt_Rate,MATCH(D170,rt_Code,0)),0))</f>
        <v/>
      </c>
      <c r="M170" s="28" t="str">
        <f aca="false">IF(OR(B170="",D170=""),"",ROUND(N(F170)*L170,2))</f>
        <v/>
      </c>
      <c r="N170" s="41" t="str">
        <f aca="false">IF(B170="","",ROUND(N(G170)*MileRate,2))</f>
        <v/>
      </c>
      <c r="O170" s="28" t="str">
        <f aca="false">IF(B170="","",N(M170)+N170)</f>
        <v/>
      </c>
      <c r="P170" s="40" t="str">
        <f aca="false">IF(B170="","",IF(INDEX(vc_Result,ROW()-4)="OK","OK",IF(H170="Hold","On hold",INDEX(vc_Result,ROW()-4))))</f>
        <v/>
      </c>
      <c r="Q170" s="28" t="str">
        <f aca="false">IF(B170="","",IF(H170="Pay",O170,0))</f>
        <v/>
      </c>
      <c r="R170" s="42" t="n">
        <f aca="false">R169+IF(N(Q170)&gt;0,1,0)</f>
        <v>68</v>
      </c>
    </row>
    <row r="171" customFormat="false" ht="15" hidden="false" customHeight="false" outlineLevel="0" collapsed="false">
      <c r="A171" s="36" t="str">
        <f aca="false">IF(B171="","",ROW()-4)</f>
        <v/>
      </c>
      <c r="B171" s="37"/>
      <c r="C171" s="37"/>
      <c r="D171" s="38"/>
      <c r="E171" s="39"/>
      <c r="F171" s="39"/>
      <c r="G171" s="39"/>
      <c r="H171" s="38"/>
      <c r="I171" s="37"/>
      <c r="J171" s="40" t="str">
        <f aca="false">IF(B171="","",IFERROR(INDEX(cg_ID,MATCH(B171,cg_Name,0)),"Not on roster"))</f>
        <v/>
      </c>
      <c r="K171" s="40" t="str">
        <f aca="false">IF(C171="","",IFERROR(INDEX(cl_ID,MATCH(C171,cl_Name,0)),"Not on roster"))</f>
        <v/>
      </c>
      <c r="L171" s="28" t="str">
        <f aca="false">IF(OR(B171="",D171=""),"",IFERROR(INDEX(rt_Rate,MATCH(D171,rt_Code,0)),0))</f>
        <v/>
      </c>
      <c r="M171" s="28" t="str">
        <f aca="false">IF(OR(B171="",D171=""),"",ROUND(N(F171)*L171,2))</f>
        <v/>
      </c>
      <c r="N171" s="41" t="str">
        <f aca="false">IF(B171="","",ROUND(N(G171)*MileRate,2))</f>
        <v/>
      </c>
      <c r="O171" s="28" t="str">
        <f aca="false">IF(B171="","",N(M171)+N171)</f>
        <v/>
      </c>
      <c r="P171" s="40" t="str">
        <f aca="false">IF(B171="","",IF(INDEX(vc_Result,ROW()-4)="OK","OK",IF(H171="Hold","On hold",INDEX(vc_Result,ROW()-4))))</f>
        <v/>
      </c>
      <c r="Q171" s="28" t="str">
        <f aca="false">IF(B171="","",IF(H171="Pay",O171,0))</f>
        <v/>
      </c>
      <c r="R171" s="42" t="n">
        <f aca="false">R170+IF(N(Q171)&gt;0,1,0)</f>
        <v>68</v>
      </c>
    </row>
    <row r="172" customFormat="false" ht="15" hidden="false" customHeight="false" outlineLevel="0" collapsed="false">
      <c r="A172" s="36" t="str">
        <f aca="false">IF(B172="","",ROW()-4)</f>
        <v/>
      </c>
      <c r="B172" s="37"/>
      <c r="C172" s="37"/>
      <c r="D172" s="38"/>
      <c r="E172" s="39"/>
      <c r="F172" s="39"/>
      <c r="G172" s="39"/>
      <c r="H172" s="38"/>
      <c r="I172" s="37"/>
      <c r="J172" s="40" t="str">
        <f aca="false">IF(B172="","",IFERROR(INDEX(cg_ID,MATCH(B172,cg_Name,0)),"Not on roster"))</f>
        <v/>
      </c>
      <c r="K172" s="40" t="str">
        <f aca="false">IF(C172="","",IFERROR(INDEX(cl_ID,MATCH(C172,cl_Name,0)),"Not on roster"))</f>
        <v/>
      </c>
      <c r="L172" s="28" t="str">
        <f aca="false">IF(OR(B172="",D172=""),"",IFERROR(INDEX(rt_Rate,MATCH(D172,rt_Code,0)),0))</f>
        <v/>
      </c>
      <c r="M172" s="28" t="str">
        <f aca="false">IF(OR(B172="",D172=""),"",ROUND(N(F172)*L172,2))</f>
        <v/>
      </c>
      <c r="N172" s="41" t="str">
        <f aca="false">IF(B172="","",ROUND(N(G172)*MileRate,2))</f>
        <v/>
      </c>
      <c r="O172" s="28" t="str">
        <f aca="false">IF(B172="","",N(M172)+N172)</f>
        <v/>
      </c>
      <c r="P172" s="40" t="str">
        <f aca="false">IF(B172="","",IF(INDEX(vc_Result,ROW()-4)="OK","OK",IF(H172="Hold","On hold",INDEX(vc_Result,ROW()-4))))</f>
        <v/>
      </c>
      <c r="Q172" s="28" t="str">
        <f aca="false">IF(B172="","",IF(H172="Pay",O172,0))</f>
        <v/>
      </c>
      <c r="R172" s="42" t="n">
        <f aca="false">R171+IF(N(Q172)&gt;0,1,0)</f>
        <v>68</v>
      </c>
    </row>
    <row r="173" customFormat="false" ht="15" hidden="false" customHeight="false" outlineLevel="0" collapsed="false">
      <c r="A173" s="36" t="str">
        <f aca="false">IF(B173="","",ROW()-4)</f>
        <v/>
      </c>
      <c r="B173" s="37"/>
      <c r="C173" s="37"/>
      <c r="D173" s="38"/>
      <c r="E173" s="39"/>
      <c r="F173" s="39"/>
      <c r="G173" s="39"/>
      <c r="H173" s="38"/>
      <c r="I173" s="37"/>
      <c r="J173" s="40" t="str">
        <f aca="false">IF(B173="","",IFERROR(INDEX(cg_ID,MATCH(B173,cg_Name,0)),"Not on roster"))</f>
        <v/>
      </c>
      <c r="K173" s="40" t="str">
        <f aca="false">IF(C173="","",IFERROR(INDEX(cl_ID,MATCH(C173,cl_Name,0)),"Not on roster"))</f>
        <v/>
      </c>
      <c r="L173" s="28" t="str">
        <f aca="false">IF(OR(B173="",D173=""),"",IFERROR(INDEX(rt_Rate,MATCH(D173,rt_Code,0)),0))</f>
        <v/>
      </c>
      <c r="M173" s="28" t="str">
        <f aca="false">IF(OR(B173="",D173=""),"",ROUND(N(F173)*L173,2))</f>
        <v/>
      </c>
      <c r="N173" s="41" t="str">
        <f aca="false">IF(B173="","",ROUND(N(G173)*MileRate,2))</f>
        <v/>
      </c>
      <c r="O173" s="28" t="str">
        <f aca="false">IF(B173="","",N(M173)+N173)</f>
        <v/>
      </c>
      <c r="P173" s="40" t="str">
        <f aca="false">IF(B173="","",IF(INDEX(vc_Result,ROW()-4)="OK","OK",IF(H173="Hold","On hold",INDEX(vc_Result,ROW()-4))))</f>
        <v/>
      </c>
      <c r="Q173" s="28" t="str">
        <f aca="false">IF(B173="","",IF(H173="Pay",O173,0))</f>
        <v/>
      </c>
      <c r="R173" s="42" t="n">
        <f aca="false">R172+IF(N(Q173)&gt;0,1,0)</f>
        <v>68</v>
      </c>
    </row>
    <row r="174" customFormat="false" ht="15" hidden="false" customHeight="false" outlineLevel="0" collapsed="false">
      <c r="A174" s="36" t="str">
        <f aca="false">IF(B174="","",ROW()-4)</f>
        <v/>
      </c>
      <c r="B174" s="37"/>
      <c r="C174" s="37"/>
      <c r="D174" s="38"/>
      <c r="E174" s="39"/>
      <c r="F174" s="39"/>
      <c r="G174" s="39"/>
      <c r="H174" s="38"/>
      <c r="I174" s="37"/>
      <c r="J174" s="40" t="str">
        <f aca="false">IF(B174="","",IFERROR(INDEX(cg_ID,MATCH(B174,cg_Name,0)),"Not on roster"))</f>
        <v/>
      </c>
      <c r="K174" s="40" t="str">
        <f aca="false">IF(C174="","",IFERROR(INDEX(cl_ID,MATCH(C174,cl_Name,0)),"Not on roster"))</f>
        <v/>
      </c>
      <c r="L174" s="28" t="str">
        <f aca="false">IF(OR(B174="",D174=""),"",IFERROR(INDEX(rt_Rate,MATCH(D174,rt_Code,0)),0))</f>
        <v/>
      </c>
      <c r="M174" s="28" t="str">
        <f aca="false">IF(OR(B174="",D174=""),"",ROUND(N(F174)*L174,2))</f>
        <v/>
      </c>
      <c r="N174" s="41" t="str">
        <f aca="false">IF(B174="","",ROUND(N(G174)*MileRate,2))</f>
        <v/>
      </c>
      <c r="O174" s="28" t="str">
        <f aca="false">IF(B174="","",N(M174)+N174)</f>
        <v/>
      </c>
      <c r="P174" s="40" t="str">
        <f aca="false">IF(B174="","",IF(INDEX(vc_Result,ROW()-4)="OK","OK",IF(H174="Hold","On hold",INDEX(vc_Result,ROW()-4))))</f>
        <v/>
      </c>
      <c r="Q174" s="28" t="str">
        <f aca="false">IF(B174="","",IF(H174="Pay",O174,0))</f>
        <v/>
      </c>
      <c r="R174" s="42" t="n">
        <f aca="false">R173+IF(N(Q174)&gt;0,1,0)</f>
        <v>68</v>
      </c>
    </row>
    <row r="175" customFormat="false" ht="15" hidden="false" customHeight="false" outlineLevel="0" collapsed="false">
      <c r="A175" s="36" t="str">
        <f aca="false">IF(B175="","",ROW()-4)</f>
        <v/>
      </c>
      <c r="B175" s="37"/>
      <c r="C175" s="37"/>
      <c r="D175" s="38"/>
      <c r="E175" s="39"/>
      <c r="F175" s="39"/>
      <c r="G175" s="39"/>
      <c r="H175" s="38"/>
      <c r="I175" s="37"/>
      <c r="J175" s="40" t="str">
        <f aca="false">IF(B175="","",IFERROR(INDEX(cg_ID,MATCH(B175,cg_Name,0)),"Not on roster"))</f>
        <v/>
      </c>
      <c r="K175" s="40" t="str">
        <f aca="false">IF(C175="","",IFERROR(INDEX(cl_ID,MATCH(C175,cl_Name,0)),"Not on roster"))</f>
        <v/>
      </c>
      <c r="L175" s="28" t="str">
        <f aca="false">IF(OR(B175="",D175=""),"",IFERROR(INDEX(rt_Rate,MATCH(D175,rt_Code,0)),0))</f>
        <v/>
      </c>
      <c r="M175" s="28" t="str">
        <f aca="false">IF(OR(B175="",D175=""),"",ROUND(N(F175)*L175,2))</f>
        <v/>
      </c>
      <c r="N175" s="41" t="str">
        <f aca="false">IF(B175="","",ROUND(N(G175)*MileRate,2))</f>
        <v/>
      </c>
      <c r="O175" s="28" t="str">
        <f aca="false">IF(B175="","",N(M175)+N175)</f>
        <v/>
      </c>
      <c r="P175" s="40" t="str">
        <f aca="false">IF(B175="","",IF(INDEX(vc_Result,ROW()-4)="OK","OK",IF(H175="Hold","On hold",INDEX(vc_Result,ROW()-4))))</f>
        <v/>
      </c>
      <c r="Q175" s="28" t="str">
        <f aca="false">IF(B175="","",IF(H175="Pay",O175,0))</f>
        <v/>
      </c>
      <c r="R175" s="42" t="n">
        <f aca="false">R174+IF(N(Q175)&gt;0,1,0)</f>
        <v>68</v>
      </c>
    </row>
    <row r="176" customFormat="false" ht="15" hidden="false" customHeight="false" outlineLevel="0" collapsed="false">
      <c r="A176" s="36" t="str">
        <f aca="false">IF(B176="","",ROW()-4)</f>
        <v/>
      </c>
      <c r="B176" s="37"/>
      <c r="C176" s="37"/>
      <c r="D176" s="38"/>
      <c r="E176" s="39"/>
      <c r="F176" s="39"/>
      <c r="G176" s="39"/>
      <c r="H176" s="38"/>
      <c r="I176" s="37"/>
      <c r="J176" s="40" t="str">
        <f aca="false">IF(B176="","",IFERROR(INDEX(cg_ID,MATCH(B176,cg_Name,0)),"Not on roster"))</f>
        <v/>
      </c>
      <c r="K176" s="40" t="str">
        <f aca="false">IF(C176="","",IFERROR(INDEX(cl_ID,MATCH(C176,cl_Name,0)),"Not on roster"))</f>
        <v/>
      </c>
      <c r="L176" s="28" t="str">
        <f aca="false">IF(OR(B176="",D176=""),"",IFERROR(INDEX(rt_Rate,MATCH(D176,rt_Code,0)),0))</f>
        <v/>
      </c>
      <c r="M176" s="28" t="str">
        <f aca="false">IF(OR(B176="",D176=""),"",ROUND(N(F176)*L176,2))</f>
        <v/>
      </c>
      <c r="N176" s="41" t="str">
        <f aca="false">IF(B176="","",ROUND(N(G176)*MileRate,2))</f>
        <v/>
      </c>
      <c r="O176" s="28" t="str">
        <f aca="false">IF(B176="","",N(M176)+N176)</f>
        <v/>
      </c>
      <c r="P176" s="40" t="str">
        <f aca="false">IF(B176="","",IF(INDEX(vc_Result,ROW()-4)="OK","OK",IF(H176="Hold","On hold",INDEX(vc_Result,ROW()-4))))</f>
        <v/>
      </c>
      <c r="Q176" s="28" t="str">
        <f aca="false">IF(B176="","",IF(H176="Pay",O176,0))</f>
        <v/>
      </c>
      <c r="R176" s="42" t="n">
        <f aca="false">R175+IF(N(Q176)&gt;0,1,0)</f>
        <v>68</v>
      </c>
    </row>
    <row r="177" customFormat="false" ht="15" hidden="false" customHeight="false" outlineLevel="0" collapsed="false">
      <c r="A177" s="36" t="str">
        <f aca="false">IF(B177="","",ROW()-4)</f>
        <v/>
      </c>
      <c r="B177" s="37"/>
      <c r="C177" s="37"/>
      <c r="D177" s="38"/>
      <c r="E177" s="39"/>
      <c r="F177" s="39"/>
      <c r="G177" s="39"/>
      <c r="H177" s="38"/>
      <c r="I177" s="37"/>
      <c r="J177" s="40" t="str">
        <f aca="false">IF(B177="","",IFERROR(INDEX(cg_ID,MATCH(B177,cg_Name,0)),"Not on roster"))</f>
        <v/>
      </c>
      <c r="K177" s="40" t="str">
        <f aca="false">IF(C177="","",IFERROR(INDEX(cl_ID,MATCH(C177,cl_Name,0)),"Not on roster"))</f>
        <v/>
      </c>
      <c r="L177" s="28" t="str">
        <f aca="false">IF(OR(B177="",D177=""),"",IFERROR(INDEX(rt_Rate,MATCH(D177,rt_Code,0)),0))</f>
        <v/>
      </c>
      <c r="M177" s="28" t="str">
        <f aca="false">IF(OR(B177="",D177=""),"",ROUND(N(F177)*L177,2))</f>
        <v/>
      </c>
      <c r="N177" s="41" t="str">
        <f aca="false">IF(B177="","",ROUND(N(G177)*MileRate,2))</f>
        <v/>
      </c>
      <c r="O177" s="28" t="str">
        <f aca="false">IF(B177="","",N(M177)+N177)</f>
        <v/>
      </c>
      <c r="P177" s="40" t="str">
        <f aca="false">IF(B177="","",IF(INDEX(vc_Result,ROW()-4)="OK","OK",IF(H177="Hold","On hold",INDEX(vc_Result,ROW()-4))))</f>
        <v/>
      </c>
      <c r="Q177" s="28" t="str">
        <f aca="false">IF(B177="","",IF(H177="Pay",O177,0))</f>
        <v/>
      </c>
      <c r="R177" s="42" t="n">
        <f aca="false">R176+IF(N(Q177)&gt;0,1,0)</f>
        <v>68</v>
      </c>
    </row>
    <row r="178" customFormat="false" ht="15" hidden="false" customHeight="false" outlineLevel="0" collapsed="false">
      <c r="A178" s="36" t="str">
        <f aca="false">IF(B178="","",ROW()-4)</f>
        <v/>
      </c>
      <c r="B178" s="37"/>
      <c r="C178" s="37"/>
      <c r="D178" s="38"/>
      <c r="E178" s="39"/>
      <c r="F178" s="39"/>
      <c r="G178" s="39"/>
      <c r="H178" s="38"/>
      <c r="I178" s="37"/>
      <c r="J178" s="40" t="str">
        <f aca="false">IF(B178="","",IFERROR(INDEX(cg_ID,MATCH(B178,cg_Name,0)),"Not on roster"))</f>
        <v/>
      </c>
      <c r="K178" s="40" t="str">
        <f aca="false">IF(C178="","",IFERROR(INDEX(cl_ID,MATCH(C178,cl_Name,0)),"Not on roster"))</f>
        <v/>
      </c>
      <c r="L178" s="28" t="str">
        <f aca="false">IF(OR(B178="",D178=""),"",IFERROR(INDEX(rt_Rate,MATCH(D178,rt_Code,0)),0))</f>
        <v/>
      </c>
      <c r="M178" s="28" t="str">
        <f aca="false">IF(OR(B178="",D178=""),"",ROUND(N(F178)*L178,2))</f>
        <v/>
      </c>
      <c r="N178" s="41" t="str">
        <f aca="false">IF(B178="","",ROUND(N(G178)*MileRate,2))</f>
        <v/>
      </c>
      <c r="O178" s="28" t="str">
        <f aca="false">IF(B178="","",N(M178)+N178)</f>
        <v/>
      </c>
      <c r="P178" s="40" t="str">
        <f aca="false">IF(B178="","",IF(INDEX(vc_Result,ROW()-4)="OK","OK",IF(H178="Hold","On hold",INDEX(vc_Result,ROW()-4))))</f>
        <v/>
      </c>
      <c r="Q178" s="28" t="str">
        <f aca="false">IF(B178="","",IF(H178="Pay",O178,0))</f>
        <v/>
      </c>
      <c r="R178" s="42" t="n">
        <f aca="false">R177+IF(N(Q178)&gt;0,1,0)</f>
        <v>68</v>
      </c>
    </row>
    <row r="179" customFormat="false" ht="15" hidden="false" customHeight="false" outlineLevel="0" collapsed="false">
      <c r="A179" s="36" t="str">
        <f aca="false">IF(B179="","",ROW()-4)</f>
        <v/>
      </c>
      <c r="B179" s="37"/>
      <c r="C179" s="37"/>
      <c r="D179" s="38"/>
      <c r="E179" s="39"/>
      <c r="F179" s="39"/>
      <c r="G179" s="39"/>
      <c r="H179" s="38"/>
      <c r="I179" s="37"/>
      <c r="J179" s="40" t="str">
        <f aca="false">IF(B179="","",IFERROR(INDEX(cg_ID,MATCH(B179,cg_Name,0)),"Not on roster"))</f>
        <v/>
      </c>
      <c r="K179" s="40" t="str">
        <f aca="false">IF(C179="","",IFERROR(INDEX(cl_ID,MATCH(C179,cl_Name,0)),"Not on roster"))</f>
        <v/>
      </c>
      <c r="L179" s="28" t="str">
        <f aca="false">IF(OR(B179="",D179=""),"",IFERROR(INDEX(rt_Rate,MATCH(D179,rt_Code,0)),0))</f>
        <v/>
      </c>
      <c r="M179" s="28" t="str">
        <f aca="false">IF(OR(B179="",D179=""),"",ROUND(N(F179)*L179,2))</f>
        <v/>
      </c>
      <c r="N179" s="41" t="str">
        <f aca="false">IF(B179="","",ROUND(N(G179)*MileRate,2))</f>
        <v/>
      </c>
      <c r="O179" s="28" t="str">
        <f aca="false">IF(B179="","",N(M179)+N179)</f>
        <v/>
      </c>
      <c r="P179" s="40" t="str">
        <f aca="false">IF(B179="","",IF(INDEX(vc_Result,ROW()-4)="OK","OK",IF(H179="Hold","On hold",INDEX(vc_Result,ROW()-4))))</f>
        <v/>
      </c>
      <c r="Q179" s="28" t="str">
        <f aca="false">IF(B179="","",IF(H179="Pay",O179,0))</f>
        <v/>
      </c>
      <c r="R179" s="42" t="n">
        <f aca="false">R178+IF(N(Q179)&gt;0,1,0)</f>
        <v>68</v>
      </c>
    </row>
    <row r="180" customFormat="false" ht="15" hidden="false" customHeight="false" outlineLevel="0" collapsed="false">
      <c r="A180" s="36" t="str">
        <f aca="false">IF(B180="","",ROW()-4)</f>
        <v/>
      </c>
      <c r="B180" s="37"/>
      <c r="C180" s="37"/>
      <c r="D180" s="38"/>
      <c r="E180" s="39"/>
      <c r="F180" s="39"/>
      <c r="G180" s="39"/>
      <c r="H180" s="38"/>
      <c r="I180" s="37"/>
      <c r="J180" s="40" t="str">
        <f aca="false">IF(B180="","",IFERROR(INDEX(cg_ID,MATCH(B180,cg_Name,0)),"Not on roster"))</f>
        <v/>
      </c>
      <c r="K180" s="40" t="str">
        <f aca="false">IF(C180="","",IFERROR(INDEX(cl_ID,MATCH(C180,cl_Name,0)),"Not on roster"))</f>
        <v/>
      </c>
      <c r="L180" s="28" t="str">
        <f aca="false">IF(OR(B180="",D180=""),"",IFERROR(INDEX(rt_Rate,MATCH(D180,rt_Code,0)),0))</f>
        <v/>
      </c>
      <c r="M180" s="28" t="str">
        <f aca="false">IF(OR(B180="",D180=""),"",ROUND(N(F180)*L180,2))</f>
        <v/>
      </c>
      <c r="N180" s="41" t="str">
        <f aca="false">IF(B180="","",ROUND(N(G180)*MileRate,2))</f>
        <v/>
      </c>
      <c r="O180" s="28" t="str">
        <f aca="false">IF(B180="","",N(M180)+N180)</f>
        <v/>
      </c>
      <c r="P180" s="40" t="str">
        <f aca="false">IF(B180="","",IF(INDEX(vc_Result,ROW()-4)="OK","OK",IF(H180="Hold","On hold",INDEX(vc_Result,ROW()-4))))</f>
        <v/>
      </c>
      <c r="Q180" s="28" t="str">
        <f aca="false">IF(B180="","",IF(H180="Pay",O180,0))</f>
        <v/>
      </c>
      <c r="R180" s="42" t="n">
        <f aca="false">R179+IF(N(Q180)&gt;0,1,0)</f>
        <v>68</v>
      </c>
    </row>
    <row r="181" customFormat="false" ht="15" hidden="false" customHeight="false" outlineLevel="0" collapsed="false">
      <c r="A181" s="36" t="str">
        <f aca="false">IF(B181="","",ROW()-4)</f>
        <v/>
      </c>
      <c r="B181" s="37"/>
      <c r="C181" s="37"/>
      <c r="D181" s="38"/>
      <c r="E181" s="39"/>
      <c r="F181" s="39"/>
      <c r="G181" s="39"/>
      <c r="H181" s="38"/>
      <c r="I181" s="37"/>
      <c r="J181" s="40" t="str">
        <f aca="false">IF(B181="","",IFERROR(INDEX(cg_ID,MATCH(B181,cg_Name,0)),"Not on roster"))</f>
        <v/>
      </c>
      <c r="K181" s="40" t="str">
        <f aca="false">IF(C181="","",IFERROR(INDEX(cl_ID,MATCH(C181,cl_Name,0)),"Not on roster"))</f>
        <v/>
      </c>
      <c r="L181" s="28" t="str">
        <f aca="false">IF(OR(B181="",D181=""),"",IFERROR(INDEX(rt_Rate,MATCH(D181,rt_Code,0)),0))</f>
        <v/>
      </c>
      <c r="M181" s="28" t="str">
        <f aca="false">IF(OR(B181="",D181=""),"",ROUND(N(F181)*L181,2))</f>
        <v/>
      </c>
      <c r="N181" s="41" t="str">
        <f aca="false">IF(B181="","",ROUND(N(G181)*MileRate,2))</f>
        <v/>
      </c>
      <c r="O181" s="28" t="str">
        <f aca="false">IF(B181="","",N(M181)+N181)</f>
        <v/>
      </c>
      <c r="P181" s="40" t="str">
        <f aca="false">IF(B181="","",IF(INDEX(vc_Result,ROW()-4)="OK","OK",IF(H181="Hold","On hold",INDEX(vc_Result,ROW()-4))))</f>
        <v/>
      </c>
      <c r="Q181" s="28" t="str">
        <f aca="false">IF(B181="","",IF(H181="Pay",O181,0))</f>
        <v/>
      </c>
      <c r="R181" s="42" t="n">
        <f aca="false">R180+IF(N(Q181)&gt;0,1,0)</f>
        <v>68</v>
      </c>
    </row>
    <row r="182" customFormat="false" ht="15" hidden="false" customHeight="false" outlineLevel="0" collapsed="false">
      <c r="A182" s="36" t="str">
        <f aca="false">IF(B182="","",ROW()-4)</f>
        <v/>
      </c>
      <c r="B182" s="37"/>
      <c r="C182" s="37"/>
      <c r="D182" s="38"/>
      <c r="E182" s="39"/>
      <c r="F182" s="39"/>
      <c r="G182" s="39"/>
      <c r="H182" s="38"/>
      <c r="I182" s="37"/>
      <c r="J182" s="40" t="str">
        <f aca="false">IF(B182="","",IFERROR(INDEX(cg_ID,MATCH(B182,cg_Name,0)),"Not on roster"))</f>
        <v/>
      </c>
      <c r="K182" s="40" t="str">
        <f aca="false">IF(C182="","",IFERROR(INDEX(cl_ID,MATCH(C182,cl_Name,0)),"Not on roster"))</f>
        <v/>
      </c>
      <c r="L182" s="28" t="str">
        <f aca="false">IF(OR(B182="",D182=""),"",IFERROR(INDEX(rt_Rate,MATCH(D182,rt_Code,0)),0))</f>
        <v/>
      </c>
      <c r="M182" s="28" t="str">
        <f aca="false">IF(OR(B182="",D182=""),"",ROUND(N(F182)*L182,2))</f>
        <v/>
      </c>
      <c r="N182" s="41" t="str">
        <f aca="false">IF(B182="","",ROUND(N(G182)*MileRate,2))</f>
        <v/>
      </c>
      <c r="O182" s="28" t="str">
        <f aca="false">IF(B182="","",N(M182)+N182)</f>
        <v/>
      </c>
      <c r="P182" s="40" t="str">
        <f aca="false">IF(B182="","",IF(INDEX(vc_Result,ROW()-4)="OK","OK",IF(H182="Hold","On hold",INDEX(vc_Result,ROW()-4))))</f>
        <v/>
      </c>
      <c r="Q182" s="28" t="str">
        <f aca="false">IF(B182="","",IF(H182="Pay",O182,0))</f>
        <v/>
      </c>
      <c r="R182" s="42" t="n">
        <f aca="false">R181+IF(N(Q182)&gt;0,1,0)</f>
        <v>68</v>
      </c>
    </row>
    <row r="183" customFormat="false" ht="15" hidden="false" customHeight="false" outlineLevel="0" collapsed="false">
      <c r="A183" s="36" t="str">
        <f aca="false">IF(B183="","",ROW()-4)</f>
        <v/>
      </c>
      <c r="B183" s="37"/>
      <c r="C183" s="37"/>
      <c r="D183" s="38"/>
      <c r="E183" s="39"/>
      <c r="F183" s="39"/>
      <c r="G183" s="39"/>
      <c r="H183" s="38"/>
      <c r="I183" s="37"/>
      <c r="J183" s="40" t="str">
        <f aca="false">IF(B183="","",IFERROR(INDEX(cg_ID,MATCH(B183,cg_Name,0)),"Not on roster"))</f>
        <v/>
      </c>
      <c r="K183" s="40" t="str">
        <f aca="false">IF(C183="","",IFERROR(INDEX(cl_ID,MATCH(C183,cl_Name,0)),"Not on roster"))</f>
        <v/>
      </c>
      <c r="L183" s="28" t="str">
        <f aca="false">IF(OR(B183="",D183=""),"",IFERROR(INDEX(rt_Rate,MATCH(D183,rt_Code,0)),0))</f>
        <v/>
      </c>
      <c r="M183" s="28" t="str">
        <f aca="false">IF(OR(B183="",D183=""),"",ROUND(N(F183)*L183,2))</f>
        <v/>
      </c>
      <c r="N183" s="41" t="str">
        <f aca="false">IF(B183="","",ROUND(N(G183)*MileRate,2))</f>
        <v/>
      </c>
      <c r="O183" s="28" t="str">
        <f aca="false">IF(B183="","",N(M183)+N183)</f>
        <v/>
      </c>
      <c r="P183" s="40" t="str">
        <f aca="false">IF(B183="","",IF(INDEX(vc_Result,ROW()-4)="OK","OK",IF(H183="Hold","On hold",INDEX(vc_Result,ROW()-4))))</f>
        <v/>
      </c>
      <c r="Q183" s="28" t="str">
        <f aca="false">IF(B183="","",IF(H183="Pay",O183,0))</f>
        <v/>
      </c>
      <c r="R183" s="42" t="n">
        <f aca="false">R182+IF(N(Q183)&gt;0,1,0)</f>
        <v>68</v>
      </c>
    </row>
    <row r="184" customFormat="false" ht="15" hidden="false" customHeight="false" outlineLevel="0" collapsed="false">
      <c r="A184" s="36" t="str">
        <f aca="false">IF(B184="","",ROW()-4)</f>
        <v/>
      </c>
      <c r="B184" s="37"/>
      <c r="C184" s="37"/>
      <c r="D184" s="38"/>
      <c r="E184" s="39"/>
      <c r="F184" s="39"/>
      <c r="G184" s="39"/>
      <c r="H184" s="38"/>
      <c r="I184" s="37"/>
      <c r="J184" s="40" t="str">
        <f aca="false">IF(B184="","",IFERROR(INDEX(cg_ID,MATCH(B184,cg_Name,0)),"Not on roster"))</f>
        <v/>
      </c>
      <c r="K184" s="40" t="str">
        <f aca="false">IF(C184="","",IFERROR(INDEX(cl_ID,MATCH(C184,cl_Name,0)),"Not on roster"))</f>
        <v/>
      </c>
      <c r="L184" s="28" t="str">
        <f aca="false">IF(OR(B184="",D184=""),"",IFERROR(INDEX(rt_Rate,MATCH(D184,rt_Code,0)),0))</f>
        <v/>
      </c>
      <c r="M184" s="28" t="str">
        <f aca="false">IF(OR(B184="",D184=""),"",ROUND(N(F184)*L184,2))</f>
        <v/>
      </c>
      <c r="N184" s="41" t="str">
        <f aca="false">IF(B184="","",ROUND(N(G184)*MileRate,2))</f>
        <v/>
      </c>
      <c r="O184" s="28" t="str">
        <f aca="false">IF(B184="","",N(M184)+N184)</f>
        <v/>
      </c>
      <c r="P184" s="40" t="str">
        <f aca="false">IF(B184="","",IF(INDEX(vc_Result,ROW()-4)="OK","OK",IF(H184="Hold","On hold",INDEX(vc_Result,ROW()-4))))</f>
        <v/>
      </c>
      <c r="Q184" s="28" t="str">
        <f aca="false">IF(B184="","",IF(H184="Pay",O184,0))</f>
        <v/>
      </c>
      <c r="R184" s="42" t="n">
        <f aca="false">R183+IF(N(Q184)&gt;0,1,0)</f>
        <v>68</v>
      </c>
    </row>
    <row r="185" customFormat="false" ht="15" hidden="false" customHeight="false" outlineLevel="0" collapsed="false">
      <c r="A185" s="36" t="str">
        <f aca="false">IF(B185="","",ROW()-4)</f>
        <v/>
      </c>
      <c r="B185" s="37"/>
      <c r="C185" s="37"/>
      <c r="D185" s="38"/>
      <c r="E185" s="39"/>
      <c r="F185" s="39"/>
      <c r="G185" s="39"/>
      <c r="H185" s="38"/>
      <c r="I185" s="37"/>
      <c r="J185" s="40" t="str">
        <f aca="false">IF(B185="","",IFERROR(INDEX(cg_ID,MATCH(B185,cg_Name,0)),"Not on roster"))</f>
        <v/>
      </c>
      <c r="K185" s="40" t="str">
        <f aca="false">IF(C185="","",IFERROR(INDEX(cl_ID,MATCH(C185,cl_Name,0)),"Not on roster"))</f>
        <v/>
      </c>
      <c r="L185" s="28" t="str">
        <f aca="false">IF(OR(B185="",D185=""),"",IFERROR(INDEX(rt_Rate,MATCH(D185,rt_Code,0)),0))</f>
        <v/>
      </c>
      <c r="M185" s="28" t="str">
        <f aca="false">IF(OR(B185="",D185=""),"",ROUND(N(F185)*L185,2))</f>
        <v/>
      </c>
      <c r="N185" s="41" t="str">
        <f aca="false">IF(B185="","",ROUND(N(G185)*MileRate,2))</f>
        <v/>
      </c>
      <c r="O185" s="28" t="str">
        <f aca="false">IF(B185="","",N(M185)+N185)</f>
        <v/>
      </c>
      <c r="P185" s="40" t="str">
        <f aca="false">IF(B185="","",IF(INDEX(vc_Result,ROW()-4)="OK","OK",IF(H185="Hold","On hold",INDEX(vc_Result,ROW()-4))))</f>
        <v/>
      </c>
      <c r="Q185" s="28" t="str">
        <f aca="false">IF(B185="","",IF(H185="Pay",O185,0))</f>
        <v/>
      </c>
      <c r="R185" s="42" t="n">
        <f aca="false">R184+IF(N(Q185)&gt;0,1,0)</f>
        <v>68</v>
      </c>
    </row>
    <row r="186" customFormat="false" ht="15" hidden="false" customHeight="false" outlineLevel="0" collapsed="false">
      <c r="A186" s="36" t="str">
        <f aca="false">IF(B186="","",ROW()-4)</f>
        <v/>
      </c>
      <c r="B186" s="37"/>
      <c r="C186" s="37"/>
      <c r="D186" s="38"/>
      <c r="E186" s="39"/>
      <c r="F186" s="39"/>
      <c r="G186" s="39"/>
      <c r="H186" s="38"/>
      <c r="I186" s="37"/>
      <c r="J186" s="40" t="str">
        <f aca="false">IF(B186="","",IFERROR(INDEX(cg_ID,MATCH(B186,cg_Name,0)),"Not on roster"))</f>
        <v/>
      </c>
      <c r="K186" s="40" t="str">
        <f aca="false">IF(C186="","",IFERROR(INDEX(cl_ID,MATCH(C186,cl_Name,0)),"Not on roster"))</f>
        <v/>
      </c>
      <c r="L186" s="28" t="str">
        <f aca="false">IF(OR(B186="",D186=""),"",IFERROR(INDEX(rt_Rate,MATCH(D186,rt_Code,0)),0))</f>
        <v/>
      </c>
      <c r="M186" s="28" t="str">
        <f aca="false">IF(OR(B186="",D186=""),"",ROUND(N(F186)*L186,2))</f>
        <v/>
      </c>
      <c r="N186" s="41" t="str">
        <f aca="false">IF(B186="","",ROUND(N(G186)*MileRate,2))</f>
        <v/>
      </c>
      <c r="O186" s="28" t="str">
        <f aca="false">IF(B186="","",N(M186)+N186)</f>
        <v/>
      </c>
      <c r="P186" s="40" t="str">
        <f aca="false">IF(B186="","",IF(INDEX(vc_Result,ROW()-4)="OK","OK",IF(H186="Hold","On hold",INDEX(vc_Result,ROW()-4))))</f>
        <v/>
      </c>
      <c r="Q186" s="28" t="str">
        <f aca="false">IF(B186="","",IF(H186="Pay",O186,0))</f>
        <v/>
      </c>
      <c r="R186" s="42" t="n">
        <f aca="false">R185+IF(N(Q186)&gt;0,1,0)</f>
        <v>68</v>
      </c>
    </row>
    <row r="187" customFormat="false" ht="15" hidden="false" customHeight="false" outlineLevel="0" collapsed="false">
      <c r="A187" s="36" t="str">
        <f aca="false">IF(B187="","",ROW()-4)</f>
        <v/>
      </c>
      <c r="B187" s="37"/>
      <c r="C187" s="37"/>
      <c r="D187" s="38"/>
      <c r="E187" s="39"/>
      <c r="F187" s="39"/>
      <c r="G187" s="39"/>
      <c r="H187" s="38"/>
      <c r="I187" s="37"/>
      <c r="J187" s="40" t="str">
        <f aca="false">IF(B187="","",IFERROR(INDEX(cg_ID,MATCH(B187,cg_Name,0)),"Not on roster"))</f>
        <v/>
      </c>
      <c r="K187" s="40" t="str">
        <f aca="false">IF(C187="","",IFERROR(INDEX(cl_ID,MATCH(C187,cl_Name,0)),"Not on roster"))</f>
        <v/>
      </c>
      <c r="L187" s="28" t="str">
        <f aca="false">IF(OR(B187="",D187=""),"",IFERROR(INDEX(rt_Rate,MATCH(D187,rt_Code,0)),0))</f>
        <v/>
      </c>
      <c r="M187" s="28" t="str">
        <f aca="false">IF(OR(B187="",D187=""),"",ROUND(N(F187)*L187,2))</f>
        <v/>
      </c>
      <c r="N187" s="41" t="str">
        <f aca="false">IF(B187="","",ROUND(N(G187)*MileRate,2))</f>
        <v/>
      </c>
      <c r="O187" s="28" t="str">
        <f aca="false">IF(B187="","",N(M187)+N187)</f>
        <v/>
      </c>
      <c r="P187" s="40" t="str">
        <f aca="false">IF(B187="","",IF(INDEX(vc_Result,ROW()-4)="OK","OK",IF(H187="Hold","On hold",INDEX(vc_Result,ROW()-4))))</f>
        <v/>
      </c>
      <c r="Q187" s="28" t="str">
        <f aca="false">IF(B187="","",IF(H187="Pay",O187,0))</f>
        <v/>
      </c>
      <c r="R187" s="42" t="n">
        <f aca="false">R186+IF(N(Q187)&gt;0,1,0)</f>
        <v>68</v>
      </c>
    </row>
    <row r="188" customFormat="false" ht="15" hidden="false" customHeight="false" outlineLevel="0" collapsed="false">
      <c r="A188" s="36" t="str">
        <f aca="false">IF(B188="","",ROW()-4)</f>
        <v/>
      </c>
      <c r="B188" s="37"/>
      <c r="C188" s="37"/>
      <c r="D188" s="38"/>
      <c r="E188" s="39"/>
      <c r="F188" s="39"/>
      <c r="G188" s="39"/>
      <c r="H188" s="38"/>
      <c r="I188" s="37"/>
      <c r="J188" s="40" t="str">
        <f aca="false">IF(B188="","",IFERROR(INDEX(cg_ID,MATCH(B188,cg_Name,0)),"Not on roster"))</f>
        <v/>
      </c>
      <c r="K188" s="40" t="str">
        <f aca="false">IF(C188="","",IFERROR(INDEX(cl_ID,MATCH(C188,cl_Name,0)),"Not on roster"))</f>
        <v/>
      </c>
      <c r="L188" s="28" t="str">
        <f aca="false">IF(OR(B188="",D188=""),"",IFERROR(INDEX(rt_Rate,MATCH(D188,rt_Code,0)),0))</f>
        <v/>
      </c>
      <c r="M188" s="28" t="str">
        <f aca="false">IF(OR(B188="",D188=""),"",ROUND(N(F188)*L188,2))</f>
        <v/>
      </c>
      <c r="N188" s="41" t="str">
        <f aca="false">IF(B188="","",ROUND(N(G188)*MileRate,2))</f>
        <v/>
      </c>
      <c r="O188" s="28" t="str">
        <f aca="false">IF(B188="","",N(M188)+N188)</f>
        <v/>
      </c>
      <c r="P188" s="40" t="str">
        <f aca="false">IF(B188="","",IF(INDEX(vc_Result,ROW()-4)="OK","OK",IF(H188="Hold","On hold",INDEX(vc_Result,ROW()-4))))</f>
        <v/>
      </c>
      <c r="Q188" s="28" t="str">
        <f aca="false">IF(B188="","",IF(H188="Pay",O188,0))</f>
        <v/>
      </c>
      <c r="R188" s="42" t="n">
        <f aca="false">R187+IF(N(Q188)&gt;0,1,0)</f>
        <v>68</v>
      </c>
    </row>
    <row r="189" customFormat="false" ht="15" hidden="false" customHeight="false" outlineLevel="0" collapsed="false">
      <c r="A189" s="36" t="str">
        <f aca="false">IF(B189="","",ROW()-4)</f>
        <v/>
      </c>
      <c r="B189" s="37"/>
      <c r="C189" s="37"/>
      <c r="D189" s="38"/>
      <c r="E189" s="39"/>
      <c r="F189" s="39"/>
      <c r="G189" s="39"/>
      <c r="H189" s="38"/>
      <c r="I189" s="37"/>
      <c r="J189" s="40" t="str">
        <f aca="false">IF(B189="","",IFERROR(INDEX(cg_ID,MATCH(B189,cg_Name,0)),"Not on roster"))</f>
        <v/>
      </c>
      <c r="K189" s="40" t="str">
        <f aca="false">IF(C189="","",IFERROR(INDEX(cl_ID,MATCH(C189,cl_Name,0)),"Not on roster"))</f>
        <v/>
      </c>
      <c r="L189" s="28" t="str">
        <f aca="false">IF(OR(B189="",D189=""),"",IFERROR(INDEX(rt_Rate,MATCH(D189,rt_Code,0)),0))</f>
        <v/>
      </c>
      <c r="M189" s="28" t="str">
        <f aca="false">IF(OR(B189="",D189=""),"",ROUND(N(F189)*L189,2))</f>
        <v/>
      </c>
      <c r="N189" s="41" t="str">
        <f aca="false">IF(B189="","",ROUND(N(G189)*MileRate,2))</f>
        <v/>
      </c>
      <c r="O189" s="28" t="str">
        <f aca="false">IF(B189="","",N(M189)+N189)</f>
        <v/>
      </c>
      <c r="P189" s="40" t="str">
        <f aca="false">IF(B189="","",IF(INDEX(vc_Result,ROW()-4)="OK","OK",IF(H189="Hold","On hold",INDEX(vc_Result,ROW()-4))))</f>
        <v/>
      </c>
      <c r="Q189" s="28" t="str">
        <f aca="false">IF(B189="","",IF(H189="Pay",O189,0))</f>
        <v/>
      </c>
      <c r="R189" s="42" t="n">
        <f aca="false">R188+IF(N(Q189)&gt;0,1,0)</f>
        <v>68</v>
      </c>
    </row>
    <row r="190" customFormat="false" ht="15" hidden="false" customHeight="false" outlineLevel="0" collapsed="false">
      <c r="A190" s="36" t="str">
        <f aca="false">IF(B190="","",ROW()-4)</f>
        <v/>
      </c>
      <c r="B190" s="37"/>
      <c r="C190" s="37"/>
      <c r="D190" s="38"/>
      <c r="E190" s="39"/>
      <c r="F190" s="39"/>
      <c r="G190" s="39"/>
      <c r="H190" s="38"/>
      <c r="I190" s="37"/>
      <c r="J190" s="40" t="str">
        <f aca="false">IF(B190="","",IFERROR(INDEX(cg_ID,MATCH(B190,cg_Name,0)),"Not on roster"))</f>
        <v/>
      </c>
      <c r="K190" s="40" t="str">
        <f aca="false">IF(C190="","",IFERROR(INDEX(cl_ID,MATCH(C190,cl_Name,0)),"Not on roster"))</f>
        <v/>
      </c>
      <c r="L190" s="28" t="str">
        <f aca="false">IF(OR(B190="",D190=""),"",IFERROR(INDEX(rt_Rate,MATCH(D190,rt_Code,0)),0))</f>
        <v/>
      </c>
      <c r="M190" s="28" t="str">
        <f aca="false">IF(OR(B190="",D190=""),"",ROUND(N(F190)*L190,2))</f>
        <v/>
      </c>
      <c r="N190" s="41" t="str">
        <f aca="false">IF(B190="","",ROUND(N(G190)*MileRate,2))</f>
        <v/>
      </c>
      <c r="O190" s="28" t="str">
        <f aca="false">IF(B190="","",N(M190)+N190)</f>
        <v/>
      </c>
      <c r="P190" s="40" t="str">
        <f aca="false">IF(B190="","",IF(INDEX(vc_Result,ROW()-4)="OK","OK",IF(H190="Hold","On hold",INDEX(vc_Result,ROW()-4))))</f>
        <v/>
      </c>
      <c r="Q190" s="28" t="str">
        <f aca="false">IF(B190="","",IF(H190="Pay",O190,0))</f>
        <v/>
      </c>
      <c r="R190" s="42" t="n">
        <f aca="false">R189+IF(N(Q190)&gt;0,1,0)</f>
        <v>68</v>
      </c>
    </row>
    <row r="191" customFormat="false" ht="15" hidden="false" customHeight="false" outlineLevel="0" collapsed="false">
      <c r="A191" s="36" t="str">
        <f aca="false">IF(B191="","",ROW()-4)</f>
        <v/>
      </c>
      <c r="B191" s="37"/>
      <c r="C191" s="37"/>
      <c r="D191" s="38"/>
      <c r="E191" s="39"/>
      <c r="F191" s="39"/>
      <c r="G191" s="39"/>
      <c r="H191" s="38"/>
      <c r="I191" s="37"/>
      <c r="J191" s="40" t="str">
        <f aca="false">IF(B191="","",IFERROR(INDEX(cg_ID,MATCH(B191,cg_Name,0)),"Not on roster"))</f>
        <v/>
      </c>
      <c r="K191" s="40" t="str">
        <f aca="false">IF(C191="","",IFERROR(INDEX(cl_ID,MATCH(C191,cl_Name,0)),"Not on roster"))</f>
        <v/>
      </c>
      <c r="L191" s="28" t="str">
        <f aca="false">IF(OR(B191="",D191=""),"",IFERROR(INDEX(rt_Rate,MATCH(D191,rt_Code,0)),0))</f>
        <v/>
      </c>
      <c r="M191" s="28" t="str">
        <f aca="false">IF(OR(B191="",D191=""),"",ROUND(N(F191)*L191,2))</f>
        <v/>
      </c>
      <c r="N191" s="41" t="str">
        <f aca="false">IF(B191="","",ROUND(N(G191)*MileRate,2))</f>
        <v/>
      </c>
      <c r="O191" s="28" t="str">
        <f aca="false">IF(B191="","",N(M191)+N191)</f>
        <v/>
      </c>
      <c r="P191" s="40" t="str">
        <f aca="false">IF(B191="","",IF(INDEX(vc_Result,ROW()-4)="OK","OK",IF(H191="Hold","On hold",INDEX(vc_Result,ROW()-4))))</f>
        <v/>
      </c>
      <c r="Q191" s="28" t="str">
        <f aca="false">IF(B191="","",IF(H191="Pay",O191,0))</f>
        <v/>
      </c>
      <c r="R191" s="42" t="n">
        <f aca="false">R190+IF(N(Q191)&gt;0,1,0)</f>
        <v>68</v>
      </c>
    </row>
    <row r="192" customFormat="false" ht="15" hidden="false" customHeight="false" outlineLevel="0" collapsed="false">
      <c r="A192" s="36" t="str">
        <f aca="false">IF(B192="","",ROW()-4)</f>
        <v/>
      </c>
      <c r="B192" s="37"/>
      <c r="C192" s="37"/>
      <c r="D192" s="38"/>
      <c r="E192" s="39"/>
      <c r="F192" s="39"/>
      <c r="G192" s="39"/>
      <c r="H192" s="38"/>
      <c r="I192" s="37"/>
      <c r="J192" s="40" t="str">
        <f aca="false">IF(B192="","",IFERROR(INDEX(cg_ID,MATCH(B192,cg_Name,0)),"Not on roster"))</f>
        <v/>
      </c>
      <c r="K192" s="40" t="str">
        <f aca="false">IF(C192="","",IFERROR(INDEX(cl_ID,MATCH(C192,cl_Name,0)),"Not on roster"))</f>
        <v/>
      </c>
      <c r="L192" s="28" t="str">
        <f aca="false">IF(OR(B192="",D192=""),"",IFERROR(INDEX(rt_Rate,MATCH(D192,rt_Code,0)),0))</f>
        <v/>
      </c>
      <c r="M192" s="28" t="str">
        <f aca="false">IF(OR(B192="",D192=""),"",ROUND(N(F192)*L192,2))</f>
        <v/>
      </c>
      <c r="N192" s="41" t="str">
        <f aca="false">IF(B192="","",ROUND(N(G192)*MileRate,2))</f>
        <v/>
      </c>
      <c r="O192" s="28" t="str">
        <f aca="false">IF(B192="","",N(M192)+N192)</f>
        <v/>
      </c>
      <c r="P192" s="40" t="str">
        <f aca="false">IF(B192="","",IF(INDEX(vc_Result,ROW()-4)="OK","OK",IF(H192="Hold","On hold",INDEX(vc_Result,ROW()-4))))</f>
        <v/>
      </c>
      <c r="Q192" s="28" t="str">
        <f aca="false">IF(B192="","",IF(H192="Pay",O192,0))</f>
        <v/>
      </c>
      <c r="R192" s="42" t="n">
        <f aca="false">R191+IF(N(Q192)&gt;0,1,0)</f>
        <v>68</v>
      </c>
    </row>
    <row r="193" customFormat="false" ht="15" hidden="false" customHeight="false" outlineLevel="0" collapsed="false">
      <c r="A193" s="36" t="str">
        <f aca="false">IF(B193="","",ROW()-4)</f>
        <v/>
      </c>
      <c r="B193" s="37"/>
      <c r="C193" s="37"/>
      <c r="D193" s="38"/>
      <c r="E193" s="39"/>
      <c r="F193" s="39"/>
      <c r="G193" s="39"/>
      <c r="H193" s="38"/>
      <c r="I193" s="37"/>
      <c r="J193" s="40" t="str">
        <f aca="false">IF(B193="","",IFERROR(INDEX(cg_ID,MATCH(B193,cg_Name,0)),"Not on roster"))</f>
        <v/>
      </c>
      <c r="K193" s="40" t="str">
        <f aca="false">IF(C193="","",IFERROR(INDEX(cl_ID,MATCH(C193,cl_Name,0)),"Not on roster"))</f>
        <v/>
      </c>
      <c r="L193" s="28" t="str">
        <f aca="false">IF(OR(B193="",D193=""),"",IFERROR(INDEX(rt_Rate,MATCH(D193,rt_Code,0)),0))</f>
        <v/>
      </c>
      <c r="M193" s="28" t="str">
        <f aca="false">IF(OR(B193="",D193=""),"",ROUND(N(F193)*L193,2))</f>
        <v/>
      </c>
      <c r="N193" s="41" t="str">
        <f aca="false">IF(B193="","",ROUND(N(G193)*MileRate,2))</f>
        <v/>
      </c>
      <c r="O193" s="28" t="str">
        <f aca="false">IF(B193="","",N(M193)+N193)</f>
        <v/>
      </c>
      <c r="P193" s="40" t="str">
        <f aca="false">IF(B193="","",IF(INDEX(vc_Result,ROW()-4)="OK","OK",IF(H193="Hold","On hold",INDEX(vc_Result,ROW()-4))))</f>
        <v/>
      </c>
      <c r="Q193" s="28" t="str">
        <f aca="false">IF(B193="","",IF(H193="Pay",O193,0))</f>
        <v/>
      </c>
      <c r="R193" s="42" t="n">
        <f aca="false">R192+IF(N(Q193)&gt;0,1,0)</f>
        <v>68</v>
      </c>
    </row>
    <row r="194" customFormat="false" ht="15" hidden="false" customHeight="false" outlineLevel="0" collapsed="false">
      <c r="A194" s="36" t="str">
        <f aca="false">IF(B194="","",ROW()-4)</f>
        <v/>
      </c>
      <c r="B194" s="37"/>
      <c r="C194" s="37"/>
      <c r="D194" s="38"/>
      <c r="E194" s="39"/>
      <c r="F194" s="39"/>
      <c r="G194" s="39"/>
      <c r="H194" s="38"/>
      <c r="I194" s="37"/>
      <c r="J194" s="40" t="str">
        <f aca="false">IF(B194="","",IFERROR(INDEX(cg_ID,MATCH(B194,cg_Name,0)),"Not on roster"))</f>
        <v/>
      </c>
      <c r="K194" s="40" t="str">
        <f aca="false">IF(C194="","",IFERROR(INDEX(cl_ID,MATCH(C194,cl_Name,0)),"Not on roster"))</f>
        <v/>
      </c>
      <c r="L194" s="28" t="str">
        <f aca="false">IF(OR(B194="",D194=""),"",IFERROR(INDEX(rt_Rate,MATCH(D194,rt_Code,0)),0))</f>
        <v/>
      </c>
      <c r="M194" s="28" t="str">
        <f aca="false">IF(OR(B194="",D194=""),"",ROUND(N(F194)*L194,2))</f>
        <v/>
      </c>
      <c r="N194" s="41" t="str">
        <f aca="false">IF(B194="","",ROUND(N(G194)*MileRate,2))</f>
        <v/>
      </c>
      <c r="O194" s="28" t="str">
        <f aca="false">IF(B194="","",N(M194)+N194)</f>
        <v/>
      </c>
      <c r="P194" s="40" t="str">
        <f aca="false">IF(B194="","",IF(INDEX(vc_Result,ROW()-4)="OK","OK",IF(H194="Hold","On hold",INDEX(vc_Result,ROW()-4))))</f>
        <v/>
      </c>
      <c r="Q194" s="28" t="str">
        <f aca="false">IF(B194="","",IF(H194="Pay",O194,0))</f>
        <v/>
      </c>
      <c r="R194" s="42" t="n">
        <f aca="false">R193+IF(N(Q194)&gt;0,1,0)</f>
        <v>68</v>
      </c>
    </row>
    <row r="195" customFormat="false" ht="15" hidden="false" customHeight="false" outlineLevel="0" collapsed="false">
      <c r="A195" s="36" t="str">
        <f aca="false">IF(B195="","",ROW()-4)</f>
        <v/>
      </c>
      <c r="B195" s="37"/>
      <c r="C195" s="37"/>
      <c r="D195" s="38"/>
      <c r="E195" s="39"/>
      <c r="F195" s="39"/>
      <c r="G195" s="39"/>
      <c r="H195" s="38"/>
      <c r="I195" s="37"/>
      <c r="J195" s="40" t="str">
        <f aca="false">IF(B195="","",IFERROR(INDEX(cg_ID,MATCH(B195,cg_Name,0)),"Not on roster"))</f>
        <v/>
      </c>
      <c r="K195" s="40" t="str">
        <f aca="false">IF(C195="","",IFERROR(INDEX(cl_ID,MATCH(C195,cl_Name,0)),"Not on roster"))</f>
        <v/>
      </c>
      <c r="L195" s="28" t="str">
        <f aca="false">IF(OR(B195="",D195=""),"",IFERROR(INDEX(rt_Rate,MATCH(D195,rt_Code,0)),0))</f>
        <v/>
      </c>
      <c r="M195" s="28" t="str">
        <f aca="false">IF(OR(B195="",D195=""),"",ROUND(N(F195)*L195,2))</f>
        <v/>
      </c>
      <c r="N195" s="41" t="str">
        <f aca="false">IF(B195="","",ROUND(N(G195)*MileRate,2))</f>
        <v/>
      </c>
      <c r="O195" s="28" t="str">
        <f aca="false">IF(B195="","",N(M195)+N195)</f>
        <v/>
      </c>
      <c r="P195" s="40" t="str">
        <f aca="false">IF(B195="","",IF(INDEX(vc_Result,ROW()-4)="OK","OK",IF(H195="Hold","On hold",INDEX(vc_Result,ROW()-4))))</f>
        <v/>
      </c>
      <c r="Q195" s="28" t="str">
        <f aca="false">IF(B195="","",IF(H195="Pay",O195,0))</f>
        <v/>
      </c>
      <c r="R195" s="42" t="n">
        <f aca="false">R194+IF(N(Q195)&gt;0,1,0)</f>
        <v>68</v>
      </c>
    </row>
    <row r="196" customFormat="false" ht="15" hidden="false" customHeight="false" outlineLevel="0" collapsed="false">
      <c r="A196" s="36" t="str">
        <f aca="false">IF(B196="","",ROW()-4)</f>
        <v/>
      </c>
      <c r="B196" s="37"/>
      <c r="C196" s="37"/>
      <c r="D196" s="38"/>
      <c r="E196" s="39"/>
      <c r="F196" s="39"/>
      <c r="G196" s="39"/>
      <c r="H196" s="38"/>
      <c r="I196" s="37"/>
      <c r="J196" s="40" t="str">
        <f aca="false">IF(B196="","",IFERROR(INDEX(cg_ID,MATCH(B196,cg_Name,0)),"Not on roster"))</f>
        <v/>
      </c>
      <c r="K196" s="40" t="str">
        <f aca="false">IF(C196="","",IFERROR(INDEX(cl_ID,MATCH(C196,cl_Name,0)),"Not on roster"))</f>
        <v/>
      </c>
      <c r="L196" s="28" t="str">
        <f aca="false">IF(OR(B196="",D196=""),"",IFERROR(INDEX(rt_Rate,MATCH(D196,rt_Code,0)),0))</f>
        <v/>
      </c>
      <c r="M196" s="28" t="str">
        <f aca="false">IF(OR(B196="",D196=""),"",ROUND(N(F196)*L196,2))</f>
        <v/>
      </c>
      <c r="N196" s="41" t="str">
        <f aca="false">IF(B196="","",ROUND(N(G196)*MileRate,2))</f>
        <v/>
      </c>
      <c r="O196" s="28" t="str">
        <f aca="false">IF(B196="","",N(M196)+N196)</f>
        <v/>
      </c>
      <c r="P196" s="40" t="str">
        <f aca="false">IF(B196="","",IF(INDEX(vc_Result,ROW()-4)="OK","OK",IF(H196="Hold","On hold",INDEX(vc_Result,ROW()-4))))</f>
        <v/>
      </c>
      <c r="Q196" s="28" t="str">
        <f aca="false">IF(B196="","",IF(H196="Pay",O196,0))</f>
        <v/>
      </c>
      <c r="R196" s="42" t="n">
        <f aca="false">R195+IF(N(Q196)&gt;0,1,0)</f>
        <v>68</v>
      </c>
    </row>
    <row r="197" customFormat="false" ht="15" hidden="false" customHeight="false" outlineLevel="0" collapsed="false">
      <c r="A197" s="36" t="str">
        <f aca="false">IF(B197="","",ROW()-4)</f>
        <v/>
      </c>
      <c r="B197" s="37"/>
      <c r="C197" s="37"/>
      <c r="D197" s="38"/>
      <c r="E197" s="39"/>
      <c r="F197" s="39"/>
      <c r="G197" s="39"/>
      <c r="H197" s="38"/>
      <c r="I197" s="37"/>
      <c r="J197" s="40" t="str">
        <f aca="false">IF(B197="","",IFERROR(INDEX(cg_ID,MATCH(B197,cg_Name,0)),"Not on roster"))</f>
        <v/>
      </c>
      <c r="K197" s="40" t="str">
        <f aca="false">IF(C197="","",IFERROR(INDEX(cl_ID,MATCH(C197,cl_Name,0)),"Not on roster"))</f>
        <v/>
      </c>
      <c r="L197" s="28" t="str">
        <f aca="false">IF(OR(B197="",D197=""),"",IFERROR(INDEX(rt_Rate,MATCH(D197,rt_Code,0)),0))</f>
        <v/>
      </c>
      <c r="M197" s="28" t="str">
        <f aca="false">IF(OR(B197="",D197=""),"",ROUND(N(F197)*L197,2))</f>
        <v/>
      </c>
      <c r="N197" s="41" t="str">
        <f aca="false">IF(B197="","",ROUND(N(G197)*MileRate,2))</f>
        <v/>
      </c>
      <c r="O197" s="28" t="str">
        <f aca="false">IF(B197="","",N(M197)+N197)</f>
        <v/>
      </c>
      <c r="P197" s="40" t="str">
        <f aca="false">IF(B197="","",IF(INDEX(vc_Result,ROW()-4)="OK","OK",IF(H197="Hold","On hold",INDEX(vc_Result,ROW()-4))))</f>
        <v/>
      </c>
      <c r="Q197" s="28" t="str">
        <f aca="false">IF(B197="","",IF(H197="Pay",O197,0))</f>
        <v/>
      </c>
      <c r="R197" s="42" t="n">
        <f aca="false">R196+IF(N(Q197)&gt;0,1,0)</f>
        <v>68</v>
      </c>
    </row>
    <row r="198" customFormat="false" ht="15" hidden="false" customHeight="false" outlineLevel="0" collapsed="false">
      <c r="A198" s="36" t="str">
        <f aca="false">IF(B198="","",ROW()-4)</f>
        <v/>
      </c>
      <c r="B198" s="37"/>
      <c r="C198" s="37"/>
      <c r="D198" s="38"/>
      <c r="E198" s="39"/>
      <c r="F198" s="39"/>
      <c r="G198" s="39"/>
      <c r="H198" s="38"/>
      <c r="I198" s="37"/>
      <c r="J198" s="40" t="str">
        <f aca="false">IF(B198="","",IFERROR(INDEX(cg_ID,MATCH(B198,cg_Name,0)),"Not on roster"))</f>
        <v/>
      </c>
      <c r="K198" s="40" t="str">
        <f aca="false">IF(C198="","",IFERROR(INDEX(cl_ID,MATCH(C198,cl_Name,0)),"Not on roster"))</f>
        <v/>
      </c>
      <c r="L198" s="28" t="str">
        <f aca="false">IF(OR(B198="",D198=""),"",IFERROR(INDEX(rt_Rate,MATCH(D198,rt_Code,0)),0))</f>
        <v/>
      </c>
      <c r="M198" s="28" t="str">
        <f aca="false">IF(OR(B198="",D198=""),"",ROUND(N(F198)*L198,2))</f>
        <v/>
      </c>
      <c r="N198" s="41" t="str">
        <f aca="false">IF(B198="","",ROUND(N(G198)*MileRate,2))</f>
        <v/>
      </c>
      <c r="O198" s="28" t="str">
        <f aca="false">IF(B198="","",N(M198)+N198)</f>
        <v/>
      </c>
      <c r="P198" s="40" t="str">
        <f aca="false">IF(B198="","",IF(INDEX(vc_Result,ROW()-4)="OK","OK",IF(H198="Hold","On hold",INDEX(vc_Result,ROW()-4))))</f>
        <v/>
      </c>
      <c r="Q198" s="28" t="str">
        <f aca="false">IF(B198="","",IF(H198="Pay",O198,0))</f>
        <v/>
      </c>
      <c r="R198" s="42" t="n">
        <f aca="false">R197+IF(N(Q198)&gt;0,1,0)</f>
        <v>68</v>
      </c>
    </row>
    <row r="199" customFormat="false" ht="15" hidden="false" customHeight="false" outlineLevel="0" collapsed="false">
      <c r="A199" s="36" t="str">
        <f aca="false">IF(B199="","",ROW()-4)</f>
        <v/>
      </c>
      <c r="B199" s="37"/>
      <c r="C199" s="37"/>
      <c r="D199" s="38"/>
      <c r="E199" s="39"/>
      <c r="F199" s="39"/>
      <c r="G199" s="39"/>
      <c r="H199" s="38"/>
      <c r="I199" s="37"/>
      <c r="J199" s="40" t="str">
        <f aca="false">IF(B199="","",IFERROR(INDEX(cg_ID,MATCH(B199,cg_Name,0)),"Not on roster"))</f>
        <v/>
      </c>
      <c r="K199" s="40" t="str">
        <f aca="false">IF(C199="","",IFERROR(INDEX(cl_ID,MATCH(C199,cl_Name,0)),"Not on roster"))</f>
        <v/>
      </c>
      <c r="L199" s="28" t="str">
        <f aca="false">IF(OR(B199="",D199=""),"",IFERROR(INDEX(rt_Rate,MATCH(D199,rt_Code,0)),0))</f>
        <v/>
      </c>
      <c r="M199" s="28" t="str">
        <f aca="false">IF(OR(B199="",D199=""),"",ROUND(N(F199)*L199,2))</f>
        <v/>
      </c>
      <c r="N199" s="41" t="str">
        <f aca="false">IF(B199="","",ROUND(N(G199)*MileRate,2))</f>
        <v/>
      </c>
      <c r="O199" s="28" t="str">
        <f aca="false">IF(B199="","",N(M199)+N199)</f>
        <v/>
      </c>
      <c r="P199" s="40" t="str">
        <f aca="false">IF(B199="","",IF(INDEX(vc_Result,ROW()-4)="OK","OK",IF(H199="Hold","On hold",INDEX(vc_Result,ROW()-4))))</f>
        <v/>
      </c>
      <c r="Q199" s="28" t="str">
        <f aca="false">IF(B199="","",IF(H199="Pay",O199,0))</f>
        <v/>
      </c>
      <c r="R199" s="42" t="n">
        <f aca="false">R198+IF(N(Q199)&gt;0,1,0)</f>
        <v>68</v>
      </c>
    </row>
    <row r="200" customFormat="false" ht="15" hidden="false" customHeight="false" outlineLevel="0" collapsed="false">
      <c r="A200" s="36" t="str">
        <f aca="false">IF(B200="","",ROW()-4)</f>
        <v/>
      </c>
      <c r="B200" s="37"/>
      <c r="C200" s="37"/>
      <c r="D200" s="38"/>
      <c r="E200" s="39"/>
      <c r="F200" s="39"/>
      <c r="G200" s="39"/>
      <c r="H200" s="38"/>
      <c r="I200" s="37"/>
      <c r="J200" s="40" t="str">
        <f aca="false">IF(B200="","",IFERROR(INDEX(cg_ID,MATCH(B200,cg_Name,0)),"Not on roster"))</f>
        <v/>
      </c>
      <c r="K200" s="40" t="str">
        <f aca="false">IF(C200="","",IFERROR(INDEX(cl_ID,MATCH(C200,cl_Name,0)),"Not on roster"))</f>
        <v/>
      </c>
      <c r="L200" s="28" t="str">
        <f aca="false">IF(OR(B200="",D200=""),"",IFERROR(INDEX(rt_Rate,MATCH(D200,rt_Code,0)),0))</f>
        <v/>
      </c>
      <c r="M200" s="28" t="str">
        <f aca="false">IF(OR(B200="",D200=""),"",ROUND(N(F200)*L200,2))</f>
        <v/>
      </c>
      <c r="N200" s="41" t="str">
        <f aca="false">IF(B200="","",ROUND(N(G200)*MileRate,2))</f>
        <v/>
      </c>
      <c r="O200" s="28" t="str">
        <f aca="false">IF(B200="","",N(M200)+N200)</f>
        <v/>
      </c>
      <c r="P200" s="40" t="str">
        <f aca="false">IF(B200="","",IF(INDEX(vc_Result,ROW()-4)="OK","OK",IF(H200="Hold","On hold",INDEX(vc_Result,ROW()-4))))</f>
        <v/>
      </c>
      <c r="Q200" s="28" t="str">
        <f aca="false">IF(B200="","",IF(H200="Pay",O200,0))</f>
        <v/>
      </c>
      <c r="R200" s="42" t="n">
        <f aca="false">R199+IF(N(Q200)&gt;0,1,0)</f>
        <v>68</v>
      </c>
    </row>
    <row r="201" customFormat="false" ht="15" hidden="false" customHeight="false" outlineLevel="0" collapsed="false">
      <c r="A201" s="36" t="str">
        <f aca="false">IF(B201="","",ROW()-4)</f>
        <v/>
      </c>
      <c r="B201" s="37"/>
      <c r="C201" s="37"/>
      <c r="D201" s="38"/>
      <c r="E201" s="39"/>
      <c r="F201" s="39"/>
      <c r="G201" s="39"/>
      <c r="H201" s="38"/>
      <c r="I201" s="37"/>
      <c r="J201" s="40" t="str">
        <f aca="false">IF(B201="","",IFERROR(INDEX(cg_ID,MATCH(B201,cg_Name,0)),"Not on roster"))</f>
        <v/>
      </c>
      <c r="K201" s="40" t="str">
        <f aca="false">IF(C201="","",IFERROR(INDEX(cl_ID,MATCH(C201,cl_Name,0)),"Not on roster"))</f>
        <v/>
      </c>
      <c r="L201" s="28" t="str">
        <f aca="false">IF(OR(B201="",D201=""),"",IFERROR(INDEX(rt_Rate,MATCH(D201,rt_Code,0)),0))</f>
        <v/>
      </c>
      <c r="M201" s="28" t="str">
        <f aca="false">IF(OR(B201="",D201=""),"",ROUND(N(F201)*L201,2))</f>
        <v/>
      </c>
      <c r="N201" s="41" t="str">
        <f aca="false">IF(B201="","",ROUND(N(G201)*MileRate,2))</f>
        <v/>
      </c>
      <c r="O201" s="28" t="str">
        <f aca="false">IF(B201="","",N(M201)+N201)</f>
        <v/>
      </c>
      <c r="P201" s="40" t="str">
        <f aca="false">IF(B201="","",IF(INDEX(vc_Result,ROW()-4)="OK","OK",IF(H201="Hold","On hold",INDEX(vc_Result,ROW()-4))))</f>
        <v/>
      </c>
      <c r="Q201" s="28" t="str">
        <f aca="false">IF(B201="","",IF(H201="Pay",O201,0))</f>
        <v/>
      </c>
      <c r="R201" s="42" t="n">
        <f aca="false">R200+IF(N(Q201)&gt;0,1,0)</f>
        <v>68</v>
      </c>
    </row>
    <row r="202" customFormat="false" ht="15" hidden="false" customHeight="false" outlineLevel="0" collapsed="false">
      <c r="A202" s="36" t="str">
        <f aca="false">IF(B202="","",ROW()-4)</f>
        <v/>
      </c>
      <c r="B202" s="37"/>
      <c r="C202" s="37"/>
      <c r="D202" s="38"/>
      <c r="E202" s="39"/>
      <c r="F202" s="39"/>
      <c r="G202" s="39"/>
      <c r="H202" s="38"/>
      <c r="I202" s="37"/>
      <c r="J202" s="40" t="str">
        <f aca="false">IF(B202="","",IFERROR(INDEX(cg_ID,MATCH(B202,cg_Name,0)),"Not on roster"))</f>
        <v/>
      </c>
      <c r="K202" s="40" t="str">
        <f aca="false">IF(C202="","",IFERROR(INDEX(cl_ID,MATCH(C202,cl_Name,0)),"Not on roster"))</f>
        <v/>
      </c>
      <c r="L202" s="28" t="str">
        <f aca="false">IF(OR(B202="",D202=""),"",IFERROR(INDEX(rt_Rate,MATCH(D202,rt_Code,0)),0))</f>
        <v/>
      </c>
      <c r="M202" s="28" t="str">
        <f aca="false">IF(OR(B202="",D202=""),"",ROUND(N(F202)*L202,2))</f>
        <v/>
      </c>
      <c r="N202" s="41" t="str">
        <f aca="false">IF(B202="","",ROUND(N(G202)*MileRate,2))</f>
        <v/>
      </c>
      <c r="O202" s="28" t="str">
        <f aca="false">IF(B202="","",N(M202)+N202)</f>
        <v/>
      </c>
      <c r="P202" s="40" t="str">
        <f aca="false">IF(B202="","",IF(INDEX(vc_Result,ROW()-4)="OK","OK",IF(H202="Hold","On hold",INDEX(vc_Result,ROW()-4))))</f>
        <v/>
      </c>
      <c r="Q202" s="28" t="str">
        <f aca="false">IF(B202="","",IF(H202="Pay",O202,0))</f>
        <v/>
      </c>
      <c r="R202" s="42" t="n">
        <f aca="false">R201+IF(N(Q202)&gt;0,1,0)</f>
        <v>68</v>
      </c>
    </row>
    <row r="203" customFormat="false" ht="15" hidden="false" customHeight="false" outlineLevel="0" collapsed="false">
      <c r="A203" s="36" t="str">
        <f aca="false">IF(B203="","",ROW()-4)</f>
        <v/>
      </c>
      <c r="B203" s="37"/>
      <c r="C203" s="37"/>
      <c r="D203" s="38"/>
      <c r="E203" s="39"/>
      <c r="F203" s="39"/>
      <c r="G203" s="39"/>
      <c r="H203" s="38"/>
      <c r="I203" s="37"/>
      <c r="J203" s="40" t="str">
        <f aca="false">IF(B203="","",IFERROR(INDEX(cg_ID,MATCH(B203,cg_Name,0)),"Not on roster"))</f>
        <v/>
      </c>
      <c r="K203" s="40" t="str">
        <f aca="false">IF(C203="","",IFERROR(INDEX(cl_ID,MATCH(C203,cl_Name,0)),"Not on roster"))</f>
        <v/>
      </c>
      <c r="L203" s="28" t="str">
        <f aca="false">IF(OR(B203="",D203=""),"",IFERROR(INDEX(rt_Rate,MATCH(D203,rt_Code,0)),0))</f>
        <v/>
      </c>
      <c r="M203" s="28" t="str">
        <f aca="false">IF(OR(B203="",D203=""),"",ROUND(N(F203)*L203,2))</f>
        <v/>
      </c>
      <c r="N203" s="41" t="str">
        <f aca="false">IF(B203="","",ROUND(N(G203)*MileRate,2))</f>
        <v/>
      </c>
      <c r="O203" s="28" t="str">
        <f aca="false">IF(B203="","",N(M203)+N203)</f>
        <v/>
      </c>
      <c r="P203" s="40" t="str">
        <f aca="false">IF(B203="","",IF(INDEX(vc_Result,ROW()-4)="OK","OK",IF(H203="Hold","On hold",INDEX(vc_Result,ROW()-4))))</f>
        <v/>
      </c>
      <c r="Q203" s="28" t="str">
        <f aca="false">IF(B203="","",IF(H203="Pay",O203,0))</f>
        <v/>
      </c>
      <c r="R203" s="42" t="n">
        <f aca="false">R202+IF(N(Q203)&gt;0,1,0)</f>
        <v>68</v>
      </c>
    </row>
    <row r="204" customFormat="false" ht="15" hidden="false" customHeight="false" outlineLevel="0" collapsed="false">
      <c r="A204" s="36" t="str">
        <f aca="false">IF(B204="","",ROW()-4)</f>
        <v/>
      </c>
      <c r="B204" s="37"/>
      <c r="C204" s="37"/>
      <c r="D204" s="38"/>
      <c r="E204" s="39"/>
      <c r="F204" s="39"/>
      <c r="G204" s="39"/>
      <c r="H204" s="38"/>
      <c r="I204" s="37"/>
      <c r="J204" s="40" t="str">
        <f aca="false">IF(B204="","",IFERROR(INDEX(cg_ID,MATCH(B204,cg_Name,0)),"Not on roster"))</f>
        <v/>
      </c>
      <c r="K204" s="40" t="str">
        <f aca="false">IF(C204="","",IFERROR(INDEX(cl_ID,MATCH(C204,cl_Name,0)),"Not on roster"))</f>
        <v/>
      </c>
      <c r="L204" s="28" t="str">
        <f aca="false">IF(OR(B204="",D204=""),"",IFERROR(INDEX(rt_Rate,MATCH(D204,rt_Code,0)),0))</f>
        <v/>
      </c>
      <c r="M204" s="28" t="str">
        <f aca="false">IF(OR(B204="",D204=""),"",ROUND(N(F204)*L204,2))</f>
        <v/>
      </c>
      <c r="N204" s="41" t="str">
        <f aca="false">IF(B204="","",ROUND(N(G204)*MileRate,2))</f>
        <v/>
      </c>
      <c r="O204" s="28" t="str">
        <f aca="false">IF(B204="","",N(M204)+N204)</f>
        <v/>
      </c>
      <c r="P204" s="40" t="str">
        <f aca="false">IF(B204="","",IF(INDEX(vc_Result,ROW()-4)="OK","OK",IF(H204="Hold","On hold",INDEX(vc_Result,ROW()-4))))</f>
        <v/>
      </c>
      <c r="Q204" s="28" t="str">
        <f aca="false">IF(B204="","",IF(H204="Pay",O204,0))</f>
        <v/>
      </c>
      <c r="R204" s="42" t="n">
        <f aca="false">R203+IF(N(Q204)&gt;0,1,0)</f>
        <v>68</v>
      </c>
    </row>
    <row r="205" customFormat="false" ht="15" hidden="false" customHeight="false" outlineLevel="0" collapsed="false">
      <c r="A205" s="36" t="str">
        <f aca="false">IF(B205="","",ROW()-4)</f>
        <v/>
      </c>
      <c r="B205" s="37"/>
      <c r="C205" s="37"/>
      <c r="D205" s="38"/>
      <c r="E205" s="39"/>
      <c r="F205" s="39"/>
      <c r="G205" s="39"/>
      <c r="H205" s="38"/>
      <c r="I205" s="37"/>
      <c r="J205" s="40" t="str">
        <f aca="false">IF(B205="","",IFERROR(INDEX(cg_ID,MATCH(B205,cg_Name,0)),"Not on roster"))</f>
        <v/>
      </c>
      <c r="K205" s="40" t="str">
        <f aca="false">IF(C205="","",IFERROR(INDEX(cl_ID,MATCH(C205,cl_Name,0)),"Not on roster"))</f>
        <v/>
      </c>
      <c r="L205" s="28" t="str">
        <f aca="false">IF(OR(B205="",D205=""),"",IFERROR(INDEX(rt_Rate,MATCH(D205,rt_Code,0)),0))</f>
        <v/>
      </c>
      <c r="M205" s="28" t="str">
        <f aca="false">IF(OR(B205="",D205=""),"",ROUND(N(F205)*L205,2))</f>
        <v/>
      </c>
      <c r="N205" s="41" t="str">
        <f aca="false">IF(B205="","",ROUND(N(G205)*MileRate,2))</f>
        <v/>
      </c>
      <c r="O205" s="28" t="str">
        <f aca="false">IF(B205="","",N(M205)+N205)</f>
        <v/>
      </c>
      <c r="P205" s="40" t="str">
        <f aca="false">IF(B205="","",IF(INDEX(vc_Result,ROW()-4)="OK","OK",IF(H205="Hold","On hold",INDEX(vc_Result,ROW()-4))))</f>
        <v/>
      </c>
      <c r="Q205" s="28" t="str">
        <f aca="false">IF(B205="","",IF(H205="Pay",O205,0))</f>
        <v/>
      </c>
      <c r="R205" s="42" t="n">
        <f aca="false">R204+IF(N(Q205)&gt;0,1,0)</f>
        <v>68</v>
      </c>
    </row>
    <row r="206" customFormat="false" ht="15" hidden="false" customHeight="false" outlineLevel="0" collapsed="false">
      <c r="A206" s="36" t="str">
        <f aca="false">IF(B206="","",ROW()-4)</f>
        <v/>
      </c>
      <c r="B206" s="37"/>
      <c r="C206" s="37"/>
      <c r="D206" s="38"/>
      <c r="E206" s="39"/>
      <c r="F206" s="39"/>
      <c r="G206" s="39"/>
      <c r="H206" s="38"/>
      <c r="I206" s="37"/>
      <c r="J206" s="40" t="str">
        <f aca="false">IF(B206="","",IFERROR(INDEX(cg_ID,MATCH(B206,cg_Name,0)),"Not on roster"))</f>
        <v/>
      </c>
      <c r="K206" s="40" t="str">
        <f aca="false">IF(C206="","",IFERROR(INDEX(cl_ID,MATCH(C206,cl_Name,0)),"Not on roster"))</f>
        <v/>
      </c>
      <c r="L206" s="28" t="str">
        <f aca="false">IF(OR(B206="",D206=""),"",IFERROR(INDEX(rt_Rate,MATCH(D206,rt_Code,0)),0))</f>
        <v/>
      </c>
      <c r="M206" s="28" t="str">
        <f aca="false">IF(OR(B206="",D206=""),"",ROUND(N(F206)*L206,2))</f>
        <v/>
      </c>
      <c r="N206" s="41" t="str">
        <f aca="false">IF(B206="","",ROUND(N(G206)*MileRate,2))</f>
        <v/>
      </c>
      <c r="O206" s="28" t="str">
        <f aca="false">IF(B206="","",N(M206)+N206)</f>
        <v/>
      </c>
      <c r="P206" s="40" t="str">
        <f aca="false">IF(B206="","",IF(INDEX(vc_Result,ROW()-4)="OK","OK",IF(H206="Hold","On hold",INDEX(vc_Result,ROW()-4))))</f>
        <v/>
      </c>
      <c r="Q206" s="28" t="str">
        <f aca="false">IF(B206="","",IF(H206="Pay",O206,0))</f>
        <v/>
      </c>
      <c r="R206" s="42" t="n">
        <f aca="false">R205+IF(N(Q206)&gt;0,1,0)</f>
        <v>68</v>
      </c>
    </row>
    <row r="207" customFormat="false" ht="15" hidden="false" customHeight="false" outlineLevel="0" collapsed="false">
      <c r="A207" s="36" t="str">
        <f aca="false">IF(B207="","",ROW()-4)</f>
        <v/>
      </c>
      <c r="B207" s="37"/>
      <c r="C207" s="37"/>
      <c r="D207" s="38"/>
      <c r="E207" s="39"/>
      <c r="F207" s="39"/>
      <c r="G207" s="39"/>
      <c r="H207" s="38"/>
      <c r="I207" s="37"/>
      <c r="J207" s="40" t="str">
        <f aca="false">IF(B207="","",IFERROR(INDEX(cg_ID,MATCH(B207,cg_Name,0)),"Not on roster"))</f>
        <v/>
      </c>
      <c r="K207" s="40" t="str">
        <f aca="false">IF(C207="","",IFERROR(INDEX(cl_ID,MATCH(C207,cl_Name,0)),"Not on roster"))</f>
        <v/>
      </c>
      <c r="L207" s="28" t="str">
        <f aca="false">IF(OR(B207="",D207=""),"",IFERROR(INDEX(rt_Rate,MATCH(D207,rt_Code,0)),0))</f>
        <v/>
      </c>
      <c r="M207" s="28" t="str">
        <f aca="false">IF(OR(B207="",D207=""),"",ROUND(N(F207)*L207,2))</f>
        <v/>
      </c>
      <c r="N207" s="41" t="str">
        <f aca="false">IF(B207="","",ROUND(N(G207)*MileRate,2))</f>
        <v/>
      </c>
      <c r="O207" s="28" t="str">
        <f aca="false">IF(B207="","",N(M207)+N207)</f>
        <v/>
      </c>
      <c r="P207" s="40" t="str">
        <f aca="false">IF(B207="","",IF(INDEX(vc_Result,ROW()-4)="OK","OK",IF(H207="Hold","On hold",INDEX(vc_Result,ROW()-4))))</f>
        <v/>
      </c>
      <c r="Q207" s="28" t="str">
        <f aca="false">IF(B207="","",IF(H207="Pay",O207,0))</f>
        <v/>
      </c>
      <c r="R207" s="42" t="n">
        <f aca="false">R206+IF(N(Q207)&gt;0,1,0)</f>
        <v>68</v>
      </c>
    </row>
    <row r="208" customFormat="false" ht="15" hidden="false" customHeight="false" outlineLevel="0" collapsed="false">
      <c r="A208" s="36" t="str">
        <f aca="false">IF(B208="","",ROW()-4)</f>
        <v/>
      </c>
      <c r="B208" s="37"/>
      <c r="C208" s="37"/>
      <c r="D208" s="38"/>
      <c r="E208" s="39"/>
      <c r="F208" s="39"/>
      <c r="G208" s="39"/>
      <c r="H208" s="38"/>
      <c r="I208" s="37"/>
      <c r="J208" s="40" t="str">
        <f aca="false">IF(B208="","",IFERROR(INDEX(cg_ID,MATCH(B208,cg_Name,0)),"Not on roster"))</f>
        <v/>
      </c>
      <c r="K208" s="40" t="str">
        <f aca="false">IF(C208="","",IFERROR(INDEX(cl_ID,MATCH(C208,cl_Name,0)),"Not on roster"))</f>
        <v/>
      </c>
      <c r="L208" s="28" t="str">
        <f aca="false">IF(OR(B208="",D208=""),"",IFERROR(INDEX(rt_Rate,MATCH(D208,rt_Code,0)),0))</f>
        <v/>
      </c>
      <c r="M208" s="28" t="str">
        <f aca="false">IF(OR(B208="",D208=""),"",ROUND(N(F208)*L208,2))</f>
        <v/>
      </c>
      <c r="N208" s="41" t="str">
        <f aca="false">IF(B208="","",ROUND(N(G208)*MileRate,2))</f>
        <v/>
      </c>
      <c r="O208" s="28" t="str">
        <f aca="false">IF(B208="","",N(M208)+N208)</f>
        <v/>
      </c>
      <c r="P208" s="40" t="str">
        <f aca="false">IF(B208="","",IF(INDEX(vc_Result,ROW()-4)="OK","OK",IF(H208="Hold","On hold",INDEX(vc_Result,ROW()-4))))</f>
        <v/>
      </c>
      <c r="Q208" s="28" t="str">
        <f aca="false">IF(B208="","",IF(H208="Pay",O208,0))</f>
        <v/>
      </c>
      <c r="R208" s="42" t="n">
        <f aca="false">R207+IF(N(Q208)&gt;0,1,0)</f>
        <v>68</v>
      </c>
    </row>
    <row r="209" customFormat="false" ht="15" hidden="false" customHeight="false" outlineLevel="0" collapsed="false">
      <c r="A209" s="36" t="str">
        <f aca="false">IF(B209="","",ROW()-4)</f>
        <v/>
      </c>
      <c r="B209" s="37"/>
      <c r="C209" s="37"/>
      <c r="D209" s="38"/>
      <c r="E209" s="39"/>
      <c r="F209" s="39"/>
      <c r="G209" s="39"/>
      <c r="H209" s="38"/>
      <c r="I209" s="37"/>
      <c r="J209" s="40" t="str">
        <f aca="false">IF(B209="","",IFERROR(INDEX(cg_ID,MATCH(B209,cg_Name,0)),"Not on roster"))</f>
        <v/>
      </c>
      <c r="K209" s="40" t="str">
        <f aca="false">IF(C209="","",IFERROR(INDEX(cl_ID,MATCH(C209,cl_Name,0)),"Not on roster"))</f>
        <v/>
      </c>
      <c r="L209" s="28" t="str">
        <f aca="false">IF(OR(B209="",D209=""),"",IFERROR(INDEX(rt_Rate,MATCH(D209,rt_Code,0)),0))</f>
        <v/>
      </c>
      <c r="M209" s="28" t="str">
        <f aca="false">IF(OR(B209="",D209=""),"",ROUND(N(F209)*L209,2))</f>
        <v/>
      </c>
      <c r="N209" s="41" t="str">
        <f aca="false">IF(B209="","",ROUND(N(G209)*MileRate,2))</f>
        <v/>
      </c>
      <c r="O209" s="28" t="str">
        <f aca="false">IF(B209="","",N(M209)+N209)</f>
        <v/>
      </c>
      <c r="P209" s="40" t="str">
        <f aca="false">IF(B209="","",IF(INDEX(vc_Result,ROW()-4)="OK","OK",IF(H209="Hold","On hold",INDEX(vc_Result,ROW()-4))))</f>
        <v/>
      </c>
      <c r="Q209" s="28" t="str">
        <f aca="false">IF(B209="","",IF(H209="Pay",O209,0))</f>
        <v/>
      </c>
      <c r="R209" s="42" t="n">
        <f aca="false">R208+IF(N(Q209)&gt;0,1,0)</f>
        <v>68</v>
      </c>
    </row>
    <row r="210" customFormat="false" ht="15" hidden="false" customHeight="false" outlineLevel="0" collapsed="false">
      <c r="A210" s="36" t="str">
        <f aca="false">IF(B210="","",ROW()-4)</f>
        <v/>
      </c>
      <c r="B210" s="37"/>
      <c r="C210" s="37"/>
      <c r="D210" s="38"/>
      <c r="E210" s="39"/>
      <c r="F210" s="39"/>
      <c r="G210" s="39"/>
      <c r="H210" s="38"/>
      <c r="I210" s="37"/>
      <c r="J210" s="40" t="str">
        <f aca="false">IF(B210="","",IFERROR(INDEX(cg_ID,MATCH(B210,cg_Name,0)),"Not on roster"))</f>
        <v/>
      </c>
      <c r="K210" s="40" t="str">
        <f aca="false">IF(C210="","",IFERROR(INDEX(cl_ID,MATCH(C210,cl_Name,0)),"Not on roster"))</f>
        <v/>
      </c>
      <c r="L210" s="28" t="str">
        <f aca="false">IF(OR(B210="",D210=""),"",IFERROR(INDEX(rt_Rate,MATCH(D210,rt_Code,0)),0))</f>
        <v/>
      </c>
      <c r="M210" s="28" t="str">
        <f aca="false">IF(OR(B210="",D210=""),"",ROUND(N(F210)*L210,2))</f>
        <v/>
      </c>
      <c r="N210" s="41" t="str">
        <f aca="false">IF(B210="","",ROUND(N(G210)*MileRate,2))</f>
        <v/>
      </c>
      <c r="O210" s="28" t="str">
        <f aca="false">IF(B210="","",N(M210)+N210)</f>
        <v/>
      </c>
      <c r="P210" s="40" t="str">
        <f aca="false">IF(B210="","",IF(INDEX(vc_Result,ROW()-4)="OK","OK",IF(H210="Hold","On hold",INDEX(vc_Result,ROW()-4))))</f>
        <v/>
      </c>
      <c r="Q210" s="28" t="str">
        <f aca="false">IF(B210="","",IF(H210="Pay",O210,0))</f>
        <v/>
      </c>
      <c r="R210" s="42" t="n">
        <f aca="false">R209+IF(N(Q210)&gt;0,1,0)</f>
        <v>68</v>
      </c>
    </row>
    <row r="211" customFormat="false" ht="15" hidden="false" customHeight="false" outlineLevel="0" collapsed="false">
      <c r="A211" s="36" t="str">
        <f aca="false">IF(B211="","",ROW()-4)</f>
        <v/>
      </c>
      <c r="B211" s="37"/>
      <c r="C211" s="37"/>
      <c r="D211" s="38"/>
      <c r="E211" s="39"/>
      <c r="F211" s="39"/>
      <c r="G211" s="39"/>
      <c r="H211" s="38"/>
      <c r="I211" s="37"/>
      <c r="J211" s="40" t="str">
        <f aca="false">IF(B211="","",IFERROR(INDEX(cg_ID,MATCH(B211,cg_Name,0)),"Not on roster"))</f>
        <v/>
      </c>
      <c r="K211" s="40" t="str">
        <f aca="false">IF(C211="","",IFERROR(INDEX(cl_ID,MATCH(C211,cl_Name,0)),"Not on roster"))</f>
        <v/>
      </c>
      <c r="L211" s="28" t="str">
        <f aca="false">IF(OR(B211="",D211=""),"",IFERROR(INDEX(rt_Rate,MATCH(D211,rt_Code,0)),0))</f>
        <v/>
      </c>
      <c r="M211" s="28" t="str">
        <f aca="false">IF(OR(B211="",D211=""),"",ROUND(N(F211)*L211,2))</f>
        <v/>
      </c>
      <c r="N211" s="41" t="str">
        <f aca="false">IF(B211="","",ROUND(N(G211)*MileRate,2))</f>
        <v/>
      </c>
      <c r="O211" s="28" t="str">
        <f aca="false">IF(B211="","",N(M211)+N211)</f>
        <v/>
      </c>
      <c r="P211" s="40" t="str">
        <f aca="false">IF(B211="","",IF(INDEX(vc_Result,ROW()-4)="OK","OK",IF(H211="Hold","On hold",INDEX(vc_Result,ROW()-4))))</f>
        <v/>
      </c>
      <c r="Q211" s="28" t="str">
        <f aca="false">IF(B211="","",IF(H211="Pay",O211,0))</f>
        <v/>
      </c>
      <c r="R211" s="42" t="n">
        <f aca="false">R210+IF(N(Q211)&gt;0,1,0)</f>
        <v>68</v>
      </c>
    </row>
    <row r="212" customFormat="false" ht="15" hidden="false" customHeight="false" outlineLevel="0" collapsed="false">
      <c r="A212" s="36" t="str">
        <f aca="false">IF(B212="","",ROW()-4)</f>
        <v/>
      </c>
      <c r="B212" s="37"/>
      <c r="C212" s="37"/>
      <c r="D212" s="38"/>
      <c r="E212" s="39"/>
      <c r="F212" s="39"/>
      <c r="G212" s="39"/>
      <c r="H212" s="38"/>
      <c r="I212" s="37"/>
      <c r="J212" s="40" t="str">
        <f aca="false">IF(B212="","",IFERROR(INDEX(cg_ID,MATCH(B212,cg_Name,0)),"Not on roster"))</f>
        <v/>
      </c>
      <c r="K212" s="40" t="str">
        <f aca="false">IF(C212="","",IFERROR(INDEX(cl_ID,MATCH(C212,cl_Name,0)),"Not on roster"))</f>
        <v/>
      </c>
      <c r="L212" s="28" t="str">
        <f aca="false">IF(OR(B212="",D212=""),"",IFERROR(INDEX(rt_Rate,MATCH(D212,rt_Code,0)),0))</f>
        <v/>
      </c>
      <c r="M212" s="28" t="str">
        <f aca="false">IF(OR(B212="",D212=""),"",ROUND(N(F212)*L212,2))</f>
        <v/>
      </c>
      <c r="N212" s="41" t="str">
        <f aca="false">IF(B212="","",ROUND(N(G212)*MileRate,2))</f>
        <v/>
      </c>
      <c r="O212" s="28" t="str">
        <f aca="false">IF(B212="","",N(M212)+N212)</f>
        <v/>
      </c>
      <c r="P212" s="40" t="str">
        <f aca="false">IF(B212="","",IF(INDEX(vc_Result,ROW()-4)="OK","OK",IF(H212="Hold","On hold",INDEX(vc_Result,ROW()-4))))</f>
        <v/>
      </c>
      <c r="Q212" s="28" t="str">
        <f aca="false">IF(B212="","",IF(H212="Pay",O212,0))</f>
        <v/>
      </c>
      <c r="R212" s="42" t="n">
        <f aca="false">R211+IF(N(Q212)&gt;0,1,0)</f>
        <v>68</v>
      </c>
    </row>
    <row r="213" customFormat="false" ht="15" hidden="false" customHeight="false" outlineLevel="0" collapsed="false">
      <c r="A213" s="36" t="str">
        <f aca="false">IF(B213="","",ROW()-4)</f>
        <v/>
      </c>
      <c r="B213" s="37"/>
      <c r="C213" s="37"/>
      <c r="D213" s="38"/>
      <c r="E213" s="39"/>
      <c r="F213" s="39"/>
      <c r="G213" s="39"/>
      <c r="H213" s="38"/>
      <c r="I213" s="37"/>
      <c r="J213" s="40" t="str">
        <f aca="false">IF(B213="","",IFERROR(INDEX(cg_ID,MATCH(B213,cg_Name,0)),"Not on roster"))</f>
        <v/>
      </c>
      <c r="K213" s="40" t="str">
        <f aca="false">IF(C213="","",IFERROR(INDEX(cl_ID,MATCH(C213,cl_Name,0)),"Not on roster"))</f>
        <v/>
      </c>
      <c r="L213" s="28" t="str">
        <f aca="false">IF(OR(B213="",D213=""),"",IFERROR(INDEX(rt_Rate,MATCH(D213,rt_Code,0)),0))</f>
        <v/>
      </c>
      <c r="M213" s="28" t="str">
        <f aca="false">IF(OR(B213="",D213=""),"",ROUND(N(F213)*L213,2))</f>
        <v/>
      </c>
      <c r="N213" s="41" t="str">
        <f aca="false">IF(B213="","",ROUND(N(G213)*MileRate,2))</f>
        <v/>
      </c>
      <c r="O213" s="28" t="str">
        <f aca="false">IF(B213="","",N(M213)+N213)</f>
        <v/>
      </c>
      <c r="P213" s="40" t="str">
        <f aca="false">IF(B213="","",IF(INDEX(vc_Result,ROW()-4)="OK","OK",IF(H213="Hold","On hold",INDEX(vc_Result,ROW()-4))))</f>
        <v/>
      </c>
      <c r="Q213" s="28" t="str">
        <f aca="false">IF(B213="","",IF(H213="Pay",O213,0))</f>
        <v/>
      </c>
      <c r="R213" s="42" t="n">
        <f aca="false">R212+IF(N(Q213)&gt;0,1,0)</f>
        <v>68</v>
      </c>
    </row>
    <row r="214" customFormat="false" ht="15" hidden="false" customHeight="false" outlineLevel="0" collapsed="false">
      <c r="A214" s="36" t="str">
        <f aca="false">IF(B214="","",ROW()-4)</f>
        <v/>
      </c>
      <c r="B214" s="37"/>
      <c r="C214" s="37"/>
      <c r="D214" s="38"/>
      <c r="E214" s="39"/>
      <c r="F214" s="39"/>
      <c r="G214" s="39"/>
      <c r="H214" s="38"/>
      <c r="I214" s="37"/>
      <c r="J214" s="40" t="str">
        <f aca="false">IF(B214="","",IFERROR(INDEX(cg_ID,MATCH(B214,cg_Name,0)),"Not on roster"))</f>
        <v/>
      </c>
      <c r="K214" s="40" t="str">
        <f aca="false">IF(C214="","",IFERROR(INDEX(cl_ID,MATCH(C214,cl_Name,0)),"Not on roster"))</f>
        <v/>
      </c>
      <c r="L214" s="28" t="str">
        <f aca="false">IF(OR(B214="",D214=""),"",IFERROR(INDEX(rt_Rate,MATCH(D214,rt_Code,0)),0))</f>
        <v/>
      </c>
      <c r="M214" s="28" t="str">
        <f aca="false">IF(OR(B214="",D214=""),"",ROUND(N(F214)*L214,2))</f>
        <v/>
      </c>
      <c r="N214" s="41" t="str">
        <f aca="false">IF(B214="","",ROUND(N(G214)*MileRate,2))</f>
        <v/>
      </c>
      <c r="O214" s="28" t="str">
        <f aca="false">IF(B214="","",N(M214)+N214)</f>
        <v/>
      </c>
      <c r="P214" s="40" t="str">
        <f aca="false">IF(B214="","",IF(INDEX(vc_Result,ROW()-4)="OK","OK",IF(H214="Hold","On hold",INDEX(vc_Result,ROW()-4))))</f>
        <v/>
      </c>
      <c r="Q214" s="28" t="str">
        <f aca="false">IF(B214="","",IF(H214="Pay",O214,0))</f>
        <v/>
      </c>
      <c r="R214" s="42" t="n">
        <f aca="false">R213+IF(N(Q214)&gt;0,1,0)</f>
        <v>68</v>
      </c>
    </row>
    <row r="215" customFormat="false" ht="15" hidden="false" customHeight="false" outlineLevel="0" collapsed="false">
      <c r="A215" s="36" t="str">
        <f aca="false">IF(B215="","",ROW()-4)</f>
        <v/>
      </c>
      <c r="B215" s="37"/>
      <c r="C215" s="37"/>
      <c r="D215" s="38"/>
      <c r="E215" s="39"/>
      <c r="F215" s="39"/>
      <c r="G215" s="39"/>
      <c r="H215" s="38"/>
      <c r="I215" s="37"/>
      <c r="J215" s="40" t="str">
        <f aca="false">IF(B215="","",IFERROR(INDEX(cg_ID,MATCH(B215,cg_Name,0)),"Not on roster"))</f>
        <v/>
      </c>
      <c r="K215" s="40" t="str">
        <f aca="false">IF(C215="","",IFERROR(INDEX(cl_ID,MATCH(C215,cl_Name,0)),"Not on roster"))</f>
        <v/>
      </c>
      <c r="L215" s="28" t="str">
        <f aca="false">IF(OR(B215="",D215=""),"",IFERROR(INDEX(rt_Rate,MATCH(D215,rt_Code,0)),0))</f>
        <v/>
      </c>
      <c r="M215" s="28" t="str">
        <f aca="false">IF(OR(B215="",D215=""),"",ROUND(N(F215)*L215,2))</f>
        <v/>
      </c>
      <c r="N215" s="41" t="str">
        <f aca="false">IF(B215="","",ROUND(N(G215)*MileRate,2))</f>
        <v/>
      </c>
      <c r="O215" s="28" t="str">
        <f aca="false">IF(B215="","",N(M215)+N215)</f>
        <v/>
      </c>
      <c r="P215" s="40" t="str">
        <f aca="false">IF(B215="","",IF(INDEX(vc_Result,ROW()-4)="OK","OK",IF(H215="Hold","On hold",INDEX(vc_Result,ROW()-4))))</f>
        <v/>
      </c>
      <c r="Q215" s="28" t="str">
        <f aca="false">IF(B215="","",IF(H215="Pay",O215,0))</f>
        <v/>
      </c>
      <c r="R215" s="42" t="n">
        <f aca="false">R214+IF(N(Q215)&gt;0,1,0)</f>
        <v>68</v>
      </c>
    </row>
    <row r="216" customFormat="false" ht="15" hidden="false" customHeight="false" outlineLevel="0" collapsed="false">
      <c r="A216" s="36" t="str">
        <f aca="false">IF(B216="","",ROW()-4)</f>
        <v/>
      </c>
      <c r="B216" s="37"/>
      <c r="C216" s="37"/>
      <c r="D216" s="38"/>
      <c r="E216" s="39"/>
      <c r="F216" s="39"/>
      <c r="G216" s="39"/>
      <c r="H216" s="38"/>
      <c r="I216" s="37"/>
      <c r="J216" s="40" t="str">
        <f aca="false">IF(B216="","",IFERROR(INDEX(cg_ID,MATCH(B216,cg_Name,0)),"Not on roster"))</f>
        <v/>
      </c>
      <c r="K216" s="40" t="str">
        <f aca="false">IF(C216="","",IFERROR(INDEX(cl_ID,MATCH(C216,cl_Name,0)),"Not on roster"))</f>
        <v/>
      </c>
      <c r="L216" s="28" t="str">
        <f aca="false">IF(OR(B216="",D216=""),"",IFERROR(INDEX(rt_Rate,MATCH(D216,rt_Code,0)),0))</f>
        <v/>
      </c>
      <c r="M216" s="28" t="str">
        <f aca="false">IF(OR(B216="",D216=""),"",ROUND(N(F216)*L216,2))</f>
        <v/>
      </c>
      <c r="N216" s="41" t="str">
        <f aca="false">IF(B216="","",ROUND(N(G216)*MileRate,2))</f>
        <v/>
      </c>
      <c r="O216" s="28" t="str">
        <f aca="false">IF(B216="","",N(M216)+N216)</f>
        <v/>
      </c>
      <c r="P216" s="40" t="str">
        <f aca="false">IF(B216="","",IF(INDEX(vc_Result,ROW()-4)="OK","OK",IF(H216="Hold","On hold",INDEX(vc_Result,ROW()-4))))</f>
        <v/>
      </c>
      <c r="Q216" s="28" t="str">
        <f aca="false">IF(B216="","",IF(H216="Pay",O216,0))</f>
        <v/>
      </c>
      <c r="R216" s="42" t="n">
        <f aca="false">R215+IF(N(Q216)&gt;0,1,0)</f>
        <v>68</v>
      </c>
    </row>
    <row r="217" customFormat="false" ht="15" hidden="false" customHeight="false" outlineLevel="0" collapsed="false">
      <c r="A217" s="36" t="str">
        <f aca="false">IF(B217="","",ROW()-4)</f>
        <v/>
      </c>
      <c r="B217" s="37"/>
      <c r="C217" s="37"/>
      <c r="D217" s="38"/>
      <c r="E217" s="39"/>
      <c r="F217" s="39"/>
      <c r="G217" s="39"/>
      <c r="H217" s="38"/>
      <c r="I217" s="37"/>
      <c r="J217" s="40" t="str">
        <f aca="false">IF(B217="","",IFERROR(INDEX(cg_ID,MATCH(B217,cg_Name,0)),"Not on roster"))</f>
        <v/>
      </c>
      <c r="K217" s="40" t="str">
        <f aca="false">IF(C217="","",IFERROR(INDEX(cl_ID,MATCH(C217,cl_Name,0)),"Not on roster"))</f>
        <v/>
      </c>
      <c r="L217" s="28" t="str">
        <f aca="false">IF(OR(B217="",D217=""),"",IFERROR(INDEX(rt_Rate,MATCH(D217,rt_Code,0)),0))</f>
        <v/>
      </c>
      <c r="M217" s="28" t="str">
        <f aca="false">IF(OR(B217="",D217=""),"",ROUND(N(F217)*L217,2))</f>
        <v/>
      </c>
      <c r="N217" s="41" t="str">
        <f aca="false">IF(B217="","",ROUND(N(G217)*MileRate,2))</f>
        <v/>
      </c>
      <c r="O217" s="28" t="str">
        <f aca="false">IF(B217="","",N(M217)+N217)</f>
        <v/>
      </c>
      <c r="P217" s="40" t="str">
        <f aca="false">IF(B217="","",IF(INDEX(vc_Result,ROW()-4)="OK","OK",IF(H217="Hold","On hold",INDEX(vc_Result,ROW()-4))))</f>
        <v/>
      </c>
      <c r="Q217" s="28" t="str">
        <f aca="false">IF(B217="","",IF(H217="Pay",O217,0))</f>
        <v/>
      </c>
      <c r="R217" s="42" t="n">
        <f aca="false">R216+IF(N(Q217)&gt;0,1,0)</f>
        <v>68</v>
      </c>
    </row>
    <row r="218" customFormat="false" ht="15" hidden="false" customHeight="false" outlineLevel="0" collapsed="false">
      <c r="A218" s="36" t="str">
        <f aca="false">IF(B218="","",ROW()-4)</f>
        <v/>
      </c>
      <c r="B218" s="37"/>
      <c r="C218" s="37"/>
      <c r="D218" s="38"/>
      <c r="E218" s="39"/>
      <c r="F218" s="39"/>
      <c r="G218" s="39"/>
      <c r="H218" s="38"/>
      <c r="I218" s="37"/>
      <c r="J218" s="40" t="str">
        <f aca="false">IF(B218="","",IFERROR(INDEX(cg_ID,MATCH(B218,cg_Name,0)),"Not on roster"))</f>
        <v/>
      </c>
      <c r="K218" s="40" t="str">
        <f aca="false">IF(C218="","",IFERROR(INDEX(cl_ID,MATCH(C218,cl_Name,0)),"Not on roster"))</f>
        <v/>
      </c>
      <c r="L218" s="28" t="str">
        <f aca="false">IF(OR(B218="",D218=""),"",IFERROR(INDEX(rt_Rate,MATCH(D218,rt_Code,0)),0))</f>
        <v/>
      </c>
      <c r="M218" s="28" t="str">
        <f aca="false">IF(OR(B218="",D218=""),"",ROUND(N(F218)*L218,2))</f>
        <v/>
      </c>
      <c r="N218" s="41" t="str">
        <f aca="false">IF(B218="","",ROUND(N(G218)*MileRate,2))</f>
        <v/>
      </c>
      <c r="O218" s="28" t="str">
        <f aca="false">IF(B218="","",N(M218)+N218)</f>
        <v/>
      </c>
      <c r="P218" s="40" t="str">
        <f aca="false">IF(B218="","",IF(INDEX(vc_Result,ROW()-4)="OK","OK",IF(H218="Hold","On hold",INDEX(vc_Result,ROW()-4))))</f>
        <v/>
      </c>
      <c r="Q218" s="28" t="str">
        <f aca="false">IF(B218="","",IF(H218="Pay",O218,0))</f>
        <v/>
      </c>
      <c r="R218" s="42" t="n">
        <f aca="false">R217+IF(N(Q218)&gt;0,1,0)</f>
        <v>68</v>
      </c>
    </row>
    <row r="219" customFormat="false" ht="15" hidden="false" customHeight="false" outlineLevel="0" collapsed="false">
      <c r="A219" s="36" t="str">
        <f aca="false">IF(B219="","",ROW()-4)</f>
        <v/>
      </c>
      <c r="B219" s="37"/>
      <c r="C219" s="37"/>
      <c r="D219" s="38"/>
      <c r="E219" s="39"/>
      <c r="F219" s="39"/>
      <c r="G219" s="39"/>
      <c r="H219" s="38"/>
      <c r="I219" s="37"/>
      <c r="J219" s="40" t="str">
        <f aca="false">IF(B219="","",IFERROR(INDEX(cg_ID,MATCH(B219,cg_Name,0)),"Not on roster"))</f>
        <v/>
      </c>
      <c r="K219" s="40" t="str">
        <f aca="false">IF(C219="","",IFERROR(INDEX(cl_ID,MATCH(C219,cl_Name,0)),"Not on roster"))</f>
        <v/>
      </c>
      <c r="L219" s="28" t="str">
        <f aca="false">IF(OR(B219="",D219=""),"",IFERROR(INDEX(rt_Rate,MATCH(D219,rt_Code,0)),0))</f>
        <v/>
      </c>
      <c r="M219" s="28" t="str">
        <f aca="false">IF(OR(B219="",D219=""),"",ROUND(N(F219)*L219,2))</f>
        <v/>
      </c>
      <c r="N219" s="41" t="str">
        <f aca="false">IF(B219="","",ROUND(N(G219)*MileRate,2))</f>
        <v/>
      </c>
      <c r="O219" s="28" t="str">
        <f aca="false">IF(B219="","",N(M219)+N219)</f>
        <v/>
      </c>
      <c r="P219" s="40" t="str">
        <f aca="false">IF(B219="","",IF(INDEX(vc_Result,ROW()-4)="OK","OK",IF(H219="Hold","On hold",INDEX(vc_Result,ROW()-4))))</f>
        <v/>
      </c>
      <c r="Q219" s="28" t="str">
        <f aca="false">IF(B219="","",IF(H219="Pay",O219,0))</f>
        <v/>
      </c>
      <c r="R219" s="42" t="n">
        <f aca="false">R218+IF(N(Q219)&gt;0,1,0)</f>
        <v>68</v>
      </c>
    </row>
    <row r="220" customFormat="false" ht="15" hidden="false" customHeight="false" outlineLevel="0" collapsed="false">
      <c r="A220" s="36" t="str">
        <f aca="false">IF(B220="","",ROW()-4)</f>
        <v/>
      </c>
      <c r="B220" s="37"/>
      <c r="C220" s="37"/>
      <c r="D220" s="38"/>
      <c r="E220" s="39"/>
      <c r="F220" s="39"/>
      <c r="G220" s="39"/>
      <c r="H220" s="38"/>
      <c r="I220" s="37"/>
      <c r="J220" s="40" t="str">
        <f aca="false">IF(B220="","",IFERROR(INDEX(cg_ID,MATCH(B220,cg_Name,0)),"Not on roster"))</f>
        <v/>
      </c>
      <c r="K220" s="40" t="str">
        <f aca="false">IF(C220="","",IFERROR(INDEX(cl_ID,MATCH(C220,cl_Name,0)),"Not on roster"))</f>
        <v/>
      </c>
      <c r="L220" s="28" t="str">
        <f aca="false">IF(OR(B220="",D220=""),"",IFERROR(INDEX(rt_Rate,MATCH(D220,rt_Code,0)),0))</f>
        <v/>
      </c>
      <c r="M220" s="28" t="str">
        <f aca="false">IF(OR(B220="",D220=""),"",ROUND(N(F220)*L220,2))</f>
        <v/>
      </c>
      <c r="N220" s="41" t="str">
        <f aca="false">IF(B220="","",ROUND(N(G220)*MileRate,2))</f>
        <v/>
      </c>
      <c r="O220" s="28" t="str">
        <f aca="false">IF(B220="","",N(M220)+N220)</f>
        <v/>
      </c>
      <c r="P220" s="40" t="str">
        <f aca="false">IF(B220="","",IF(INDEX(vc_Result,ROW()-4)="OK","OK",IF(H220="Hold","On hold",INDEX(vc_Result,ROW()-4))))</f>
        <v/>
      </c>
      <c r="Q220" s="28" t="str">
        <f aca="false">IF(B220="","",IF(H220="Pay",O220,0))</f>
        <v/>
      </c>
      <c r="R220" s="42" t="n">
        <f aca="false">R219+IF(N(Q220)&gt;0,1,0)</f>
        <v>68</v>
      </c>
    </row>
    <row r="221" customFormat="false" ht="15" hidden="false" customHeight="false" outlineLevel="0" collapsed="false">
      <c r="A221" s="36" t="str">
        <f aca="false">IF(B221="","",ROW()-4)</f>
        <v/>
      </c>
      <c r="B221" s="37"/>
      <c r="C221" s="37"/>
      <c r="D221" s="38"/>
      <c r="E221" s="39"/>
      <c r="F221" s="39"/>
      <c r="G221" s="39"/>
      <c r="H221" s="38"/>
      <c r="I221" s="37"/>
      <c r="J221" s="40" t="str">
        <f aca="false">IF(B221="","",IFERROR(INDEX(cg_ID,MATCH(B221,cg_Name,0)),"Not on roster"))</f>
        <v/>
      </c>
      <c r="K221" s="40" t="str">
        <f aca="false">IF(C221="","",IFERROR(INDEX(cl_ID,MATCH(C221,cl_Name,0)),"Not on roster"))</f>
        <v/>
      </c>
      <c r="L221" s="28" t="str">
        <f aca="false">IF(OR(B221="",D221=""),"",IFERROR(INDEX(rt_Rate,MATCH(D221,rt_Code,0)),0))</f>
        <v/>
      </c>
      <c r="M221" s="28" t="str">
        <f aca="false">IF(OR(B221="",D221=""),"",ROUND(N(F221)*L221,2))</f>
        <v/>
      </c>
      <c r="N221" s="41" t="str">
        <f aca="false">IF(B221="","",ROUND(N(G221)*MileRate,2))</f>
        <v/>
      </c>
      <c r="O221" s="28" t="str">
        <f aca="false">IF(B221="","",N(M221)+N221)</f>
        <v/>
      </c>
      <c r="P221" s="40" t="str">
        <f aca="false">IF(B221="","",IF(INDEX(vc_Result,ROW()-4)="OK","OK",IF(H221="Hold","On hold",INDEX(vc_Result,ROW()-4))))</f>
        <v/>
      </c>
      <c r="Q221" s="28" t="str">
        <f aca="false">IF(B221="","",IF(H221="Pay",O221,0))</f>
        <v/>
      </c>
      <c r="R221" s="42" t="n">
        <f aca="false">R220+IF(N(Q221)&gt;0,1,0)</f>
        <v>68</v>
      </c>
    </row>
    <row r="222" customFormat="false" ht="15" hidden="false" customHeight="false" outlineLevel="0" collapsed="false">
      <c r="A222" s="36" t="str">
        <f aca="false">IF(B222="","",ROW()-4)</f>
        <v/>
      </c>
      <c r="B222" s="37"/>
      <c r="C222" s="37"/>
      <c r="D222" s="38"/>
      <c r="E222" s="39"/>
      <c r="F222" s="39"/>
      <c r="G222" s="39"/>
      <c r="H222" s="38"/>
      <c r="I222" s="37"/>
      <c r="J222" s="40" t="str">
        <f aca="false">IF(B222="","",IFERROR(INDEX(cg_ID,MATCH(B222,cg_Name,0)),"Not on roster"))</f>
        <v/>
      </c>
      <c r="K222" s="40" t="str">
        <f aca="false">IF(C222="","",IFERROR(INDEX(cl_ID,MATCH(C222,cl_Name,0)),"Not on roster"))</f>
        <v/>
      </c>
      <c r="L222" s="28" t="str">
        <f aca="false">IF(OR(B222="",D222=""),"",IFERROR(INDEX(rt_Rate,MATCH(D222,rt_Code,0)),0))</f>
        <v/>
      </c>
      <c r="M222" s="28" t="str">
        <f aca="false">IF(OR(B222="",D222=""),"",ROUND(N(F222)*L222,2))</f>
        <v/>
      </c>
      <c r="N222" s="41" t="str">
        <f aca="false">IF(B222="","",ROUND(N(G222)*MileRate,2))</f>
        <v/>
      </c>
      <c r="O222" s="28" t="str">
        <f aca="false">IF(B222="","",N(M222)+N222)</f>
        <v/>
      </c>
      <c r="P222" s="40" t="str">
        <f aca="false">IF(B222="","",IF(INDEX(vc_Result,ROW()-4)="OK","OK",IF(H222="Hold","On hold",INDEX(vc_Result,ROW()-4))))</f>
        <v/>
      </c>
      <c r="Q222" s="28" t="str">
        <f aca="false">IF(B222="","",IF(H222="Pay",O222,0))</f>
        <v/>
      </c>
      <c r="R222" s="42" t="n">
        <f aca="false">R221+IF(N(Q222)&gt;0,1,0)</f>
        <v>68</v>
      </c>
    </row>
    <row r="223" customFormat="false" ht="15" hidden="false" customHeight="false" outlineLevel="0" collapsed="false">
      <c r="A223" s="36" t="str">
        <f aca="false">IF(B223="","",ROW()-4)</f>
        <v/>
      </c>
      <c r="B223" s="37"/>
      <c r="C223" s="37"/>
      <c r="D223" s="38"/>
      <c r="E223" s="39"/>
      <c r="F223" s="39"/>
      <c r="G223" s="39"/>
      <c r="H223" s="38"/>
      <c r="I223" s="37"/>
      <c r="J223" s="40" t="str">
        <f aca="false">IF(B223="","",IFERROR(INDEX(cg_ID,MATCH(B223,cg_Name,0)),"Not on roster"))</f>
        <v/>
      </c>
      <c r="K223" s="40" t="str">
        <f aca="false">IF(C223="","",IFERROR(INDEX(cl_ID,MATCH(C223,cl_Name,0)),"Not on roster"))</f>
        <v/>
      </c>
      <c r="L223" s="28" t="str">
        <f aca="false">IF(OR(B223="",D223=""),"",IFERROR(INDEX(rt_Rate,MATCH(D223,rt_Code,0)),0))</f>
        <v/>
      </c>
      <c r="M223" s="28" t="str">
        <f aca="false">IF(OR(B223="",D223=""),"",ROUND(N(F223)*L223,2))</f>
        <v/>
      </c>
      <c r="N223" s="41" t="str">
        <f aca="false">IF(B223="","",ROUND(N(G223)*MileRate,2))</f>
        <v/>
      </c>
      <c r="O223" s="28" t="str">
        <f aca="false">IF(B223="","",N(M223)+N223)</f>
        <v/>
      </c>
      <c r="P223" s="40" t="str">
        <f aca="false">IF(B223="","",IF(INDEX(vc_Result,ROW()-4)="OK","OK",IF(H223="Hold","On hold",INDEX(vc_Result,ROW()-4))))</f>
        <v/>
      </c>
      <c r="Q223" s="28" t="str">
        <f aca="false">IF(B223="","",IF(H223="Pay",O223,0))</f>
        <v/>
      </c>
      <c r="R223" s="42" t="n">
        <f aca="false">R222+IF(N(Q223)&gt;0,1,0)</f>
        <v>68</v>
      </c>
    </row>
    <row r="224" customFormat="false" ht="15" hidden="false" customHeight="false" outlineLevel="0" collapsed="false">
      <c r="A224" s="36" t="str">
        <f aca="false">IF(B224="","",ROW()-4)</f>
        <v/>
      </c>
      <c r="B224" s="37"/>
      <c r="C224" s="37"/>
      <c r="D224" s="38"/>
      <c r="E224" s="39"/>
      <c r="F224" s="39"/>
      <c r="G224" s="39"/>
      <c r="H224" s="38"/>
      <c r="I224" s="37"/>
      <c r="J224" s="40" t="str">
        <f aca="false">IF(B224="","",IFERROR(INDEX(cg_ID,MATCH(B224,cg_Name,0)),"Not on roster"))</f>
        <v/>
      </c>
      <c r="K224" s="40" t="str">
        <f aca="false">IF(C224="","",IFERROR(INDEX(cl_ID,MATCH(C224,cl_Name,0)),"Not on roster"))</f>
        <v/>
      </c>
      <c r="L224" s="28" t="str">
        <f aca="false">IF(OR(B224="",D224=""),"",IFERROR(INDEX(rt_Rate,MATCH(D224,rt_Code,0)),0))</f>
        <v/>
      </c>
      <c r="M224" s="28" t="str">
        <f aca="false">IF(OR(B224="",D224=""),"",ROUND(N(F224)*L224,2))</f>
        <v/>
      </c>
      <c r="N224" s="41" t="str">
        <f aca="false">IF(B224="","",ROUND(N(G224)*MileRate,2))</f>
        <v/>
      </c>
      <c r="O224" s="28" t="str">
        <f aca="false">IF(B224="","",N(M224)+N224)</f>
        <v/>
      </c>
      <c r="P224" s="40" t="str">
        <f aca="false">IF(B224="","",IF(INDEX(vc_Result,ROW()-4)="OK","OK",IF(H224="Hold","On hold",INDEX(vc_Result,ROW()-4))))</f>
        <v/>
      </c>
      <c r="Q224" s="28" t="str">
        <f aca="false">IF(B224="","",IF(H224="Pay",O224,0))</f>
        <v/>
      </c>
      <c r="R224" s="42" t="n">
        <f aca="false">R223+IF(N(Q224)&gt;0,1,0)</f>
        <v>68</v>
      </c>
    </row>
    <row r="225" customFormat="false" ht="15" hidden="false" customHeight="false" outlineLevel="0" collapsed="false">
      <c r="A225" s="36" t="str">
        <f aca="false">IF(B225="","",ROW()-4)</f>
        <v/>
      </c>
      <c r="B225" s="37"/>
      <c r="C225" s="37"/>
      <c r="D225" s="38"/>
      <c r="E225" s="39"/>
      <c r="F225" s="39"/>
      <c r="G225" s="39"/>
      <c r="H225" s="38"/>
      <c r="I225" s="37"/>
      <c r="J225" s="40" t="str">
        <f aca="false">IF(B225="","",IFERROR(INDEX(cg_ID,MATCH(B225,cg_Name,0)),"Not on roster"))</f>
        <v/>
      </c>
      <c r="K225" s="40" t="str">
        <f aca="false">IF(C225="","",IFERROR(INDEX(cl_ID,MATCH(C225,cl_Name,0)),"Not on roster"))</f>
        <v/>
      </c>
      <c r="L225" s="28" t="str">
        <f aca="false">IF(OR(B225="",D225=""),"",IFERROR(INDEX(rt_Rate,MATCH(D225,rt_Code,0)),0))</f>
        <v/>
      </c>
      <c r="M225" s="28" t="str">
        <f aca="false">IF(OR(B225="",D225=""),"",ROUND(N(F225)*L225,2))</f>
        <v/>
      </c>
      <c r="N225" s="41" t="str">
        <f aca="false">IF(B225="","",ROUND(N(G225)*MileRate,2))</f>
        <v/>
      </c>
      <c r="O225" s="28" t="str">
        <f aca="false">IF(B225="","",N(M225)+N225)</f>
        <v/>
      </c>
      <c r="P225" s="40" t="str">
        <f aca="false">IF(B225="","",IF(INDEX(vc_Result,ROW()-4)="OK","OK",IF(H225="Hold","On hold",INDEX(vc_Result,ROW()-4))))</f>
        <v/>
      </c>
      <c r="Q225" s="28" t="str">
        <f aca="false">IF(B225="","",IF(H225="Pay",O225,0))</f>
        <v/>
      </c>
      <c r="R225" s="42" t="n">
        <f aca="false">R224+IF(N(Q225)&gt;0,1,0)</f>
        <v>68</v>
      </c>
    </row>
    <row r="226" customFormat="false" ht="15" hidden="false" customHeight="false" outlineLevel="0" collapsed="false">
      <c r="A226" s="36" t="str">
        <f aca="false">IF(B226="","",ROW()-4)</f>
        <v/>
      </c>
      <c r="B226" s="37"/>
      <c r="C226" s="37"/>
      <c r="D226" s="38"/>
      <c r="E226" s="39"/>
      <c r="F226" s="39"/>
      <c r="G226" s="39"/>
      <c r="H226" s="38"/>
      <c r="I226" s="37"/>
      <c r="J226" s="40" t="str">
        <f aca="false">IF(B226="","",IFERROR(INDEX(cg_ID,MATCH(B226,cg_Name,0)),"Not on roster"))</f>
        <v/>
      </c>
      <c r="K226" s="40" t="str">
        <f aca="false">IF(C226="","",IFERROR(INDEX(cl_ID,MATCH(C226,cl_Name,0)),"Not on roster"))</f>
        <v/>
      </c>
      <c r="L226" s="28" t="str">
        <f aca="false">IF(OR(B226="",D226=""),"",IFERROR(INDEX(rt_Rate,MATCH(D226,rt_Code,0)),0))</f>
        <v/>
      </c>
      <c r="M226" s="28" t="str">
        <f aca="false">IF(OR(B226="",D226=""),"",ROUND(N(F226)*L226,2))</f>
        <v/>
      </c>
      <c r="N226" s="41" t="str">
        <f aca="false">IF(B226="","",ROUND(N(G226)*MileRate,2))</f>
        <v/>
      </c>
      <c r="O226" s="28" t="str">
        <f aca="false">IF(B226="","",N(M226)+N226)</f>
        <v/>
      </c>
      <c r="P226" s="40" t="str">
        <f aca="false">IF(B226="","",IF(INDEX(vc_Result,ROW()-4)="OK","OK",IF(H226="Hold","On hold",INDEX(vc_Result,ROW()-4))))</f>
        <v/>
      </c>
      <c r="Q226" s="28" t="str">
        <f aca="false">IF(B226="","",IF(H226="Pay",O226,0))</f>
        <v/>
      </c>
      <c r="R226" s="42" t="n">
        <f aca="false">R225+IF(N(Q226)&gt;0,1,0)</f>
        <v>68</v>
      </c>
    </row>
    <row r="227" customFormat="false" ht="15" hidden="false" customHeight="false" outlineLevel="0" collapsed="false">
      <c r="A227" s="36" t="str">
        <f aca="false">IF(B227="","",ROW()-4)</f>
        <v/>
      </c>
      <c r="B227" s="37"/>
      <c r="C227" s="37"/>
      <c r="D227" s="38"/>
      <c r="E227" s="39"/>
      <c r="F227" s="39"/>
      <c r="G227" s="39"/>
      <c r="H227" s="38"/>
      <c r="I227" s="37"/>
      <c r="J227" s="40" t="str">
        <f aca="false">IF(B227="","",IFERROR(INDEX(cg_ID,MATCH(B227,cg_Name,0)),"Not on roster"))</f>
        <v/>
      </c>
      <c r="K227" s="40" t="str">
        <f aca="false">IF(C227="","",IFERROR(INDEX(cl_ID,MATCH(C227,cl_Name,0)),"Not on roster"))</f>
        <v/>
      </c>
      <c r="L227" s="28" t="str">
        <f aca="false">IF(OR(B227="",D227=""),"",IFERROR(INDEX(rt_Rate,MATCH(D227,rt_Code,0)),0))</f>
        <v/>
      </c>
      <c r="M227" s="28" t="str">
        <f aca="false">IF(OR(B227="",D227=""),"",ROUND(N(F227)*L227,2))</f>
        <v/>
      </c>
      <c r="N227" s="41" t="str">
        <f aca="false">IF(B227="","",ROUND(N(G227)*MileRate,2))</f>
        <v/>
      </c>
      <c r="O227" s="28" t="str">
        <f aca="false">IF(B227="","",N(M227)+N227)</f>
        <v/>
      </c>
      <c r="P227" s="40" t="str">
        <f aca="false">IF(B227="","",IF(INDEX(vc_Result,ROW()-4)="OK","OK",IF(H227="Hold","On hold",INDEX(vc_Result,ROW()-4))))</f>
        <v/>
      </c>
      <c r="Q227" s="28" t="str">
        <f aca="false">IF(B227="","",IF(H227="Pay",O227,0))</f>
        <v/>
      </c>
      <c r="R227" s="42" t="n">
        <f aca="false">R226+IF(N(Q227)&gt;0,1,0)</f>
        <v>68</v>
      </c>
    </row>
    <row r="228" customFormat="false" ht="15" hidden="false" customHeight="false" outlineLevel="0" collapsed="false">
      <c r="A228" s="36" t="str">
        <f aca="false">IF(B228="","",ROW()-4)</f>
        <v/>
      </c>
      <c r="B228" s="37"/>
      <c r="C228" s="37"/>
      <c r="D228" s="38"/>
      <c r="E228" s="39"/>
      <c r="F228" s="39"/>
      <c r="G228" s="39"/>
      <c r="H228" s="38"/>
      <c r="I228" s="37"/>
      <c r="J228" s="40" t="str">
        <f aca="false">IF(B228="","",IFERROR(INDEX(cg_ID,MATCH(B228,cg_Name,0)),"Not on roster"))</f>
        <v/>
      </c>
      <c r="K228" s="40" t="str">
        <f aca="false">IF(C228="","",IFERROR(INDEX(cl_ID,MATCH(C228,cl_Name,0)),"Not on roster"))</f>
        <v/>
      </c>
      <c r="L228" s="28" t="str">
        <f aca="false">IF(OR(B228="",D228=""),"",IFERROR(INDEX(rt_Rate,MATCH(D228,rt_Code,0)),0))</f>
        <v/>
      </c>
      <c r="M228" s="28" t="str">
        <f aca="false">IF(OR(B228="",D228=""),"",ROUND(N(F228)*L228,2))</f>
        <v/>
      </c>
      <c r="N228" s="41" t="str">
        <f aca="false">IF(B228="","",ROUND(N(G228)*MileRate,2))</f>
        <v/>
      </c>
      <c r="O228" s="28" t="str">
        <f aca="false">IF(B228="","",N(M228)+N228)</f>
        <v/>
      </c>
      <c r="P228" s="40" t="str">
        <f aca="false">IF(B228="","",IF(INDEX(vc_Result,ROW()-4)="OK","OK",IF(H228="Hold","On hold",INDEX(vc_Result,ROW()-4))))</f>
        <v/>
      </c>
      <c r="Q228" s="28" t="str">
        <f aca="false">IF(B228="","",IF(H228="Pay",O228,0))</f>
        <v/>
      </c>
      <c r="R228" s="42" t="n">
        <f aca="false">R227+IF(N(Q228)&gt;0,1,0)</f>
        <v>68</v>
      </c>
    </row>
    <row r="229" customFormat="false" ht="15" hidden="false" customHeight="false" outlineLevel="0" collapsed="false">
      <c r="A229" s="36" t="str">
        <f aca="false">IF(B229="","",ROW()-4)</f>
        <v/>
      </c>
      <c r="B229" s="37"/>
      <c r="C229" s="37"/>
      <c r="D229" s="38"/>
      <c r="E229" s="39"/>
      <c r="F229" s="39"/>
      <c r="G229" s="39"/>
      <c r="H229" s="38"/>
      <c r="I229" s="37"/>
      <c r="J229" s="40" t="str">
        <f aca="false">IF(B229="","",IFERROR(INDEX(cg_ID,MATCH(B229,cg_Name,0)),"Not on roster"))</f>
        <v/>
      </c>
      <c r="K229" s="40" t="str">
        <f aca="false">IF(C229="","",IFERROR(INDEX(cl_ID,MATCH(C229,cl_Name,0)),"Not on roster"))</f>
        <v/>
      </c>
      <c r="L229" s="28" t="str">
        <f aca="false">IF(OR(B229="",D229=""),"",IFERROR(INDEX(rt_Rate,MATCH(D229,rt_Code,0)),0))</f>
        <v/>
      </c>
      <c r="M229" s="28" t="str">
        <f aca="false">IF(OR(B229="",D229=""),"",ROUND(N(F229)*L229,2))</f>
        <v/>
      </c>
      <c r="N229" s="41" t="str">
        <f aca="false">IF(B229="","",ROUND(N(G229)*MileRate,2))</f>
        <v/>
      </c>
      <c r="O229" s="28" t="str">
        <f aca="false">IF(B229="","",N(M229)+N229)</f>
        <v/>
      </c>
      <c r="P229" s="40" t="str">
        <f aca="false">IF(B229="","",IF(INDEX(vc_Result,ROW()-4)="OK","OK",IF(H229="Hold","On hold",INDEX(vc_Result,ROW()-4))))</f>
        <v/>
      </c>
      <c r="Q229" s="28" t="str">
        <f aca="false">IF(B229="","",IF(H229="Pay",O229,0))</f>
        <v/>
      </c>
      <c r="R229" s="42" t="n">
        <f aca="false">R228+IF(N(Q229)&gt;0,1,0)</f>
        <v>68</v>
      </c>
    </row>
    <row r="230" customFormat="false" ht="15" hidden="false" customHeight="false" outlineLevel="0" collapsed="false">
      <c r="A230" s="36" t="str">
        <f aca="false">IF(B230="","",ROW()-4)</f>
        <v/>
      </c>
      <c r="B230" s="37"/>
      <c r="C230" s="37"/>
      <c r="D230" s="38"/>
      <c r="E230" s="39"/>
      <c r="F230" s="39"/>
      <c r="G230" s="39"/>
      <c r="H230" s="38"/>
      <c r="I230" s="37"/>
      <c r="J230" s="40" t="str">
        <f aca="false">IF(B230="","",IFERROR(INDEX(cg_ID,MATCH(B230,cg_Name,0)),"Not on roster"))</f>
        <v/>
      </c>
      <c r="K230" s="40" t="str">
        <f aca="false">IF(C230="","",IFERROR(INDEX(cl_ID,MATCH(C230,cl_Name,0)),"Not on roster"))</f>
        <v/>
      </c>
      <c r="L230" s="28" t="str">
        <f aca="false">IF(OR(B230="",D230=""),"",IFERROR(INDEX(rt_Rate,MATCH(D230,rt_Code,0)),0))</f>
        <v/>
      </c>
      <c r="M230" s="28" t="str">
        <f aca="false">IF(OR(B230="",D230=""),"",ROUND(N(F230)*L230,2))</f>
        <v/>
      </c>
      <c r="N230" s="41" t="str">
        <f aca="false">IF(B230="","",ROUND(N(G230)*MileRate,2))</f>
        <v/>
      </c>
      <c r="O230" s="28" t="str">
        <f aca="false">IF(B230="","",N(M230)+N230)</f>
        <v/>
      </c>
      <c r="P230" s="40" t="str">
        <f aca="false">IF(B230="","",IF(INDEX(vc_Result,ROW()-4)="OK","OK",IF(H230="Hold","On hold",INDEX(vc_Result,ROW()-4))))</f>
        <v/>
      </c>
      <c r="Q230" s="28" t="str">
        <f aca="false">IF(B230="","",IF(H230="Pay",O230,0))</f>
        <v/>
      </c>
      <c r="R230" s="42" t="n">
        <f aca="false">R229+IF(N(Q230)&gt;0,1,0)</f>
        <v>68</v>
      </c>
    </row>
    <row r="231" customFormat="false" ht="15" hidden="false" customHeight="false" outlineLevel="0" collapsed="false">
      <c r="A231" s="36" t="str">
        <f aca="false">IF(B231="","",ROW()-4)</f>
        <v/>
      </c>
      <c r="B231" s="37"/>
      <c r="C231" s="37"/>
      <c r="D231" s="38"/>
      <c r="E231" s="39"/>
      <c r="F231" s="39"/>
      <c r="G231" s="39"/>
      <c r="H231" s="38"/>
      <c r="I231" s="37"/>
      <c r="J231" s="40" t="str">
        <f aca="false">IF(B231="","",IFERROR(INDEX(cg_ID,MATCH(B231,cg_Name,0)),"Not on roster"))</f>
        <v/>
      </c>
      <c r="K231" s="40" t="str">
        <f aca="false">IF(C231="","",IFERROR(INDEX(cl_ID,MATCH(C231,cl_Name,0)),"Not on roster"))</f>
        <v/>
      </c>
      <c r="L231" s="28" t="str">
        <f aca="false">IF(OR(B231="",D231=""),"",IFERROR(INDEX(rt_Rate,MATCH(D231,rt_Code,0)),0))</f>
        <v/>
      </c>
      <c r="M231" s="28" t="str">
        <f aca="false">IF(OR(B231="",D231=""),"",ROUND(N(F231)*L231,2))</f>
        <v/>
      </c>
      <c r="N231" s="41" t="str">
        <f aca="false">IF(B231="","",ROUND(N(G231)*MileRate,2))</f>
        <v/>
      </c>
      <c r="O231" s="28" t="str">
        <f aca="false">IF(B231="","",N(M231)+N231)</f>
        <v/>
      </c>
      <c r="P231" s="40" t="str">
        <f aca="false">IF(B231="","",IF(INDEX(vc_Result,ROW()-4)="OK","OK",IF(H231="Hold","On hold",INDEX(vc_Result,ROW()-4))))</f>
        <v/>
      </c>
      <c r="Q231" s="28" t="str">
        <f aca="false">IF(B231="","",IF(H231="Pay",O231,0))</f>
        <v/>
      </c>
      <c r="R231" s="42" t="n">
        <f aca="false">R230+IF(N(Q231)&gt;0,1,0)</f>
        <v>68</v>
      </c>
    </row>
    <row r="232" customFormat="false" ht="15" hidden="false" customHeight="false" outlineLevel="0" collapsed="false">
      <c r="A232" s="36" t="str">
        <f aca="false">IF(B232="","",ROW()-4)</f>
        <v/>
      </c>
      <c r="B232" s="37"/>
      <c r="C232" s="37"/>
      <c r="D232" s="38"/>
      <c r="E232" s="39"/>
      <c r="F232" s="39"/>
      <c r="G232" s="39"/>
      <c r="H232" s="38"/>
      <c r="I232" s="37"/>
      <c r="J232" s="40" t="str">
        <f aca="false">IF(B232="","",IFERROR(INDEX(cg_ID,MATCH(B232,cg_Name,0)),"Not on roster"))</f>
        <v/>
      </c>
      <c r="K232" s="40" t="str">
        <f aca="false">IF(C232="","",IFERROR(INDEX(cl_ID,MATCH(C232,cl_Name,0)),"Not on roster"))</f>
        <v/>
      </c>
      <c r="L232" s="28" t="str">
        <f aca="false">IF(OR(B232="",D232=""),"",IFERROR(INDEX(rt_Rate,MATCH(D232,rt_Code,0)),0))</f>
        <v/>
      </c>
      <c r="M232" s="28" t="str">
        <f aca="false">IF(OR(B232="",D232=""),"",ROUND(N(F232)*L232,2))</f>
        <v/>
      </c>
      <c r="N232" s="41" t="str">
        <f aca="false">IF(B232="","",ROUND(N(G232)*MileRate,2))</f>
        <v/>
      </c>
      <c r="O232" s="28" t="str">
        <f aca="false">IF(B232="","",N(M232)+N232)</f>
        <v/>
      </c>
      <c r="P232" s="40" t="str">
        <f aca="false">IF(B232="","",IF(INDEX(vc_Result,ROW()-4)="OK","OK",IF(H232="Hold","On hold",INDEX(vc_Result,ROW()-4))))</f>
        <v/>
      </c>
      <c r="Q232" s="28" t="str">
        <f aca="false">IF(B232="","",IF(H232="Pay",O232,0))</f>
        <v/>
      </c>
      <c r="R232" s="42" t="n">
        <f aca="false">R231+IF(N(Q232)&gt;0,1,0)</f>
        <v>68</v>
      </c>
    </row>
    <row r="233" customFormat="false" ht="15" hidden="false" customHeight="false" outlineLevel="0" collapsed="false">
      <c r="A233" s="36" t="str">
        <f aca="false">IF(B233="","",ROW()-4)</f>
        <v/>
      </c>
      <c r="B233" s="37"/>
      <c r="C233" s="37"/>
      <c r="D233" s="38"/>
      <c r="E233" s="39"/>
      <c r="F233" s="39"/>
      <c r="G233" s="39"/>
      <c r="H233" s="38"/>
      <c r="I233" s="37"/>
      <c r="J233" s="40" t="str">
        <f aca="false">IF(B233="","",IFERROR(INDEX(cg_ID,MATCH(B233,cg_Name,0)),"Not on roster"))</f>
        <v/>
      </c>
      <c r="K233" s="40" t="str">
        <f aca="false">IF(C233="","",IFERROR(INDEX(cl_ID,MATCH(C233,cl_Name,0)),"Not on roster"))</f>
        <v/>
      </c>
      <c r="L233" s="28" t="str">
        <f aca="false">IF(OR(B233="",D233=""),"",IFERROR(INDEX(rt_Rate,MATCH(D233,rt_Code,0)),0))</f>
        <v/>
      </c>
      <c r="M233" s="28" t="str">
        <f aca="false">IF(OR(B233="",D233=""),"",ROUND(N(F233)*L233,2))</f>
        <v/>
      </c>
      <c r="N233" s="41" t="str">
        <f aca="false">IF(B233="","",ROUND(N(G233)*MileRate,2))</f>
        <v/>
      </c>
      <c r="O233" s="28" t="str">
        <f aca="false">IF(B233="","",N(M233)+N233)</f>
        <v/>
      </c>
      <c r="P233" s="40" t="str">
        <f aca="false">IF(B233="","",IF(INDEX(vc_Result,ROW()-4)="OK","OK",IF(H233="Hold","On hold",INDEX(vc_Result,ROW()-4))))</f>
        <v/>
      </c>
      <c r="Q233" s="28" t="str">
        <f aca="false">IF(B233="","",IF(H233="Pay",O233,0))</f>
        <v/>
      </c>
      <c r="R233" s="42" t="n">
        <f aca="false">R232+IF(N(Q233)&gt;0,1,0)</f>
        <v>68</v>
      </c>
    </row>
    <row r="234" customFormat="false" ht="15" hidden="false" customHeight="false" outlineLevel="0" collapsed="false">
      <c r="A234" s="36" t="str">
        <f aca="false">IF(B234="","",ROW()-4)</f>
        <v/>
      </c>
      <c r="B234" s="37"/>
      <c r="C234" s="37"/>
      <c r="D234" s="38"/>
      <c r="E234" s="39"/>
      <c r="F234" s="39"/>
      <c r="G234" s="39"/>
      <c r="H234" s="38"/>
      <c r="I234" s="37"/>
      <c r="J234" s="40" t="str">
        <f aca="false">IF(B234="","",IFERROR(INDEX(cg_ID,MATCH(B234,cg_Name,0)),"Not on roster"))</f>
        <v/>
      </c>
      <c r="K234" s="40" t="str">
        <f aca="false">IF(C234="","",IFERROR(INDEX(cl_ID,MATCH(C234,cl_Name,0)),"Not on roster"))</f>
        <v/>
      </c>
      <c r="L234" s="28" t="str">
        <f aca="false">IF(OR(B234="",D234=""),"",IFERROR(INDEX(rt_Rate,MATCH(D234,rt_Code,0)),0))</f>
        <v/>
      </c>
      <c r="M234" s="28" t="str">
        <f aca="false">IF(OR(B234="",D234=""),"",ROUND(N(F234)*L234,2))</f>
        <v/>
      </c>
      <c r="N234" s="41" t="str">
        <f aca="false">IF(B234="","",ROUND(N(G234)*MileRate,2))</f>
        <v/>
      </c>
      <c r="O234" s="28" t="str">
        <f aca="false">IF(B234="","",N(M234)+N234)</f>
        <v/>
      </c>
      <c r="P234" s="40" t="str">
        <f aca="false">IF(B234="","",IF(INDEX(vc_Result,ROW()-4)="OK","OK",IF(H234="Hold","On hold",INDEX(vc_Result,ROW()-4))))</f>
        <v/>
      </c>
      <c r="Q234" s="28" t="str">
        <f aca="false">IF(B234="","",IF(H234="Pay",O234,0))</f>
        <v/>
      </c>
      <c r="R234" s="42" t="n">
        <f aca="false">R233+IF(N(Q234)&gt;0,1,0)</f>
        <v>68</v>
      </c>
    </row>
    <row r="235" customFormat="false" ht="15" hidden="false" customHeight="false" outlineLevel="0" collapsed="false">
      <c r="A235" s="36" t="str">
        <f aca="false">IF(B235="","",ROW()-4)</f>
        <v/>
      </c>
      <c r="B235" s="37"/>
      <c r="C235" s="37"/>
      <c r="D235" s="38"/>
      <c r="E235" s="39"/>
      <c r="F235" s="39"/>
      <c r="G235" s="39"/>
      <c r="H235" s="38"/>
      <c r="I235" s="37"/>
      <c r="J235" s="40" t="str">
        <f aca="false">IF(B235="","",IFERROR(INDEX(cg_ID,MATCH(B235,cg_Name,0)),"Not on roster"))</f>
        <v/>
      </c>
      <c r="K235" s="40" t="str">
        <f aca="false">IF(C235="","",IFERROR(INDEX(cl_ID,MATCH(C235,cl_Name,0)),"Not on roster"))</f>
        <v/>
      </c>
      <c r="L235" s="28" t="str">
        <f aca="false">IF(OR(B235="",D235=""),"",IFERROR(INDEX(rt_Rate,MATCH(D235,rt_Code,0)),0))</f>
        <v/>
      </c>
      <c r="M235" s="28" t="str">
        <f aca="false">IF(OR(B235="",D235=""),"",ROUND(N(F235)*L235,2))</f>
        <v/>
      </c>
      <c r="N235" s="41" t="str">
        <f aca="false">IF(B235="","",ROUND(N(G235)*MileRate,2))</f>
        <v/>
      </c>
      <c r="O235" s="28" t="str">
        <f aca="false">IF(B235="","",N(M235)+N235)</f>
        <v/>
      </c>
      <c r="P235" s="40" t="str">
        <f aca="false">IF(B235="","",IF(INDEX(vc_Result,ROW()-4)="OK","OK",IF(H235="Hold","On hold",INDEX(vc_Result,ROW()-4))))</f>
        <v/>
      </c>
      <c r="Q235" s="28" t="str">
        <f aca="false">IF(B235="","",IF(H235="Pay",O235,0))</f>
        <v/>
      </c>
      <c r="R235" s="42" t="n">
        <f aca="false">R234+IF(N(Q235)&gt;0,1,0)</f>
        <v>68</v>
      </c>
    </row>
    <row r="236" customFormat="false" ht="15" hidden="false" customHeight="false" outlineLevel="0" collapsed="false">
      <c r="A236" s="36" t="str">
        <f aca="false">IF(B236="","",ROW()-4)</f>
        <v/>
      </c>
      <c r="B236" s="37"/>
      <c r="C236" s="37"/>
      <c r="D236" s="38"/>
      <c r="E236" s="39"/>
      <c r="F236" s="39"/>
      <c r="G236" s="39"/>
      <c r="H236" s="38"/>
      <c r="I236" s="37"/>
      <c r="J236" s="40" t="str">
        <f aca="false">IF(B236="","",IFERROR(INDEX(cg_ID,MATCH(B236,cg_Name,0)),"Not on roster"))</f>
        <v/>
      </c>
      <c r="K236" s="40" t="str">
        <f aca="false">IF(C236="","",IFERROR(INDEX(cl_ID,MATCH(C236,cl_Name,0)),"Not on roster"))</f>
        <v/>
      </c>
      <c r="L236" s="28" t="str">
        <f aca="false">IF(OR(B236="",D236=""),"",IFERROR(INDEX(rt_Rate,MATCH(D236,rt_Code,0)),0))</f>
        <v/>
      </c>
      <c r="M236" s="28" t="str">
        <f aca="false">IF(OR(B236="",D236=""),"",ROUND(N(F236)*L236,2))</f>
        <v/>
      </c>
      <c r="N236" s="41" t="str">
        <f aca="false">IF(B236="","",ROUND(N(G236)*MileRate,2))</f>
        <v/>
      </c>
      <c r="O236" s="28" t="str">
        <f aca="false">IF(B236="","",N(M236)+N236)</f>
        <v/>
      </c>
      <c r="P236" s="40" t="str">
        <f aca="false">IF(B236="","",IF(INDEX(vc_Result,ROW()-4)="OK","OK",IF(H236="Hold","On hold",INDEX(vc_Result,ROW()-4))))</f>
        <v/>
      </c>
      <c r="Q236" s="28" t="str">
        <f aca="false">IF(B236="","",IF(H236="Pay",O236,0))</f>
        <v/>
      </c>
      <c r="R236" s="42" t="n">
        <f aca="false">R235+IF(N(Q236)&gt;0,1,0)</f>
        <v>68</v>
      </c>
    </row>
    <row r="237" customFormat="false" ht="15" hidden="false" customHeight="false" outlineLevel="0" collapsed="false">
      <c r="A237" s="36" t="str">
        <f aca="false">IF(B237="","",ROW()-4)</f>
        <v/>
      </c>
      <c r="B237" s="37"/>
      <c r="C237" s="37"/>
      <c r="D237" s="38"/>
      <c r="E237" s="39"/>
      <c r="F237" s="39"/>
      <c r="G237" s="39"/>
      <c r="H237" s="38"/>
      <c r="I237" s="37"/>
      <c r="J237" s="40" t="str">
        <f aca="false">IF(B237="","",IFERROR(INDEX(cg_ID,MATCH(B237,cg_Name,0)),"Not on roster"))</f>
        <v/>
      </c>
      <c r="K237" s="40" t="str">
        <f aca="false">IF(C237="","",IFERROR(INDEX(cl_ID,MATCH(C237,cl_Name,0)),"Not on roster"))</f>
        <v/>
      </c>
      <c r="L237" s="28" t="str">
        <f aca="false">IF(OR(B237="",D237=""),"",IFERROR(INDEX(rt_Rate,MATCH(D237,rt_Code,0)),0))</f>
        <v/>
      </c>
      <c r="M237" s="28" t="str">
        <f aca="false">IF(OR(B237="",D237=""),"",ROUND(N(F237)*L237,2))</f>
        <v/>
      </c>
      <c r="N237" s="41" t="str">
        <f aca="false">IF(B237="","",ROUND(N(G237)*MileRate,2))</f>
        <v/>
      </c>
      <c r="O237" s="28" t="str">
        <f aca="false">IF(B237="","",N(M237)+N237)</f>
        <v/>
      </c>
      <c r="P237" s="40" t="str">
        <f aca="false">IF(B237="","",IF(INDEX(vc_Result,ROW()-4)="OK","OK",IF(H237="Hold","On hold",INDEX(vc_Result,ROW()-4))))</f>
        <v/>
      </c>
      <c r="Q237" s="28" t="str">
        <f aca="false">IF(B237="","",IF(H237="Pay",O237,0))</f>
        <v/>
      </c>
      <c r="R237" s="42" t="n">
        <f aca="false">R236+IF(N(Q237)&gt;0,1,0)</f>
        <v>68</v>
      </c>
    </row>
    <row r="238" customFormat="false" ht="15" hidden="false" customHeight="false" outlineLevel="0" collapsed="false">
      <c r="A238" s="36" t="str">
        <f aca="false">IF(B238="","",ROW()-4)</f>
        <v/>
      </c>
      <c r="B238" s="37"/>
      <c r="C238" s="37"/>
      <c r="D238" s="38"/>
      <c r="E238" s="39"/>
      <c r="F238" s="39"/>
      <c r="G238" s="39"/>
      <c r="H238" s="38"/>
      <c r="I238" s="37"/>
      <c r="J238" s="40" t="str">
        <f aca="false">IF(B238="","",IFERROR(INDEX(cg_ID,MATCH(B238,cg_Name,0)),"Not on roster"))</f>
        <v/>
      </c>
      <c r="K238" s="40" t="str">
        <f aca="false">IF(C238="","",IFERROR(INDEX(cl_ID,MATCH(C238,cl_Name,0)),"Not on roster"))</f>
        <v/>
      </c>
      <c r="L238" s="28" t="str">
        <f aca="false">IF(OR(B238="",D238=""),"",IFERROR(INDEX(rt_Rate,MATCH(D238,rt_Code,0)),0))</f>
        <v/>
      </c>
      <c r="M238" s="28" t="str">
        <f aca="false">IF(OR(B238="",D238=""),"",ROUND(N(F238)*L238,2))</f>
        <v/>
      </c>
      <c r="N238" s="41" t="str">
        <f aca="false">IF(B238="","",ROUND(N(G238)*MileRate,2))</f>
        <v/>
      </c>
      <c r="O238" s="28" t="str">
        <f aca="false">IF(B238="","",N(M238)+N238)</f>
        <v/>
      </c>
      <c r="P238" s="40" t="str">
        <f aca="false">IF(B238="","",IF(INDEX(vc_Result,ROW()-4)="OK","OK",IF(H238="Hold","On hold",INDEX(vc_Result,ROW()-4))))</f>
        <v/>
      </c>
      <c r="Q238" s="28" t="str">
        <f aca="false">IF(B238="","",IF(H238="Pay",O238,0))</f>
        <v/>
      </c>
      <c r="R238" s="42" t="n">
        <f aca="false">R237+IF(N(Q238)&gt;0,1,0)</f>
        <v>68</v>
      </c>
    </row>
    <row r="239" customFormat="false" ht="15" hidden="false" customHeight="false" outlineLevel="0" collapsed="false">
      <c r="A239" s="36" t="str">
        <f aca="false">IF(B239="","",ROW()-4)</f>
        <v/>
      </c>
      <c r="B239" s="37"/>
      <c r="C239" s="37"/>
      <c r="D239" s="38"/>
      <c r="E239" s="39"/>
      <c r="F239" s="39"/>
      <c r="G239" s="39"/>
      <c r="H239" s="38"/>
      <c r="I239" s="37"/>
      <c r="J239" s="40" t="str">
        <f aca="false">IF(B239="","",IFERROR(INDEX(cg_ID,MATCH(B239,cg_Name,0)),"Not on roster"))</f>
        <v/>
      </c>
      <c r="K239" s="40" t="str">
        <f aca="false">IF(C239="","",IFERROR(INDEX(cl_ID,MATCH(C239,cl_Name,0)),"Not on roster"))</f>
        <v/>
      </c>
      <c r="L239" s="28" t="str">
        <f aca="false">IF(OR(B239="",D239=""),"",IFERROR(INDEX(rt_Rate,MATCH(D239,rt_Code,0)),0))</f>
        <v/>
      </c>
      <c r="M239" s="28" t="str">
        <f aca="false">IF(OR(B239="",D239=""),"",ROUND(N(F239)*L239,2))</f>
        <v/>
      </c>
      <c r="N239" s="41" t="str">
        <f aca="false">IF(B239="","",ROUND(N(G239)*MileRate,2))</f>
        <v/>
      </c>
      <c r="O239" s="28" t="str">
        <f aca="false">IF(B239="","",N(M239)+N239)</f>
        <v/>
      </c>
      <c r="P239" s="40" t="str">
        <f aca="false">IF(B239="","",IF(INDEX(vc_Result,ROW()-4)="OK","OK",IF(H239="Hold","On hold",INDEX(vc_Result,ROW()-4))))</f>
        <v/>
      </c>
      <c r="Q239" s="28" t="str">
        <f aca="false">IF(B239="","",IF(H239="Pay",O239,0))</f>
        <v/>
      </c>
      <c r="R239" s="42" t="n">
        <f aca="false">R238+IF(N(Q239)&gt;0,1,0)</f>
        <v>68</v>
      </c>
    </row>
    <row r="240" customFormat="false" ht="15" hidden="false" customHeight="false" outlineLevel="0" collapsed="false">
      <c r="A240" s="36" t="str">
        <f aca="false">IF(B240="","",ROW()-4)</f>
        <v/>
      </c>
      <c r="B240" s="37"/>
      <c r="C240" s="37"/>
      <c r="D240" s="38"/>
      <c r="E240" s="39"/>
      <c r="F240" s="39"/>
      <c r="G240" s="39"/>
      <c r="H240" s="38"/>
      <c r="I240" s="37"/>
      <c r="J240" s="40" t="str">
        <f aca="false">IF(B240="","",IFERROR(INDEX(cg_ID,MATCH(B240,cg_Name,0)),"Not on roster"))</f>
        <v/>
      </c>
      <c r="K240" s="40" t="str">
        <f aca="false">IF(C240="","",IFERROR(INDEX(cl_ID,MATCH(C240,cl_Name,0)),"Not on roster"))</f>
        <v/>
      </c>
      <c r="L240" s="28" t="str">
        <f aca="false">IF(OR(B240="",D240=""),"",IFERROR(INDEX(rt_Rate,MATCH(D240,rt_Code,0)),0))</f>
        <v/>
      </c>
      <c r="M240" s="28" t="str">
        <f aca="false">IF(OR(B240="",D240=""),"",ROUND(N(F240)*L240,2))</f>
        <v/>
      </c>
      <c r="N240" s="41" t="str">
        <f aca="false">IF(B240="","",ROUND(N(G240)*MileRate,2))</f>
        <v/>
      </c>
      <c r="O240" s="28" t="str">
        <f aca="false">IF(B240="","",N(M240)+N240)</f>
        <v/>
      </c>
      <c r="P240" s="40" t="str">
        <f aca="false">IF(B240="","",IF(INDEX(vc_Result,ROW()-4)="OK","OK",IF(H240="Hold","On hold",INDEX(vc_Result,ROW()-4))))</f>
        <v/>
      </c>
      <c r="Q240" s="28" t="str">
        <f aca="false">IF(B240="","",IF(H240="Pay",O240,0))</f>
        <v/>
      </c>
      <c r="R240" s="42" t="n">
        <f aca="false">R239+IF(N(Q240)&gt;0,1,0)</f>
        <v>68</v>
      </c>
    </row>
    <row r="241" customFormat="false" ht="15" hidden="false" customHeight="false" outlineLevel="0" collapsed="false">
      <c r="A241" s="36" t="str">
        <f aca="false">IF(B241="","",ROW()-4)</f>
        <v/>
      </c>
      <c r="B241" s="37"/>
      <c r="C241" s="37"/>
      <c r="D241" s="38"/>
      <c r="E241" s="39"/>
      <c r="F241" s="39"/>
      <c r="G241" s="39"/>
      <c r="H241" s="38"/>
      <c r="I241" s="37"/>
      <c r="J241" s="40" t="str">
        <f aca="false">IF(B241="","",IFERROR(INDEX(cg_ID,MATCH(B241,cg_Name,0)),"Not on roster"))</f>
        <v/>
      </c>
      <c r="K241" s="40" t="str">
        <f aca="false">IF(C241="","",IFERROR(INDEX(cl_ID,MATCH(C241,cl_Name,0)),"Not on roster"))</f>
        <v/>
      </c>
      <c r="L241" s="28" t="str">
        <f aca="false">IF(OR(B241="",D241=""),"",IFERROR(INDEX(rt_Rate,MATCH(D241,rt_Code,0)),0))</f>
        <v/>
      </c>
      <c r="M241" s="28" t="str">
        <f aca="false">IF(OR(B241="",D241=""),"",ROUND(N(F241)*L241,2))</f>
        <v/>
      </c>
      <c r="N241" s="41" t="str">
        <f aca="false">IF(B241="","",ROUND(N(G241)*MileRate,2))</f>
        <v/>
      </c>
      <c r="O241" s="28" t="str">
        <f aca="false">IF(B241="","",N(M241)+N241)</f>
        <v/>
      </c>
      <c r="P241" s="40" t="str">
        <f aca="false">IF(B241="","",IF(INDEX(vc_Result,ROW()-4)="OK","OK",IF(H241="Hold","On hold",INDEX(vc_Result,ROW()-4))))</f>
        <v/>
      </c>
      <c r="Q241" s="28" t="str">
        <f aca="false">IF(B241="","",IF(H241="Pay",O241,0))</f>
        <v/>
      </c>
      <c r="R241" s="42" t="n">
        <f aca="false">R240+IF(N(Q241)&gt;0,1,0)</f>
        <v>68</v>
      </c>
    </row>
    <row r="242" customFormat="false" ht="15" hidden="false" customHeight="false" outlineLevel="0" collapsed="false">
      <c r="A242" s="36" t="str">
        <f aca="false">IF(B242="","",ROW()-4)</f>
        <v/>
      </c>
      <c r="B242" s="37"/>
      <c r="C242" s="37"/>
      <c r="D242" s="38"/>
      <c r="E242" s="39"/>
      <c r="F242" s="39"/>
      <c r="G242" s="39"/>
      <c r="H242" s="38"/>
      <c r="I242" s="37"/>
      <c r="J242" s="40" t="str">
        <f aca="false">IF(B242="","",IFERROR(INDEX(cg_ID,MATCH(B242,cg_Name,0)),"Not on roster"))</f>
        <v/>
      </c>
      <c r="K242" s="40" t="str">
        <f aca="false">IF(C242="","",IFERROR(INDEX(cl_ID,MATCH(C242,cl_Name,0)),"Not on roster"))</f>
        <v/>
      </c>
      <c r="L242" s="28" t="str">
        <f aca="false">IF(OR(B242="",D242=""),"",IFERROR(INDEX(rt_Rate,MATCH(D242,rt_Code,0)),0))</f>
        <v/>
      </c>
      <c r="M242" s="28" t="str">
        <f aca="false">IF(OR(B242="",D242=""),"",ROUND(N(F242)*L242,2))</f>
        <v/>
      </c>
      <c r="N242" s="41" t="str">
        <f aca="false">IF(B242="","",ROUND(N(G242)*MileRate,2))</f>
        <v/>
      </c>
      <c r="O242" s="28" t="str">
        <f aca="false">IF(B242="","",N(M242)+N242)</f>
        <v/>
      </c>
      <c r="P242" s="40" t="str">
        <f aca="false">IF(B242="","",IF(INDEX(vc_Result,ROW()-4)="OK","OK",IF(H242="Hold","On hold",INDEX(vc_Result,ROW()-4))))</f>
        <v/>
      </c>
      <c r="Q242" s="28" t="str">
        <f aca="false">IF(B242="","",IF(H242="Pay",O242,0))</f>
        <v/>
      </c>
      <c r="R242" s="42" t="n">
        <f aca="false">R241+IF(N(Q242)&gt;0,1,0)</f>
        <v>68</v>
      </c>
    </row>
    <row r="243" customFormat="false" ht="15" hidden="false" customHeight="false" outlineLevel="0" collapsed="false">
      <c r="A243" s="36" t="str">
        <f aca="false">IF(B243="","",ROW()-4)</f>
        <v/>
      </c>
      <c r="B243" s="37"/>
      <c r="C243" s="37"/>
      <c r="D243" s="38"/>
      <c r="E243" s="39"/>
      <c r="F243" s="39"/>
      <c r="G243" s="39"/>
      <c r="H243" s="38"/>
      <c r="I243" s="37"/>
      <c r="J243" s="40" t="str">
        <f aca="false">IF(B243="","",IFERROR(INDEX(cg_ID,MATCH(B243,cg_Name,0)),"Not on roster"))</f>
        <v/>
      </c>
      <c r="K243" s="40" t="str">
        <f aca="false">IF(C243="","",IFERROR(INDEX(cl_ID,MATCH(C243,cl_Name,0)),"Not on roster"))</f>
        <v/>
      </c>
      <c r="L243" s="28" t="str">
        <f aca="false">IF(OR(B243="",D243=""),"",IFERROR(INDEX(rt_Rate,MATCH(D243,rt_Code,0)),0))</f>
        <v/>
      </c>
      <c r="M243" s="28" t="str">
        <f aca="false">IF(OR(B243="",D243=""),"",ROUND(N(F243)*L243,2))</f>
        <v/>
      </c>
      <c r="N243" s="41" t="str">
        <f aca="false">IF(B243="","",ROUND(N(G243)*MileRate,2))</f>
        <v/>
      </c>
      <c r="O243" s="28" t="str">
        <f aca="false">IF(B243="","",N(M243)+N243)</f>
        <v/>
      </c>
      <c r="P243" s="40" t="str">
        <f aca="false">IF(B243="","",IF(INDEX(vc_Result,ROW()-4)="OK","OK",IF(H243="Hold","On hold",INDEX(vc_Result,ROW()-4))))</f>
        <v/>
      </c>
      <c r="Q243" s="28" t="str">
        <f aca="false">IF(B243="","",IF(H243="Pay",O243,0))</f>
        <v/>
      </c>
      <c r="R243" s="42" t="n">
        <f aca="false">R242+IF(N(Q243)&gt;0,1,0)</f>
        <v>68</v>
      </c>
    </row>
    <row r="244" customFormat="false" ht="15" hidden="false" customHeight="false" outlineLevel="0" collapsed="false">
      <c r="A244" s="36" t="str">
        <f aca="false">IF(B244="","",ROW()-4)</f>
        <v/>
      </c>
      <c r="B244" s="37"/>
      <c r="C244" s="37"/>
      <c r="D244" s="38"/>
      <c r="E244" s="39"/>
      <c r="F244" s="39"/>
      <c r="G244" s="39"/>
      <c r="H244" s="38"/>
      <c r="I244" s="37"/>
      <c r="J244" s="40" t="str">
        <f aca="false">IF(B244="","",IFERROR(INDEX(cg_ID,MATCH(B244,cg_Name,0)),"Not on roster"))</f>
        <v/>
      </c>
      <c r="K244" s="40" t="str">
        <f aca="false">IF(C244="","",IFERROR(INDEX(cl_ID,MATCH(C244,cl_Name,0)),"Not on roster"))</f>
        <v/>
      </c>
      <c r="L244" s="28" t="str">
        <f aca="false">IF(OR(B244="",D244=""),"",IFERROR(INDEX(rt_Rate,MATCH(D244,rt_Code,0)),0))</f>
        <v/>
      </c>
      <c r="M244" s="28" t="str">
        <f aca="false">IF(OR(B244="",D244=""),"",ROUND(N(F244)*L244,2))</f>
        <v/>
      </c>
      <c r="N244" s="41" t="str">
        <f aca="false">IF(B244="","",ROUND(N(G244)*MileRate,2))</f>
        <v/>
      </c>
      <c r="O244" s="28" t="str">
        <f aca="false">IF(B244="","",N(M244)+N244)</f>
        <v/>
      </c>
      <c r="P244" s="40" t="str">
        <f aca="false">IF(B244="","",IF(INDEX(vc_Result,ROW()-4)="OK","OK",IF(H244="Hold","On hold",INDEX(vc_Result,ROW()-4))))</f>
        <v/>
      </c>
      <c r="Q244" s="28" t="str">
        <f aca="false">IF(B244="","",IF(H244="Pay",O244,0))</f>
        <v/>
      </c>
      <c r="R244" s="42" t="n">
        <f aca="false">R243+IF(N(Q244)&gt;0,1,0)</f>
        <v>68</v>
      </c>
    </row>
    <row r="245" customFormat="false" ht="15" hidden="false" customHeight="false" outlineLevel="0" collapsed="false">
      <c r="A245" s="36" t="str">
        <f aca="false">IF(B245="","",ROW()-4)</f>
        <v/>
      </c>
      <c r="B245" s="37"/>
      <c r="C245" s="37"/>
      <c r="D245" s="38"/>
      <c r="E245" s="39"/>
      <c r="F245" s="39"/>
      <c r="G245" s="39"/>
      <c r="H245" s="38"/>
      <c r="I245" s="37"/>
      <c r="J245" s="40" t="str">
        <f aca="false">IF(B245="","",IFERROR(INDEX(cg_ID,MATCH(B245,cg_Name,0)),"Not on roster"))</f>
        <v/>
      </c>
      <c r="K245" s="40" t="str">
        <f aca="false">IF(C245="","",IFERROR(INDEX(cl_ID,MATCH(C245,cl_Name,0)),"Not on roster"))</f>
        <v/>
      </c>
      <c r="L245" s="28" t="str">
        <f aca="false">IF(OR(B245="",D245=""),"",IFERROR(INDEX(rt_Rate,MATCH(D245,rt_Code,0)),0))</f>
        <v/>
      </c>
      <c r="M245" s="28" t="str">
        <f aca="false">IF(OR(B245="",D245=""),"",ROUND(N(F245)*L245,2))</f>
        <v/>
      </c>
      <c r="N245" s="41" t="str">
        <f aca="false">IF(B245="","",ROUND(N(G245)*MileRate,2))</f>
        <v/>
      </c>
      <c r="O245" s="28" t="str">
        <f aca="false">IF(B245="","",N(M245)+N245)</f>
        <v/>
      </c>
      <c r="P245" s="40" t="str">
        <f aca="false">IF(B245="","",IF(INDEX(vc_Result,ROW()-4)="OK","OK",IF(H245="Hold","On hold",INDEX(vc_Result,ROW()-4))))</f>
        <v/>
      </c>
      <c r="Q245" s="28" t="str">
        <f aca="false">IF(B245="","",IF(H245="Pay",O245,0))</f>
        <v/>
      </c>
      <c r="R245" s="42" t="n">
        <f aca="false">R244+IF(N(Q245)&gt;0,1,0)</f>
        <v>68</v>
      </c>
    </row>
    <row r="246" customFormat="false" ht="15" hidden="false" customHeight="false" outlineLevel="0" collapsed="false">
      <c r="A246" s="36" t="str">
        <f aca="false">IF(B246="","",ROW()-4)</f>
        <v/>
      </c>
      <c r="B246" s="37"/>
      <c r="C246" s="37"/>
      <c r="D246" s="38"/>
      <c r="E246" s="39"/>
      <c r="F246" s="39"/>
      <c r="G246" s="39"/>
      <c r="H246" s="38"/>
      <c r="I246" s="37"/>
      <c r="J246" s="40" t="str">
        <f aca="false">IF(B246="","",IFERROR(INDEX(cg_ID,MATCH(B246,cg_Name,0)),"Not on roster"))</f>
        <v/>
      </c>
      <c r="K246" s="40" t="str">
        <f aca="false">IF(C246="","",IFERROR(INDEX(cl_ID,MATCH(C246,cl_Name,0)),"Not on roster"))</f>
        <v/>
      </c>
      <c r="L246" s="28" t="str">
        <f aca="false">IF(OR(B246="",D246=""),"",IFERROR(INDEX(rt_Rate,MATCH(D246,rt_Code,0)),0))</f>
        <v/>
      </c>
      <c r="M246" s="28" t="str">
        <f aca="false">IF(OR(B246="",D246=""),"",ROUND(N(F246)*L246,2))</f>
        <v/>
      </c>
      <c r="N246" s="41" t="str">
        <f aca="false">IF(B246="","",ROUND(N(G246)*MileRate,2))</f>
        <v/>
      </c>
      <c r="O246" s="28" t="str">
        <f aca="false">IF(B246="","",N(M246)+N246)</f>
        <v/>
      </c>
      <c r="P246" s="40" t="str">
        <f aca="false">IF(B246="","",IF(INDEX(vc_Result,ROW()-4)="OK","OK",IF(H246="Hold","On hold",INDEX(vc_Result,ROW()-4))))</f>
        <v/>
      </c>
      <c r="Q246" s="28" t="str">
        <f aca="false">IF(B246="","",IF(H246="Pay",O246,0))</f>
        <v/>
      </c>
      <c r="R246" s="42" t="n">
        <f aca="false">R245+IF(N(Q246)&gt;0,1,0)</f>
        <v>68</v>
      </c>
    </row>
    <row r="247" customFormat="false" ht="15" hidden="false" customHeight="false" outlineLevel="0" collapsed="false">
      <c r="A247" s="36" t="str">
        <f aca="false">IF(B247="","",ROW()-4)</f>
        <v/>
      </c>
      <c r="B247" s="37"/>
      <c r="C247" s="37"/>
      <c r="D247" s="38"/>
      <c r="E247" s="39"/>
      <c r="F247" s="39"/>
      <c r="G247" s="39"/>
      <c r="H247" s="38"/>
      <c r="I247" s="37"/>
      <c r="J247" s="40" t="str">
        <f aca="false">IF(B247="","",IFERROR(INDEX(cg_ID,MATCH(B247,cg_Name,0)),"Not on roster"))</f>
        <v/>
      </c>
      <c r="K247" s="40" t="str">
        <f aca="false">IF(C247="","",IFERROR(INDEX(cl_ID,MATCH(C247,cl_Name,0)),"Not on roster"))</f>
        <v/>
      </c>
      <c r="L247" s="28" t="str">
        <f aca="false">IF(OR(B247="",D247=""),"",IFERROR(INDEX(rt_Rate,MATCH(D247,rt_Code,0)),0))</f>
        <v/>
      </c>
      <c r="M247" s="28" t="str">
        <f aca="false">IF(OR(B247="",D247=""),"",ROUND(N(F247)*L247,2))</f>
        <v/>
      </c>
      <c r="N247" s="41" t="str">
        <f aca="false">IF(B247="","",ROUND(N(G247)*MileRate,2))</f>
        <v/>
      </c>
      <c r="O247" s="28" t="str">
        <f aca="false">IF(B247="","",N(M247)+N247)</f>
        <v/>
      </c>
      <c r="P247" s="40" t="str">
        <f aca="false">IF(B247="","",IF(INDEX(vc_Result,ROW()-4)="OK","OK",IF(H247="Hold","On hold",INDEX(vc_Result,ROW()-4))))</f>
        <v/>
      </c>
      <c r="Q247" s="28" t="str">
        <f aca="false">IF(B247="","",IF(H247="Pay",O247,0))</f>
        <v/>
      </c>
      <c r="R247" s="42" t="n">
        <f aca="false">R246+IF(N(Q247)&gt;0,1,0)</f>
        <v>68</v>
      </c>
    </row>
    <row r="248" customFormat="false" ht="15" hidden="false" customHeight="false" outlineLevel="0" collapsed="false">
      <c r="A248" s="36" t="str">
        <f aca="false">IF(B248="","",ROW()-4)</f>
        <v/>
      </c>
      <c r="B248" s="37"/>
      <c r="C248" s="37"/>
      <c r="D248" s="38"/>
      <c r="E248" s="39"/>
      <c r="F248" s="39"/>
      <c r="G248" s="39"/>
      <c r="H248" s="38"/>
      <c r="I248" s="37"/>
      <c r="J248" s="40" t="str">
        <f aca="false">IF(B248="","",IFERROR(INDEX(cg_ID,MATCH(B248,cg_Name,0)),"Not on roster"))</f>
        <v/>
      </c>
      <c r="K248" s="40" t="str">
        <f aca="false">IF(C248="","",IFERROR(INDEX(cl_ID,MATCH(C248,cl_Name,0)),"Not on roster"))</f>
        <v/>
      </c>
      <c r="L248" s="28" t="str">
        <f aca="false">IF(OR(B248="",D248=""),"",IFERROR(INDEX(rt_Rate,MATCH(D248,rt_Code,0)),0))</f>
        <v/>
      </c>
      <c r="M248" s="28" t="str">
        <f aca="false">IF(OR(B248="",D248=""),"",ROUND(N(F248)*L248,2))</f>
        <v/>
      </c>
      <c r="N248" s="41" t="str">
        <f aca="false">IF(B248="","",ROUND(N(G248)*MileRate,2))</f>
        <v/>
      </c>
      <c r="O248" s="28" t="str">
        <f aca="false">IF(B248="","",N(M248)+N248)</f>
        <v/>
      </c>
      <c r="P248" s="40" t="str">
        <f aca="false">IF(B248="","",IF(INDEX(vc_Result,ROW()-4)="OK","OK",IF(H248="Hold","On hold",INDEX(vc_Result,ROW()-4))))</f>
        <v/>
      </c>
      <c r="Q248" s="28" t="str">
        <f aca="false">IF(B248="","",IF(H248="Pay",O248,0))</f>
        <v/>
      </c>
      <c r="R248" s="42" t="n">
        <f aca="false">R247+IF(N(Q248)&gt;0,1,0)</f>
        <v>68</v>
      </c>
    </row>
    <row r="249" customFormat="false" ht="15" hidden="false" customHeight="false" outlineLevel="0" collapsed="false">
      <c r="A249" s="36" t="str">
        <f aca="false">IF(B249="","",ROW()-4)</f>
        <v/>
      </c>
      <c r="B249" s="37"/>
      <c r="C249" s="37"/>
      <c r="D249" s="38"/>
      <c r="E249" s="39"/>
      <c r="F249" s="39"/>
      <c r="G249" s="39"/>
      <c r="H249" s="38"/>
      <c r="I249" s="37"/>
      <c r="J249" s="40" t="str">
        <f aca="false">IF(B249="","",IFERROR(INDEX(cg_ID,MATCH(B249,cg_Name,0)),"Not on roster"))</f>
        <v/>
      </c>
      <c r="K249" s="40" t="str">
        <f aca="false">IF(C249="","",IFERROR(INDEX(cl_ID,MATCH(C249,cl_Name,0)),"Not on roster"))</f>
        <v/>
      </c>
      <c r="L249" s="28" t="str">
        <f aca="false">IF(OR(B249="",D249=""),"",IFERROR(INDEX(rt_Rate,MATCH(D249,rt_Code,0)),0))</f>
        <v/>
      </c>
      <c r="M249" s="28" t="str">
        <f aca="false">IF(OR(B249="",D249=""),"",ROUND(N(F249)*L249,2))</f>
        <v/>
      </c>
      <c r="N249" s="41" t="str">
        <f aca="false">IF(B249="","",ROUND(N(G249)*MileRate,2))</f>
        <v/>
      </c>
      <c r="O249" s="28" t="str">
        <f aca="false">IF(B249="","",N(M249)+N249)</f>
        <v/>
      </c>
      <c r="P249" s="40" t="str">
        <f aca="false">IF(B249="","",IF(INDEX(vc_Result,ROW()-4)="OK","OK",IF(H249="Hold","On hold",INDEX(vc_Result,ROW()-4))))</f>
        <v/>
      </c>
      <c r="Q249" s="28" t="str">
        <f aca="false">IF(B249="","",IF(H249="Pay",O249,0))</f>
        <v/>
      </c>
      <c r="R249" s="42" t="n">
        <f aca="false">R248+IF(N(Q249)&gt;0,1,0)</f>
        <v>68</v>
      </c>
    </row>
    <row r="250" customFormat="false" ht="15" hidden="false" customHeight="false" outlineLevel="0" collapsed="false">
      <c r="A250" s="36" t="str">
        <f aca="false">IF(B250="","",ROW()-4)</f>
        <v/>
      </c>
      <c r="B250" s="37"/>
      <c r="C250" s="37"/>
      <c r="D250" s="38"/>
      <c r="E250" s="39"/>
      <c r="F250" s="39"/>
      <c r="G250" s="39"/>
      <c r="H250" s="38"/>
      <c r="I250" s="37"/>
      <c r="J250" s="40" t="str">
        <f aca="false">IF(B250="","",IFERROR(INDEX(cg_ID,MATCH(B250,cg_Name,0)),"Not on roster"))</f>
        <v/>
      </c>
      <c r="K250" s="40" t="str">
        <f aca="false">IF(C250="","",IFERROR(INDEX(cl_ID,MATCH(C250,cl_Name,0)),"Not on roster"))</f>
        <v/>
      </c>
      <c r="L250" s="28" t="str">
        <f aca="false">IF(OR(B250="",D250=""),"",IFERROR(INDEX(rt_Rate,MATCH(D250,rt_Code,0)),0))</f>
        <v/>
      </c>
      <c r="M250" s="28" t="str">
        <f aca="false">IF(OR(B250="",D250=""),"",ROUND(N(F250)*L250,2))</f>
        <v/>
      </c>
      <c r="N250" s="41" t="str">
        <f aca="false">IF(B250="","",ROUND(N(G250)*MileRate,2))</f>
        <v/>
      </c>
      <c r="O250" s="28" t="str">
        <f aca="false">IF(B250="","",N(M250)+N250)</f>
        <v/>
      </c>
      <c r="P250" s="40" t="str">
        <f aca="false">IF(B250="","",IF(INDEX(vc_Result,ROW()-4)="OK","OK",IF(H250="Hold","On hold",INDEX(vc_Result,ROW()-4))))</f>
        <v/>
      </c>
      <c r="Q250" s="28" t="str">
        <f aca="false">IF(B250="","",IF(H250="Pay",O250,0))</f>
        <v/>
      </c>
      <c r="R250" s="42" t="n">
        <f aca="false">R249+IF(N(Q250)&gt;0,1,0)</f>
        <v>68</v>
      </c>
    </row>
    <row r="251" customFormat="false" ht="15" hidden="false" customHeight="false" outlineLevel="0" collapsed="false">
      <c r="A251" s="36" t="str">
        <f aca="false">IF(B251="","",ROW()-4)</f>
        <v/>
      </c>
      <c r="B251" s="37"/>
      <c r="C251" s="37"/>
      <c r="D251" s="38"/>
      <c r="E251" s="39"/>
      <c r="F251" s="39"/>
      <c r="G251" s="39"/>
      <c r="H251" s="38"/>
      <c r="I251" s="37"/>
      <c r="J251" s="40" t="str">
        <f aca="false">IF(B251="","",IFERROR(INDEX(cg_ID,MATCH(B251,cg_Name,0)),"Not on roster"))</f>
        <v/>
      </c>
      <c r="K251" s="40" t="str">
        <f aca="false">IF(C251="","",IFERROR(INDEX(cl_ID,MATCH(C251,cl_Name,0)),"Not on roster"))</f>
        <v/>
      </c>
      <c r="L251" s="28" t="str">
        <f aca="false">IF(OR(B251="",D251=""),"",IFERROR(INDEX(rt_Rate,MATCH(D251,rt_Code,0)),0))</f>
        <v/>
      </c>
      <c r="M251" s="28" t="str">
        <f aca="false">IF(OR(B251="",D251=""),"",ROUND(N(F251)*L251,2))</f>
        <v/>
      </c>
      <c r="N251" s="41" t="str">
        <f aca="false">IF(B251="","",ROUND(N(G251)*MileRate,2))</f>
        <v/>
      </c>
      <c r="O251" s="28" t="str">
        <f aca="false">IF(B251="","",N(M251)+N251)</f>
        <v/>
      </c>
      <c r="P251" s="40" t="str">
        <f aca="false">IF(B251="","",IF(INDEX(vc_Result,ROW()-4)="OK","OK",IF(H251="Hold","On hold",INDEX(vc_Result,ROW()-4))))</f>
        <v/>
      </c>
      <c r="Q251" s="28" t="str">
        <f aca="false">IF(B251="","",IF(H251="Pay",O251,0))</f>
        <v/>
      </c>
      <c r="R251" s="42" t="n">
        <f aca="false">R250+IF(N(Q251)&gt;0,1,0)</f>
        <v>68</v>
      </c>
    </row>
    <row r="252" customFormat="false" ht="15" hidden="false" customHeight="false" outlineLevel="0" collapsed="false">
      <c r="A252" s="36" t="str">
        <f aca="false">IF(B252="","",ROW()-4)</f>
        <v/>
      </c>
      <c r="B252" s="37"/>
      <c r="C252" s="37"/>
      <c r="D252" s="38"/>
      <c r="E252" s="39"/>
      <c r="F252" s="39"/>
      <c r="G252" s="39"/>
      <c r="H252" s="38"/>
      <c r="I252" s="37"/>
      <c r="J252" s="40" t="str">
        <f aca="false">IF(B252="","",IFERROR(INDEX(cg_ID,MATCH(B252,cg_Name,0)),"Not on roster"))</f>
        <v/>
      </c>
      <c r="K252" s="40" t="str">
        <f aca="false">IF(C252="","",IFERROR(INDEX(cl_ID,MATCH(C252,cl_Name,0)),"Not on roster"))</f>
        <v/>
      </c>
      <c r="L252" s="28" t="str">
        <f aca="false">IF(OR(B252="",D252=""),"",IFERROR(INDEX(rt_Rate,MATCH(D252,rt_Code,0)),0))</f>
        <v/>
      </c>
      <c r="M252" s="28" t="str">
        <f aca="false">IF(OR(B252="",D252=""),"",ROUND(N(F252)*L252,2))</f>
        <v/>
      </c>
      <c r="N252" s="41" t="str">
        <f aca="false">IF(B252="","",ROUND(N(G252)*MileRate,2))</f>
        <v/>
      </c>
      <c r="O252" s="28" t="str">
        <f aca="false">IF(B252="","",N(M252)+N252)</f>
        <v/>
      </c>
      <c r="P252" s="40" t="str">
        <f aca="false">IF(B252="","",IF(INDEX(vc_Result,ROW()-4)="OK","OK",IF(H252="Hold","On hold",INDEX(vc_Result,ROW()-4))))</f>
        <v/>
      </c>
      <c r="Q252" s="28" t="str">
        <f aca="false">IF(B252="","",IF(H252="Pay",O252,0))</f>
        <v/>
      </c>
      <c r="R252" s="42" t="n">
        <f aca="false">R251+IF(N(Q252)&gt;0,1,0)</f>
        <v>68</v>
      </c>
    </row>
    <row r="253" customFormat="false" ht="15" hidden="false" customHeight="false" outlineLevel="0" collapsed="false">
      <c r="A253" s="36" t="str">
        <f aca="false">IF(B253="","",ROW()-4)</f>
        <v/>
      </c>
      <c r="B253" s="37"/>
      <c r="C253" s="37"/>
      <c r="D253" s="38"/>
      <c r="E253" s="39"/>
      <c r="F253" s="39"/>
      <c r="G253" s="39"/>
      <c r="H253" s="38"/>
      <c r="I253" s="37"/>
      <c r="J253" s="40" t="str">
        <f aca="false">IF(B253="","",IFERROR(INDEX(cg_ID,MATCH(B253,cg_Name,0)),"Not on roster"))</f>
        <v/>
      </c>
      <c r="K253" s="40" t="str">
        <f aca="false">IF(C253="","",IFERROR(INDEX(cl_ID,MATCH(C253,cl_Name,0)),"Not on roster"))</f>
        <v/>
      </c>
      <c r="L253" s="28" t="str">
        <f aca="false">IF(OR(B253="",D253=""),"",IFERROR(INDEX(rt_Rate,MATCH(D253,rt_Code,0)),0))</f>
        <v/>
      </c>
      <c r="M253" s="28" t="str">
        <f aca="false">IF(OR(B253="",D253=""),"",ROUND(N(F253)*L253,2))</f>
        <v/>
      </c>
      <c r="N253" s="41" t="str">
        <f aca="false">IF(B253="","",ROUND(N(G253)*MileRate,2))</f>
        <v/>
      </c>
      <c r="O253" s="28" t="str">
        <f aca="false">IF(B253="","",N(M253)+N253)</f>
        <v/>
      </c>
      <c r="P253" s="40" t="str">
        <f aca="false">IF(B253="","",IF(INDEX(vc_Result,ROW()-4)="OK","OK",IF(H253="Hold","On hold",INDEX(vc_Result,ROW()-4))))</f>
        <v/>
      </c>
      <c r="Q253" s="28" t="str">
        <f aca="false">IF(B253="","",IF(H253="Pay",O253,0))</f>
        <v/>
      </c>
      <c r="R253" s="42" t="n">
        <f aca="false">R252+IF(N(Q253)&gt;0,1,0)</f>
        <v>68</v>
      </c>
    </row>
    <row r="254" customFormat="false" ht="15" hidden="false" customHeight="false" outlineLevel="0" collapsed="false">
      <c r="A254" s="36" t="str">
        <f aca="false">IF(B254="","",ROW()-4)</f>
        <v/>
      </c>
      <c r="B254" s="37"/>
      <c r="C254" s="37"/>
      <c r="D254" s="38"/>
      <c r="E254" s="39"/>
      <c r="F254" s="39"/>
      <c r="G254" s="39"/>
      <c r="H254" s="38"/>
      <c r="I254" s="37"/>
      <c r="J254" s="40" t="str">
        <f aca="false">IF(B254="","",IFERROR(INDEX(cg_ID,MATCH(B254,cg_Name,0)),"Not on roster"))</f>
        <v/>
      </c>
      <c r="K254" s="40" t="str">
        <f aca="false">IF(C254="","",IFERROR(INDEX(cl_ID,MATCH(C254,cl_Name,0)),"Not on roster"))</f>
        <v/>
      </c>
      <c r="L254" s="28" t="str">
        <f aca="false">IF(OR(B254="",D254=""),"",IFERROR(INDEX(rt_Rate,MATCH(D254,rt_Code,0)),0))</f>
        <v/>
      </c>
      <c r="M254" s="28" t="str">
        <f aca="false">IF(OR(B254="",D254=""),"",ROUND(N(F254)*L254,2))</f>
        <v/>
      </c>
      <c r="N254" s="41" t="str">
        <f aca="false">IF(B254="","",ROUND(N(G254)*MileRate,2))</f>
        <v/>
      </c>
      <c r="O254" s="28" t="str">
        <f aca="false">IF(B254="","",N(M254)+N254)</f>
        <v/>
      </c>
      <c r="P254" s="40" t="str">
        <f aca="false">IF(B254="","",IF(INDEX(vc_Result,ROW()-4)="OK","OK",IF(H254="Hold","On hold",INDEX(vc_Result,ROW()-4))))</f>
        <v/>
      </c>
      <c r="Q254" s="28" t="str">
        <f aca="false">IF(B254="","",IF(H254="Pay",O254,0))</f>
        <v/>
      </c>
      <c r="R254" s="42" t="n">
        <f aca="false">R253+IF(N(Q254)&gt;0,1,0)</f>
        <v>68</v>
      </c>
    </row>
  </sheetData>
  <sheetProtection sheet="true" formatColumns="false" formatRows="false" sort="false" autoFilter="false"/>
  <autoFilter ref="A4:Q254"/>
  <mergeCells count="2">
    <mergeCell ref="B3:I3"/>
    <mergeCell ref="J3:Q3"/>
  </mergeCells>
  <conditionalFormatting sqref="P5:P254">
    <cfRule type="expression" priority="2" aboveAverage="0" equalAverage="0" bottom="0" percent="0" rank="0" text="" dxfId="16">
      <formula>$P5="OK"</formula>
    </cfRule>
    <cfRule type="expression" priority="3" aboveAverage="0" equalAverage="0" bottom="0" percent="0" rank="0" text="" dxfId="17">
      <formula>$P5="On hold"</formula>
    </cfRule>
    <cfRule type="expression" priority="4" aboveAverage="0" equalAverage="0" bottom="0" percent="0" rank="0" text="" dxfId="1">
      <formula>AND($P5&lt;&gt;"",$P5&lt;&gt;"OK",$P5&lt;&gt;"On hold")</formula>
    </cfRule>
  </conditionalFormatting>
  <conditionalFormatting sqref="J5:K254">
    <cfRule type="expression" priority="5" aboveAverage="0" equalAverage="0" bottom="0" percent="0" rank="0" text="" dxfId="18">
      <formula>J5="Not on roster"</formula>
    </cfRule>
  </conditionalFormatting>
  <conditionalFormatting sqref="H5:H254">
    <cfRule type="expression" priority="6" aboveAverage="0" equalAverage="0" bottom="0" percent="0" rank="0" text="" dxfId="19">
      <formula>$H5="Hold"</formula>
    </cfRule>
  </conditionalFormatting>
  <dataValidations count="7">
    <dataValidation allowBlank="true" error="Pick a value from the list." errorStyle="stop" errorTitle="Not on the list" operator="between" showDropDown="false" showErrorMessage="true" showInputMessage="false" sqref="B5:B254" type="list">
      <formula1>CaregiverNames</formula1>
      <formula2>0</formula2>
    </dataValidation>
    <dataValidation allowBlank="true" error="Pick a value from the list." errorStyle="stop" errorTitle="Not on the list" operator="between" showDropDown="false" showErrorMessage="true" showInputMessage="false" sqref="C5:C254" type="list">
      <formula1>ClientNames</formula1>
      <formula2>0</formula2>
    </dataValidation>
    <dataValidation allowBlank="true" error="Pick a value from the list." errorStyle="stop" errorTitle="Not on the list" operator="between" showDropDown="false" showErrorMessage="true" showInputMessage="false" sqref="D5:D254" type="list">
      <formula1>rt_Code</formula1>
      <formula2>0</formula2>
    </dataValidation>
    <dataValidation allowBlank="true" error="Service days must be a whole number from 0 to 7." errorStyle="stop" errorTitle="Check the number" operator="between" showDropDown="false" showErrorMessage="true" showInputMessage="false" sqref="E5:E254" type="whole">
      <formula1>0</formula1>
      <formula2>7</formula2>
    </dataValidation>
    <dataValidation allowBlank="true" error="Units must be between 0 and 200." errorStyle="stop" errorTitle="Check the number" operator="between" showDropDown="false" showErrorMessage="true" showInputMessage="false" sqref="F5:F254" type="decimal">
      <formula1>0</formula1>
      <formula2>200</formula2>
    </dataValidation>
    <dataValidation allowBlank="true" error="Miles must be between 0 and 300." errorStyle="stop" errorTitle="Check the number" operator="between" showDropDown="false" showErrorMessage="true" showInputMessage="false" sqref="G5:G254" type="decimal">
      <formula1>0</formula1>
      <formula2>300</formula2>
    </dataValidation>
    <dataValidation allowBlank="true" error="Pick a value from the list." errorStyle="stop" errorTitle="Not on the list" operator="between" prompt="Choose Hold to keep a line out of the bank and accounting files." showDropDown="false" showErrorMessage="true" showInputMessage="true" sqref="H5:H254" type="list">
      <formula1>PayStatusList</formula1>
      <formula2>0</formula2>
    </dataValidation>
  </dataValidations>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6F84"/>
    <pageSetUpPr fitToPage="true"/>
  </sheetPr>
  <dimension ref="A1:M2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1"/>
    <col collapsed="false" customWidth="true" hidden="false" outlineLevel="0" max="3" min="3" style="0" width="17"/>
    <col collapsed="false" customWidth="true" hidden="false" outlineLevel="0" max="4" min="4" style="0" width="8"/>
    <col collapsed="false" customWidth="true" hidden="false" outlineLevel="0" max="6" min="5" style="0" width="9"/>
    <col collapsed="false" customWidth="true" hidden="false" outlineLevel="0" max="8" min="7" style="0" width="10"/>
    <col collapsed="false" customWidth="true" hidden="false" outlineLevel="0" max="9" min="9" style="0" width="11"/>
    <col collapsed="false" customWidth="true" hidden="false" outlineLevel="0" max="10" min="10" style="0" width="12"/>
    <col collapsed="false" customWidth="true" hidden="false" outlineLevel="0" max="11" min="11" style="0" width="9"/>
    <col collapsed="false" customWidth="true" hidden="false" outlineLevel="0" max="13" min="12" style="0" width="20"/>
  </cols>
  <sheetData>
    <row r="1" customFormat="false" ht="33.75" hidden="false" customHeight="true" outlineLevel="0" collapsed="false">
      <c r="A1" s="1" t="s">
        <v>105</v>
      </c>
    </row>
    <row r="2" customFormat="false" ht="18" hidden="false" customHeight="true" outlineLevel="0" collapsed="false">
      <c r="A2" s="30" t="s">
        <v>196</v>
      </c>
    </row>
    <row r="4" customFormat="false" ht="15" hidden="false" customHeight="false" outlineLevel="0" collapsed="false">
      <c r="B4" s="43" t="s">
        <v>197</v>
      </c>
      <c r="C4" s="43" t="s">
        <v>198</v>
      </c>
      <c r="E4" s="43" t="s">
        <v>199</v>
      </c>
      <c r="G4" s="43" t="s">
        <v>80</v>
      </c>
      <c r="I4" s="43" t="s">
        <v>200</v>
      </c>
      <c r="L4" s="43" t="s">
        <v>201</v>
      </c>
    </row>
    <row r="5" customFormat="false" ht="24" hidden="false" customHeight="true" outlineLevel="0" collapsed="false">
      <c r="B5" s="44" t="n">
        <f aca="false">COUNT(A9:A258)</f>
        <v>69</v>
      </c>
      <c r="C5" s="44" t="n">
        <f aca="false">COUNTIF(L9:L258,"OK")</f>
        <v>66</v>
      </c>
      <c r="E5" s="44" t="n">
        <f aca="false">COUNTIF(M9:M258,"Review before paying")</f>
        <v>2</v>
      </c>
      <c r="G5" s="44" t="n">
        <f aca="false">COUNTIF(M9:M258,"On hold")</f>
        <v>1</v>
      </c>
      <c r="I5" s="44" t="n">
        <f aca="false">SUMIFS(I9:I258,K9:K258,"Pay")</f>
        <v>76</v>
      </c>
      <c r="L5" s="44" t="n">
        <f aca="false">COUNTIF(vis_Entered,"Not entered")</f>
        <v>5</v>
      </c>
    </row>
    <row r="6" customFormat="false" ht="15" hidden="false" customHeight="false" outlineLevel="0" collapsed="false">
      <c r="B6" s="29" t="s">
        <v>202</v>
      </c>
    </row>
    <row r="8" customFormat="false" ht="31.5" hidden="false" customHeight="true" outlineLevel="0" collapsed="false">
      <c r="A8" s="34" t="s">
        <v>91</v>
      </c>
      <c r="B8" s="34" t="s">
        <v>92</v>
      </c>
      <c r="C8" s="34" t="s">
        <v>93</v>
      </c>
      <c r="D8" s="34" t="s">
        <v>94</v>
      </c>
      <c r="E8" s="34" t="s">
        <v>203</v>
      </c>
      <c r="F8" s="34" t="s">
        <v>204</v>
      </c>
      <c r="G8" s="34" t="s">
        <v>205</v>
      </c>
      <c r="H8" s="34" t="s">
        <v>206</v>
      </c>
      <c r="I8" s="34" t="s">
        <v>207</v>
      </c>
      <c r="J8" s="34" t="s">
        <v>208</v>
      </c>
      <c r="K8" s="34" t="s">
        <v>98</v>
      </c>
      <c r="L8" s="34" t="s">
        <v>209</v>
      </c>
      <c r="M8" s="34" t="s">
        <v>210</v>
      </c>
    </row>
    <row r="9" customFormat="false" ht="15" hidden="false" customHeight="false" outlineLevel="0" collapsed="false">
      <c r="A9" s="36" t="n">
        <f aca="false">IF(INPUT!B5="","",INPUT!A5)</f>
        <v>1</v>
      </c>
      <c r="B9" s="26" t="str">
        <f aca="false">IF(A9="","",INPUT!B5)</f>
        <v>Kendra Acosta</v>
      </c>
      <c r="C9" s="26" t="str">
        <f aca="false">IF(A9="","",INPUT!C5)</f>
        <v>Chandler, L.</v>
      </c>
      <c r="D9" s="40" t="str">
        <f aca="false">IF(A9="","",INPUT!D5)</f>
        <v>CO</v>
      </c>
      <c r="E9" s="27" t="n">
        <f aca="false">IF(A9="","",N(INPUT!E5))</f>
        <v>5</v>
      </c>
      <c r="F9" s="27" t="n">
        <f aca="false">IF(A9="","",N(INPUT!F5))</f>
        <v>68</v>
      </c>
      <c r="G9" s="27" t="n">
        <f aca="false">IF(A9="","",COUNTIFS(vis_CGID,INPUT!J5,vis_ClientID,INPUT!K5,vis_Svc,D9,vis_Status,"Verified",vis_InWeek,"Yes"))</f>
        <v>5</v>
      </c>
      <c r="H9" s="27" t="n">
        <f aca="false">IF(A9="","",SUMIFS(vis_Units,vis_CGID,INPUT!J5,vis_ClientID,INPUT!K5,vis_Svc,D9,vis_Status,"Verified",vis_InWeek,"Yes"))</f>
        <v>68</v>
      </c>
      <c r="I9" s="45" t="n">
        <f aca="false">IF(A9="","",MAX(0,F9-H9))</f>
        <v>0</v>
      </c>
      <c r="J9" s="41" t="n">
        <f aca="false">IF(A9="","",ROUND(I9*N(INPUT!L5),2))</f>
        <v>0</v>
      </c>
      <c r="K9" s="40" t="str">
        <f aca="false">IF(A9="","",INPUT!H5)</f>
        <v>Pay</v>
      </c>
      <c r="L9" s="40" t="str">
        <f aca="false">IF(A9="","",IF(G9=0,"No matching visits",IF(I9&gt;0,"Units exceed visits",IF(E9&lt;&gt;G9,"Day count differs","OK"))))</f>
        <v>OK</v>
      </c>
      <c r="M9" s="40" t="str">
        <f aca="false">IF(A9="","",IF(L9="OK","",IF(K9="Hold","On hold","Review before paying")))</f>
        <v/>
      </c>
    </row>
    <row r="10" customFormat="false" ht="15" hidden="false" customHeight="false" outlineLevel="0" collapsed="false">
      <c r="A10" s="36" t="n">
        <f aca="false">IF(INPUT!B6="","",INPUT!A6)</f>
        <v>2</v>
      </c>
      <c r="B10" s="26" t="str">
        <f aca="false">IF(A10="","",INPUT!B6)</f>
        <v>Kendra Acosta</v>
      </c>
      <c r="C10" s="26" t="str">
        <f aca="false">IF(A10="","",INPUT!C6)</f>
        <v>Lacy, R.</v>
      </c>
      <c r="D10" s="40" t="str">
        <f aca="false">IF(A10="","",INPUT!D6)</f>
        <v>PC</v>
      </c>
      <c r="E10" s="27" t="n">
        <f aca="false">IF(A10="","",N(INPUT!E6))</f>
        <v>4</v>
      </c>
      <c r="F10" s="27" t="n">
        <f aca="false">IF(A10="","",N(INPUT!F6))</f>
        <v>46</v>
      </c>
      <c r="G10" s="27" t="n">
        <f aca="false">IF(A10="","",COUNTIFS(vis_CGID,INPUT!J6,vis_ClientID,INPUT!K6,vis_Svc,D10,vis_Status,"Verified",vis_InWeek,"Yes"))</f>
        <v>4</v>
      </c>
      <c r="H10" s="27" t="n">
        <f aca="false">IF(A10="","",SUMIFS(vis_Units,vis_CGID,INPUT!J6,vis_ClientID,INPUT!K6,vis_Svc,D10,vis_Status,"Verified",vis_InWeek,"Yes"))</f>
        <v>46</v>
      </c>
      <c r="I10" s="45" t="n">
        <f aca="false">IF(A10="","",MAX(0,F10-H10))</f>
        <v>0</v>
      </c>
      <c r="J10" s="41" t="n">
        <f aca="false">IF(A10="","",ROUND(I10*N(INPUT!L6),2))</f>
        <v>0</v>
      </c>
      <c r="K10" s="40" t="str">
        <f aca="false">IF(A10="","",INPUT!H6)</f>
        <v>Pay</v>
      </c>
      <c r="L10" s="40" t="str">
        <f aca="false">IF(A10="","",IF(G10=0,"No matching visits",IF(I10&gt;0,"Units exceed visits",IF(E10&lt;&gt;G10,"Day count differs","OK"))))</f>
        <v>OK</v>
      </c>
      <c r="M10" s="40" t="str">
        <f aca="false">IF(A10="","",IF(L10="OK","",IF(K10="Hold","On hold","Review before paying")))</f>
        <v/>
      </c>
    </row>
    <row r="11" customFormat="false" ht="15" hidden="false" customHeight="false" outlineLevel="0" collapsed="false">
      <c r="A11" s="36" t="n">
        <f aca="false">IF(INPUT!B7="","",INPUT!A7)</f>
        <v>3</v>
      </c>
      <c r="B11" s="26" t="str">
        <f aca="false">IF(A11="","",INPUT!B7)</f>
        <v>Kendra Acosta</v>
      </c>
      <c r="C11" s="26" t="str">
        <f aca="false">IF(A11="","",INPUT!C7)</f>
        <v>Macias, F.</v>
      </c>
      <c r="D11" s="40" t="str">
        <f aca="false">IF(A11="","",INPUT!D7)</f>
        <v>CO</v>
      </c>
      <c r="E11" s="27" t="n">
        <f aca="false">IF(A11="","",N(INPUT!E7))</f>
        <v>5</v>
      </c>
      <c r="F11" s="27" t="n">
        <f aca="false">IF(A11="","",N(INPUT!F7))</f>
        <v>58</v>
      </c>
      <c r="G11" s="27" t="n">
        <f aca="false">IF(A11="","",COUNTIFS(vis_CGID,INPUT!J7,vis_ClientID,INPUT!K7,vis_Svc,D11,vis_Status,"Verified",vis_InWeek,"Yes"))</f>
        <v>5</v>
      </c>
      <c r="H11" s="27" t="n">
        <f aca="false">IF(A11="","",SUMIFS(vis_Units,vis_CGID,INPUT!J7,vis_ClientID,INPUT!K7,vis_Svc,D11,vis_Status,"Verified",vis_InWeek,"Yes"))</f>
        <v>58</v>
      </c>
      <c r="I11" s="45" t="n">
        <f aca="false">IF(A11="","",MAX(0,F11-H11))</f>
        <v>0</v>
      </c>
      <c r="J11" s="41" t="n">
        <f aca="false">IF(A11="","",ROUND(I11*N(INPUT!L7),2))</f>
        <v>0</v>
      </c>
      <c r="K11" s="40" t="str">
        <f aca="false">IF(A11="","",INPUT!H7)</f>
        <v>Pay</v>
      </c>
      <c r="L11" s="40" t="str">
        <f aca="false">IF(A11="","",IF(G11=0,"No matching visits",IF(I11&gt;0,"Units exceed visits",IF(E11&lt;&gt;G11,"Day count differs","OK"))))</f>
        <v>OK</v>
      </c>
      <c r="M11" s="40" t="str">
        <f aca="false">IF(A11="","",IF(L11="OK","",IF(K11="Hold","On hold","Review before paying")))</f>
        <v/>
      </c>
    </row>
    <row r="12" customFormat="false" ht="15" hidden="false" customHeight="false" outlineLevel="0" collapsed="false">
      <c r="A12" s="36" t="n">
        <f aca="false">IF(INPUT!B8="","",INPUT!A8)</f>
        <v>4</v>
      </c>
      <c r="B12" s="26" t="str">
        <f aca="false">IF(A12="","",INPUT!B8)</f>
        <v>Jada Barajas</v>
      </c>
      <c r="C12" s="26" t="str">
        <f aca="false">IF(A12="","",INPUT!C8)</f>
        <v>Abernathy, R.</v>
      </c>
      <c r="D12" s="40" t="str">
        <f aca="false">IF(A12="","",INPUT!D8)</f>
        <v>RS</v>
      </c>
      <c r="E12" s="27" t="n">
        <f aca="false">IF(A12="","",N(INPUT!E8))</f>
        <v>2</v>
      </c>
      <c r="F12" s="27" t="n">
        <f aca="false">IF(A12="","",N(INPUT!F8))</f>
        <v>48</v>
      </c>
      <c r="G12" s="27" t="n">
        <f aca="false">IF(A12="","",COUNTIFS(vis_CGID,INPUT!J8,vis_ClientID,INPUT!K8,vis_Svc,D12,vis_Status,"Verified",vis_InWeek,"Yes"))</f>
        <v>2</v>
      </c>
      <c r="H12" s="27" t="n">
        <f aca="false">IF(A12="","",SUMIFS(vis_Units,vis_CGID,INPUT!J8,vis_ClientID,INPUT!K8,vis_Svc,D12,vis_Status,"Verified",vis_InWeek,"Yes"))</f>
        <v>48</v>
      </c>
      <c r="I12" s="45" t="n">
        <f aca="false">IF(A12="","",MAX(0,F12-H12))</f>
        <v>0</v>
      </c>
      <c r="J12" s="41" t="n">
        <f aca="false">IF(A12="","",ROUND(I12*N(INPUT!L8),2))</f>
        <v>0</v>
      </c>
      <c r="K12" s="40" t="str">
        <f aca="false">IF(A12="","",INPUT!H8)</f>
        <v>Pay</v>
      </c>
      <c r="L12" s="40" t="str">
        <f aca="false">IF(A12="","",IF(G12=0,"No matching visits",IF(I12&gt;0,"Units exceed visits",IF(E12&lt;&gt;G12,"Day count differs","OK"))))</f>
        <v>OK</v>
      </c>
      <c r="M12" s="40" t="str">
        <f aca="false">IF(A12="","",IF(L12="OK","",IF(K12="Hold","On hold","Review before paying")))</f>
        <v/>
      </c>
    </row>
    <row r="13" customFormat="false" ht="15" hidden="false" customHeight="false" outlineLevel="0" collapsed="false">
      <c r="A13" s="36" t="n">
        <f aca="false">IF(INPUT!B9="","",INPUT!A9)</f>
        <v>5</v>
      </c>
      <c r="B13" s="26" t="str">
        <f aca="false">IF(A13="","",INPUT!B9)</f>
        <v>Jada Barajas</v>
      </c>
      <c r="C13" s="26" t="str">
        <f aca="false">IF(A13="","",INPUT!C9)</f>
        <v>Sampson, H.</v>
      </c>
      <c r="D13" s="40" t="str">
        <f aca="false">IF(A13="","",INPUT!D9)</f>
        <v>PC</v>
      </c>
      <c r="E13" s="27" t="n">
        <f aca="false">IF(A13="","",N(INPUT!E9))</f>
        <v>3</v>
      </c>
      <c r="F13" s="27" t="n">
        <f aca="false">IF(A13="","",N(INPUT!F9))</f>
        <v>40</v>
      </c>
      <c r="G13" s="27" t="n">
        <f aca="false">IF(A13="","",COUNTIFS(vis_CGID,INPUT!J9,vis_ClientID,INPUT!K9,vis_Svc,D13,vis_Status,"Verified",vis_InWeek,"Yes"))</f>
        <v>3</v>
      </c>
      <c r="H13" s="27" t="n">
        <f aca="false">IF(A13="","",SUMIFS(vis_Units,vis_CGID,INPUT!J9,vis_ClientID,INPUT!K9,vis_Svc,D13,vis_Status,"Verified",vis_InWeek,"Yes"))</f>
        <v>40</v>
      </c>
      <c r="I13" s="45" t="n">
        <f aca="false">IF(A13="","",MAX(0,F13-H13))</f>
        <v>0</v>
      </c>
      <c r="J13" s="41" t="n">
        <f aca="false">IF(A13="","",ROUND(I13*N(INPUT!L9),2))</f>
        <v>0</v>
      </c>
      <c r="K13" s="40" t="str">
        <f aca="false">IF(A13="","",INPUT!H9)</f>
        <v>Pay</v>
      </c>
      <c r="L13" s="40" t="str">
        <f aca="false">IF(A13="","",IF(G13=0,"No matching visits",IF(I13&gt;0,"Units exceed visits",IF(E13&lt;&gt;G13,"Day count differs","OK"))))</f>
        <v>OK</v>
      </c>
      <c r="M13" s="40" t="str">
        <f aca="false">IF(A13="","",IF(L13="OK","",IF(K13="Hold","On hold","Review before paying")))</f>
        <v/>
      </c>
    </row>
    <row r="14" customFormat="false" ht="15" hidden="false" customHeight="false" outlineLevel="0" collapsed="false">
      <c r="A14" s="36" t="n">
        <f aca="false">IF(INPUT!B10="","",INPUT!A10)</f>
        <v>6</v>
      </c>
      <c r="B14" s="26" t="str">
        <f aca="false">IF(A14="","",INPUT!B10)</f>
        <v>Mireille Beasley</v>
      </c>
      <c r="C14" s="26" t="str">
        <f aca="false">IF(A14="","",INPUT!C10)</f>
        <v>Stallworth, V.</v>
      </c>
      <c r="D14" s="40" t="str">
        <f aca="false">IF(A14="","",INPUT!D10)</f>
        <v>RS</v>
      </c>
      <c r="E14" s="27" t="n">
        <f aca="false">IF(A14="","",N(INPUT!E10))</f>
        <v>2</v>
      </c>
      <c r="F14" s="27" t="n">
        <f aca="false">IF(A14="","",N(INPUT!F10))</f>
        <v>42</v>
      </c>
      <c r="G14" s="27" t="n">
        <f aca="false">IF(A14="","",COUNTIFS(vis_CGID,INPUT!J10,vis_ClientID,INPUT!K10,vis_Svc,D14,vis_Status,"Verified",vis_InWeek,"Yes"))</f>
        <v>2</v>
      </c>
      <c r="H14" s="27" t="n">
        <f aca="false">IF(A14="","",SUMIFS(vis_Units,vis_CGID,INPUT!J10,vis_ClientID,INPUT!K10,vis_Svc,D14,vis_Status,"Verified",vis_InWeek,"Yes"))</f>
        <v>42</v>
      </c>
      <c r="I14" s="45" t="n">
        <f aca="false">IF(A14="","",MAX(0,F14-H14))</f>
        <v>0</v>
      </c>
      <c r="J14" s="41" t="n">
        <f aca="false">IF(A14="","",ROUND(I14*N(INPUT!L10),2))</f>
        <v>0</v>
      </c>
      <c r="K14" s="40" t="str">
        <f aca="false">IF(A14="","",INPUT!H10)</f>
        <v>Pay</v>
      </c>
      <c r="L14" s="40" t="str">
        <f aca="false">IF(A14="","",IF(G14=0,"No matching visits",IF(I14&gt;0,"Units exceed visits",IF(E14&lt;&gt;G14,"Day count differs","OK"))))</f>
        <v>OK</v>
      </c>
      <c r="M14" s="40" t="str">
        <f aca="false">IF(A14="","",IF(L14="OK","",IF(K14="Hold","On hold","Review before paying")))</f>
        <v/>
      </c>
    </row>
    <row r="15" customFormat="false" ht="15" hidden="false" customHeight="false" outlineLevel="0" collapsed="false">
      <c r="A15" s="36" t="n">
        <f aca="false">IF(INPUT!B11="","",INPUT!A11)</f>
        <v>7</v>
      </c>
      <c r="B15" s="26" t="str">
        <f aca="false">IF(A15="","",INPUT!B11)</f>
        <v>Vanessa Bledsoe</v>
      </c>
      <c r="C15" s="26" t="str">
        <f aca="false">IF(A15="","",INPUT!C11)</f>
        <v>Landry, M.</v>
      </c>
      <c r="D15" s="40" t="str">
        <f aca="false">IF(A15="","",INPUT!D11)</f>
        <v>PC</v>
      </c>
      <c r="E15" s="27" t="n">
        <f aca="false">IF(A15="","",N(INPUT!E11))</f>
        <v>5</v>
      </c>
      <c r="F15" s="27" t="n">
        <f aca="false">IF(A15="","",N(INPUT!F11))</f>
        <v>66</v>
      </c>
      <c r="G15" s="27" t="n">
        <f aca="false">IF(A15="","",COUNTIFS(vis_CGID,INPUT!J11,vis_ClientID,INPUT!K11,vis_Svc,D15,vis_Status,"Verified",vis_InWeek,"Yes"))</f>
        <v>5</v>
      </c>
      <c r="H15" s="27" t="n">
        <f aca="false">IF(A15="","",SUMIFS(vis_Units,vis_CGID,INPUT!J11,vis_ClientID,INPUT!K11,vis_Svc,D15,vis_Status,"Verified",vis_InWeek,"Yes"))</f>
        <v>66</v>
      </c>
      <c r="I15" s="45" t="n">
        <f aca="false">IF(A15="","",MAX(0,F15-H15))</f>
        <v>0</v>
      </c>
      <c r="J15" s="41" t="n">
        <f aca="false">IF(A15="","",ROUND(I15*N(INPUT!L11),2))</f>
        <v>0</v>
      </c>
      <c r="K15" s="40" t="str">
        <f aca="false">IF(A15="","",INPUT!H11)</f>
        <v>Pay</v>
      </c>
      <c r="L15" s="40" t="str">
        <f aca="false">IF(A15="","",IF(G15=0,"No matching visits",IF(I15&gt;0,"Units exceed visits",IF(E15&lt;&gt;G15,"Day count differs","OK"))))</f>
        <v>OK</v>
      </c>
      <c r="M15" s="40" t="str">
        <f aca="false">IF(A15="","",IF(L15="OK","",IF(K15="Hold","On hold","Review before paying")))</f>
        <v/>
      </c>
    </row>
    <row r="16" customFormat="false" ht="15" hidden="false" customHeight="false" outlineLevel="0" collapsed="false">
      <c r="A16" s="36" t="n">
        <f aca="false">IF(INPUT!B12="","",INPUT!A12)</f>
        <v>8</v>
      </c>
      <c r="B16" s="26" t="str">
        <f aca="false">IF(A16="","",INPUT!B12)</f>
        <v>Vanessa Bledsoe</v>
      </c>
      <c r="C16" s="26" t="str">
        <f aca="false">IF(A16="","",INPUT!C12)</f>
        <v>Ochoa, E.</v>
      </c>
      <c r="D16" s="40" t="str">
        <f aca="false">IF(A16="","",INPUT!D12)</f>
        <v>PC</v>
      </c>
      <c r="E16" s="27" t="n">
        <f aca="false">IF(A16="","",N(INPUT!E12))</f>
        <v>4</v>
      </c>
      <c r="F16" s="27" t="n">
        <f aca="false">IF(A16="","",N(INPUT!F12))</f>
        <v>44</v>
      </c>
      <c r="G16" s="27" t="n">
        <f aca="false">IF(A16="","",COUNTIFS(vis_CGID,INPUT!J12,vis_ClientID,INPUT!K12,vis_Svc,D16,vis_Status,"Verified",vis_InWeek,"Yes"))</f>
        <v>4</v>
      </c>
      <c r="H16" s="27" t="n">
        <f aca="false">IF(A16="","",SUMIFS(vis_Units,vis_CGID,INPUT!J12,vis_ClientID,INPUT!K12,vis_Svc,D16,vis_Status,"Verified",vis_InWeek,"Yes"))</f>
        <v>44</v>
      </c>
      <c r="I16" s="45" t="n">
        <f aca="false">IF(A16="","",MAX(0,F16-H16))</f>
        <v>0</v>
      </c>
      <c r="J16" s="41" t="n">
        <f aca="false">IF(A16="","",ROUND(I16*N(INPUT!L12),2))</f>
        <v>0</v>
      </c>
      <c r="K16" s="40" t="str">
        <f aca="false">IF(A16="","",INPUT!H12)</f>
        <v>Pay</v>
      </c>
      <c r="L16" s="40" t="str">
        <f aca="false">IF(A16="","",IF(G16=0,"No matching visits",IF(I16&gt;0,"Units exceed visits",IF(E16&lt;&gt;G16,"Day count differs","OK"))))</f>
        <v>OK</v>
      </c>
      <c r="M16" s="40" t="str">
        <f aca="false">IF(A16="","",IF(L16="OK","",IF(K16="Hold","On hold","Review before paying")))</f>
        <v/>
      </c>
    </row>
    <row r="17" customFormat="false" ht="15" hidden="false" customHeight="false" outlineLevel="0" collapsed="false">
      <c r="A17" s="36" t="n">
        <f aca="false">IF(INPUT!B13="","",INPUT!A13)</f>
        <v>9</v>
      </c>
      <c r="B17" s="26" t="str">
        <f aca="false">IF(A17="","",INPUT!B13)</f>
        <v>Vanessa Bledsoe</v>
      </c>
      <c r="C17" s="26" t="str">
        <f aca="false">IF(A17="","",INPUT!C13)</f>
        <v>Talbot, E.</v>
      </c>
      <c r="D17" s="40" t="str">
        <f aca="false">IF(A17="","",INPUT!D13)</f>
        <v>CO</v>
      </c>
      <c r="E17" s="27" t="n">
        <f aca="false">IF(A17="","",N(INPUT!E13))</f>
        <v>2</v>
      </c>
      <c r="F17" s="27" t="n">
        <f aca="false">IF(A17="","",N(INPUT!F13))</f>
        <v>22</v>
      </c>
      <c r="G17" s="27" t="n">
        <f aca="false">IF(A17="","",COUNTIFS(vis_CGID,INPUT!J13,vis_ClientID,INPUT!K13,vis_Svc,D17,vis_Status,"Verified",vis_InWeek,"Yes"))</f>
        <v>2</v>
      </c>
      <c r="H17" s="27" t="n">
        <f aca="false">IF(A17="","",SUMIFS(vis_Units,vis_CGID,INPUT!J13,vis_ClientID,INPUT!K13,vis_Svc,D17,vis_Status,"Verified",vis_InWeek,"Yes"))</f>
        <v>22</v>
      </c>
      <c r="I17" s="45" t="n">
        <f aca="false">IF(A17="","",MAX(0,F17-H17))</f>
        <v>0</v>
      </c>
      <c r="J17" s="41" t="n">
        <f aca="false">IF(A17="","",ROUND(I17*N(INPUT!L13),2))</f>
        <v>0</v>
      </c>
      <c r="K17" s="40" t="str">
        <f aca="false">IF(A17="","",INPUT!H13)</f>
        <v>Pay</v>
      </c>
      <c r="L17" s="40" t="str">
        <f aca="false">IF(A17="","",IF(G17=0,"No matching visits",IF(I17&gt;0,"Units exceed visits",IF(E17&lt;&gt;G17,"Day count differs","OK"))))</f>
        <v>OK</v>
      </c>
      <c r="M17" s="40" t="str">
        <f aca="false">IF(A17="","",IF(L17="OK","",IF(K17="Hold","On hold","Review before paying")))</f>
        <v/>
      </c>
    </row>
    <row r="18" customFormat="false" ht="15" hidden="false" customHeight="false" outlineLevel="0" collapsed="false">
      <c r="A18" s="36" t="n">
        <f aca="false">IF(INPUT!B14="","",INPUT!A14)</f>
        <v>10</v>
      </c>
      <c r="B18" s="26" t="str">
        <f aca="false">IF(A18="","",INPUT!B14)</f>
        <v>Zora Burrell</v>
      </c>
      <c r="C18" s="26" t="str">
        <f aca="false">IF(A18="","",INPUT!C14)</f>
        <v>Crenshaw, J.</v>
      </c>
      <c r="D18" s="40" t="str">
        <f aca="false">IF(A18="","",INPUT!D14)</f>
        <v>RS</v>
      </c>
      <c r="E18" s="27" t="n">
        <f aca="false">IF(A18="","",N(INPUT!E14))</f>
        <v>1</v>
      </c>
      <c r="F18" s="27" t="n">
        <f aca="false">IF(A18="","",N(INPUT!F14))</f>
        <v>20</v>
      </c>
      <c r="G18" s="27" t="n">
        <f aca="false">IF(A18="","",COUNTIFS(vis_CGID,INPUT!J14,vis_ClientID,INPUT!K14,vis_Svc,D18,vis_Status,"Verified",vis_InWeek,"Yes"))</f>
        <v>1</v>
      </c>
      <c r="H18" s="27" t="n">
        <f aca="false">IF(A18="","",SUMIFS(vis_Units,vis_CGID,INPUT!J14,vis_ClientID,INPUT!K14,vis_Svc,D18,vis_Status,"Verified",vis_InWeek,"Yes"))</f>
        <v>20</v>
      </c>
      <c r="I18" s="45" t="n">
        <f aca="false">IF(A18="","",MAX(0,F18-H18))</f>
        <v>0</v>
      </c>
      <c r="J18" s="41" t="n">
        <f aca="false">IF(A18="","",ROUND(I18*N(INPUT!L14),2))</f>
        <v>0</v>
      </c>
      <c r="K18" s="40" t="str">
        <f aca="false">IF(A18="","",INPUT!H14)</f>
        <v>Pay</v>
      </c>
      <c r="L18" s="40" t="str">
        <f aca="false">IF(A18="","",IF(G18=0,"No matching visits",IF(I18&gt;0,"Units exceed visits",IF(E18&lt;&gt;G18,"Day count differs","OK"))))</f>
        <v>OK</v>
      </c>
      <c r="M18" s="40" t="str">
        <f aca="false">IF(A18="","",IF(L18="OK","",IF(K18="Hold","On hold","Review before paying")))</f>
        <v/>
      </c>
    </row>
    <row r="19" customFormat="false" ht="15" hidden="false" customHeight="false" outlineLevel="0" collapsed="false">
      <c r="A19" s="36" t="n">
        <f aca="false">IF(INPUT!B15="","",INPUT!A15)</f>
        <v>11</v>
      </c>
      <c r="B19" s="26" t="str">
        <f aca="false">IF(A19="","",INPUT!B15)</f>
        <v>Andre Coleman</v>
      </c>
      <c r="C19" s="26" t="str">
        <f aca="false">IF(A19="","",INPUT!C15)</f>
        <v>Pacheco, J.</v>
      </c>
      <c r="D19" s="40" t="str">
        <f aca="false">IF(A19="","",INPUT!D15)</f>
        <v>PC</v>
      </c>
      <c r="E19" s="27" t="n">
        <f aca="false">IF(A19="","",N(INPUT!E15))</f>
        <v>3</v>
      </c>
      <c r="F19" s="27" t="n">
        <f aca="false">IF(A19="","",N(INPUT!F15))</f>
        <v>28</v>
      </c>
      <c r="G19" s="27" t="n">
        <f aca="false">IF(A19="","",COUNTIFS(vis_CGID,INPUT!J15,vis_ClientID,INPUT!K15,vis_Svc,D19,vis_Status,"Verified",vis_InWeek,"Yes"))</f>
        <v>3</v>
      </c>
      <c r="H19" s="27" t="n">
        <f aca="false">IF(A19="","",SUMIFS(vis_Units,vis_CGID,INPUT!J15,vis_ClientID,INPUT!K15,vis_Svc,D19,vis_Status,"Verified",vis_InWeek,"Yes"))</f>
        <v>28</v>
      </c>
      <c r="I19" s="45" t="n">
        <f aca="false">IF(A19="","",MAX(0,F19-H19))</f>
        <v>0</v>
      </c>
      <c r="J19" s="41" t="n">
        <f aca="false">IF(A19="","",ROUND(I19*N(INPUT!L15),2))</f>
        <v>0</v>
      </c>
      <c r="K19" s="40" t="str">
        <f aca="false">IF(A19="","",INPUT!H15)</f>
        <v>Pay</v>
      </c>
      <c r="L19" s="40" t="str">
        <f aca="false">IF(A19="","",IF(G19=0,"No matching visits",IF(I19&gt;0,"Units exceed visits",IF(E19&lt;&gt;G19,"Day count differs","OK"))))</f>
        <v>OK</v>
      </c>
      <c r="M19" s="40" t="str">
        <f aca="false">IF(A19="","",IF(L19="OK","",IF(K19="Hold","On hold","Review before paying")))</f>
        <v/>
      </c>
    </row>
    <row r="20" customFormat="false" ht="15" hidden="false" customHeight="false" outlineLevel="0" collapsed="false">
      <c r="A20" s="36" t="n">
        <f aca="false">IF(INPUT!B16="","",INPUT!A16)</f>
        <v>12</v>
      </c>
      <c r="B20" s="26" t="str">
        <f aca="false">IF(A20="","",INPUT!B16)</f>
        <v>Zora Coleman</v>
      </c>
      <c r="C20" s="26" t="str">
        <f aca="false">IF(A20="","",INPUT!C16)</f>
        <v>Odom, T.</v>
      </c>
      <c r="D20" s="40" t="str">
        <f aca="false">IF(A20="","",INPUT!D16)</f>
        <v>RS</v>
      </c>
      <c r="E20" s="27" t="n">
        <f aca="false">IF(A20="","",N(INPUT!E16))</f>
        <v>2</v>
      </c>
      <c r="F20" s="27" t="n">
        <f aca="false">IF(A20="","",N(INPUT!F16))</f>
        <v>52</v>
      </c>
      <c r="G20" s="27" t="n">
        <f aca="false">IF(A20="","",COUNTIFS(vis_CGID,INPUT!J16,vis_ClientID,INPUT!K16,vis_Svc,D20,vis_Status,"Verified",vis_InWeek,"Yes"))</f>
        <v>2</v>
      </c>
      <c r="H20" s="27" t="n">
        <f aca="false">IF(A20="","",SUMIFS(vis_Units,vis_CGID,INPUT!J16,vis_ClientID,INPUT!K16,vis_Svc,D20,vis_Status,"Verified",vis_InWeek,"Yes"))</f>
        <v>52</v>
      </c>
      <c r="I20" s="45" t="n">
        <f aca="false">IF(A20="","",MAX(0,F20-H20))</f>
        <v>0</v>
      </c>
      <c r="J20" s="41" t="n">
        <f aca="false">IF(A20="","",ROUND(I20*N(INPUT!L16),2))</f>
        <v>0</v>
      </c>
      <c r="K20" s="40" t="str">
        <f aca="false">IF(A20="","",INPUT!H16)</f>
        <v>Pay</v>
      </c>
      <c r="L20" s="40" t="str">
        <f aca="false">IF(A20="","",IF(G20=0,"No matching visits",IF(I20&gt;0,"Units exceed visits",IF(E20&lt;&gt;G20,"Day count differs","OK"))))</f>
        <v>OK</v>
      </c>
      <c r="M20" s="40" t="str">
        <f aca="false">IF(A20="","",IF(L20="OK","",IF(K20="Hold","On hold","Review before paying")))</f>
        <v/>
      </c>
    </row>
    <row r="21" customFormat="false" ht="15" hidden="false" customHeight="false" outlineLevel="0" collapsed="false">
      <c r="A21" s="36" t="n">
        <f aca="false">IF(INPUT!B17="","",INPUT!A17)</f>
        <v>13</v>
      </c>
      <c r="B21" s="26" t="str">
        <f aca="false">IF(A21="","",INPUT!B17)</f>
        <v>Bernice Corbett</v>
      </c>
      <c r="C21" s="26" t="str">
        <f aca="false">IF(A21="","",INPUT!C17)</f>
        <v>Guerrero, T.</v>
      </c>
      <c r="D21" s="40" t="str">
        <f aca="false">IF(A21="","",INPUT!D17)</f>
        <v>HM</v>
      </c>
      <c r="E21" s="27" t="n">
        <f aca="false">IF(A21="","",N(INPUT!E17))</f>
        <v>4</v>
      </c>
      <c r="F21" s="27" t="n">
        <f aca="false">IF(A21="","",N(INPUT!F17))</f>
        <v>40</v>
      </c>
      <c r="G21" s="27" t="n">
        <f aca="false">IF(A21="","",COUNTIFS(vis_CGID,INPUT!J17,vis_ClientID,INPUT!K17,vis_Svc,D21,vis_Status,"Verified",vis_InWeek,"Yes"))</f>
        <v>4</v>
      </c>
      <c r="H21" s="27" t="n">
        <f aca="false">IF(A21="","",SUMIFS(vis_Units,vis_CGID,INPUT!J17,vis_ClientID,INPUT!K17,vis_Svc,D21,vis_Status,"Verified",vis_InWeek,"Yes"))</f>
        <v>40</v>
      </c>
      <c r="I21" s="45" t="n">
        <f aca="false">IF(A21="","",MAX(0,F21-H21))</f>
        <v>0</v>
      </c>
      <c r="J21" s="41" t="n">
        <f aca="false">IF(A21="","",ROUND(I21*N(INPUT!L17),2))</f>
        <v>0</v>
      </c>
      <c r="K21" s="40" t="str">
        <f aca="false">IF(A21="","",INPUT!H17)</f>
        <v>Pay</v>
      </c>
      <c r="L21" s="40" t="str">
        <f aca="false">IF(A21="","",IF(G21=0,"No matching visits",IF(I21&gt;0,"Units exceed visits",IF(E21&lt;&gt;G21,"Day count differs","OK"))))</f>
        <v>OK</v>
      </c>
      <c r="M21" s="40" t="str">
        <f aca="false">IF(A21="","",IF(L21="OK","",IF(K21="Hold","On hold","Review before paying")))</f>
        <v/>
      </c>
    </row>
    <row r="22" customFormat="false" ht="15" hidden="false" customHeight="false" outlineLevel="0" collapsed="false">
      <c r="A22" s="36" t="n">
        <f aca="false">IF(INPUT!B18="","",INPUT!A18)</f>
        <v>14</v>
      </c>
      <c r="B22" s="26" t="str">
        <f aca="false">IF(A22="","",INPUT!B18)</f>
        <v>Nadia Corbett</v>
      </c>
      <c r="C22" s="26" t="str">
        <f aca="false">IF(A22="","",INPUT!C18)</f>
        <v>Guerrero, T.</v>
      </c>
      <c r="D22" s="40" t="str">
        <f aca="false">IF(A22="","",INPUT!D18)</f>
        <v>PC</v>
      </c>
      <c r="E22" s="27" t="n">
        <f aca="false">IF(A22="","",N(INPUT!E18))</f>
        <v>4</v>
      </c>
      <c r="F22" s="27" t="n">
        <f aca="false">IF(A22="","",N(INPUT!F18))</f>
        <v>50</v>
      </c>
      <c r="G22" s="27" t="n">
        <f aca="false">IF(A22="","",COUNTIFS(vis_CGID,INPUT!J18,vis_ClientID,INPUT!K18,vis_Svc,D22,vis_Status,"Verified",vis_InWeek,"Yes"))</f>
        <v>4</v>
      </c>
      <c r="H22" s="27" t="n">
        <f aca="false">IF(A22="","",SUMIFS(vis_Units,vis_CGID,INPUT!J18,vis_ClientID,INPUT!K18,vis_Svc,D22,vis_Status,"Verified",vis_InWeek,"Yes"))</f>
        <v>42</v>
      </c>
      <c r="I22" s="45" t="n">
        <f aca="false">IF(A22="","",MAX(0,F22-H22))</f>
        <v>8</v>
      </c>
      <c r="J22" s="41" t="n">
        <f aca="false">IF(A22="","",ROUND(I22*N(INPUT!L18),2))</f>
        <v>44</v>
      </c>
      <c r="K22" s="40" t="str">
        <f aca="false">IF(A22="","",INPUT!H18)</f>
        <v>Pay</v>
      </c>
      <c r="L22" s="40" t="str">
        <f aca="false">IF(A22="","",IF(G22=0,"No matching visits",IF(I22&gt;0,"Units exceed visits",IF(E22&lt;&gt;G22,"Day count differs","OK"))))</f>
        <v>Units exceed visits</v>
      </c>
      <c r="M22" s="40" t="str">
        <f aca="false">IF(A22="","",IF(L22="OK","",IF(K22="Hold","On hold","Review before paying")))</f>
        <v>Review before paying</v>
      </c>
    </row>
    <row r="23" customFormat="false" ht="15" hidden="false" customHeight="false" outlineLevel="0" collapsed="false">
      <c r="A23" s="36" t="n">
        <f aca="false">IF(INPUT!B19="","",INPUT!A19)</f>
        <v>15</v>
      </c>
      <c r="B23" s="26" t="str">
        <f aca="false">IF(A23="","",INPUT!B19)</f>
        <v>Nadia Corbett</v>
      </c>
      <c r="C23" s="26" t="str">
        <f aca="false">IF(A23="","",INPUT!C19)</f>
        <v>Jeffries, S.</v>
      </c>
      <c r="D23" s="40" t="str">
        <f aca="false">IF(A23="","",INPUT!D19)</f>
        <v>HM</v>
      </c>
      <c r="E23" s="27" t="n">
        <f aca="false">IF(A23="","",N(INPUT!E19))</f>
        <v>2</v>
      </c>
      <c r="F23" s="27" t="n">
        <f aca="false">IF(A23="","",N(INPUT!F19))</f>
        <v>20</v>
      </c>
      <c r="G23" s="27" t="n">
        <f aca="false">IF(A23="","",COUNTIFS(vis_CGID,INPUT!J19,vis_ClientID,INPUT!K19,vis_Svc,D23,vis_Status,"Verified",vis_InWeek,"Yes"))</f>
        <v>2</v>
      </c>
      <c r="H23" s="27" t="n">
        <f aca="false">IF(A23="","",SUMIFS(vis_Units,vis_CGID,INPUT!J19,vis_ClientID,INPUT!K19,vis_Svc,D23,vis_Status,"Verified",vis_InWeek,"Yes"))</f>
        <v>20</v>
      </c>
      <c r="I23" s="45" t="n">
        <f aca="false">IF(A23="","",MAX(0,F23-H23))</f>
        <v>0</v>
      </c>
      <c r="J23" s="41" t="n">
        <f aca="false">IF(A23="","",ROUND(I23*N(INPUT!L19),2))</f>
        <v>0</v>
      </c>
      <c r="K23" s="40" t="str">
        <f aca="false">IF(A23="","",INPUT!H19)</f>
        <v>Pay</v>
      </c>
      <c r="L23" s="40" t="str">
        <f aca="false">IF(A23="","",IF(G23=0,"No matching visits",IF(I23&gt;0,"Units exceed visits",IF(E23&lt;&gt;G23,"Day count differs","OK"))))</f>
        <v>OK</v>
      </c>
      <c r="M23" s="40" t="str">
        <f aca="false">IF(A23="","",IF(L23="OK","",IF(K23="Hold","On hold","Review before paying")))</f>
        <v/>
      </c>
    </row>
    <row r="24" customFormat="false" ht="15" hidden="false" customHeight="false" outlineLevel="0" collapsed="false">
      <c r="A24" s="36" t="n">
        <f aca="false">IF(INPUT!B20="","",INPUT!A20)</f>
        <v>16</v>
      </c>
      <c r="B24" s="26" t="str">
        <f aca="false">IF(A24="","",INPUT!B20)</f>
        <v>Nadia Corbett</v>
      </c>
      <c r="C24" s="26" t="str">
        <f aca="false">IF(A24="","",INPUT!C20)</f>
        <v>Upchurch, J.</v>
      </c>
      <c r="D24" s="40" t="str">
        <f aca="false">IF(A24="","",INPUT!D20)</f>
        <v>PC</v>
      </c>
      <c r="E24" s="27" t="n">
        <f aca="false">IF(A24="","",N(INPUT!E20))</f>
        <v>4</v>
      </c>
      <c r="F24" s="27" t="n">
        <f aca="false">IF(A24="","",N(INPUT!F20))</f>
        <v>48</v>
      </c>
      <c r="G24" s="27" t="n">
        <f aca="false">IF(A24="","",COUNTIFS(vis_CGID,INPUT!J20,vis_ClientID,INPUT!K20,vis_Svc,D24,vis_Status,"Verified",vis_InWeek,"Yes"))</f>
        <v>4</v>
      </c>
      <c r="H24" s="27" t="n">
        <f aca="false">IF(A24="","",SUMIFS(vis_Units,vis_CGID,INPUT!J20,vis_ClientID,INPUT!K20,vis_Svc,D24,vis_Status,"Verified",vis_InWeek,"Yes"))</f>
        <v>48</v>
      </c>
      <c r="I24" s="45" t="n">
        <f aca="false">IF(A24="","",MAX(0,F24-H24))</f>
        <v>0</v>
      </c>
      <c r="J24" s="41" t="n">
        <f aca="false">IF(A24="","",ROUND(I24*N(INPUT!L20),2))</f>
        <v>0</v>
      </c>
      <c r="K24" s="40" t="str">
        <f aca="false">IF(A24="","",INPUT!H20)</f>
        <v>Pay</v>
      </c>
      <c r="L24" s="40" t="str">
        <f aca="false">IF(A24="","",IF(G24=0,"No matching visits",IF(I24&gt;0,"Units exceed visits",IF(E24&lt;&gt;G24,"Day count differs","OK"))))</f>
        <v>OK</v>
      </c>
      <c r="M24" s="40" t="str">
        <f aca="false">IF(A24="","",IF(L24="OK","",IF(K24="Hold","On hold","Review before paying")))</f>
        <v/>
      </c>
    </row>
    <row r="25" customFormat="false" ht="15" hidden="false" customHeight="false" outlineLevel="0" collapsed="false">
      <c r="A25" s="36" t="n">
        <f aca="false">IF(INPUT!B21="","",INPUT!A21)</f>
        <v>17</v>
      </c>
      <c r="B25" s="26" t="str">
        <f aca="false">IF(A25="","",INPUT!B21)</f>
        <v>Jamal Dabney</v>
      </c>
      <c r="C25" s="26" t="str">
        <f aca="false">IF(A25="","",INPUT!C21)</f>
        <v>Upchurch, N.</v>
      </c>
      <c r="D25" s="40" t="str">
        <f aca="false">IF(A25="","",INPUT!D21)</f>
        <v>RS</v>
      </c>
      <c r="E25" s="27" t="n">
        <f aca="false">IF(A25="","",N(INPUT!E21))</f>
        <v>5</v>
      </c>
      <c r="F25" s="27" t="n">
        <f aca="false">IF(A25="","",N(INPUT!F21))</f>
        <v>68</v>
      </c>
      <c r="G25" s="27" t="n">
        <f aca="false">IF(A25="","",COUNTIFS(vis_CGID,INPUT!J21,vis_ClientID,INPUT!K21,vis_Svc,D25,vis_Status,"Verified",vis_InWeek,"Yes"))</f>
        <v>0</v>
      </c>
      <c r="H25" s="27" t="n">
        <f aca="false">IF(A25="","",SUMIFS(vis_Units,vis_CGID,INPUT!J21,vis_ClientID,INPUT!K21,vis_Svc,D25,vis_Status,"Verified",vis_InWeek,"Yes"))</f>
        <v>0</v>
      </c>
      <c r="I25" s="45" t="n">
        <f aca="false">IF(A25="","",MAX(0,F25-H25))</f>
        <v>68</v>
      </c>
      <c r="J25" s="41" t="n">
        <f aca="false">IF(A25="","",ROUND(I25*N(INPUT!L21),2))</f>
        <v>346.8</v>
      </c>
      <c r="K25" s="40" t="str">
        <f aca="false">IF(A25="","",INPUT!H21)</f>
        <v>Pay</v>
      </c>
      <c r="L25" s="40" t="str">
        <f aca="false">IF(A25="","",IF(G25=0,"No matching visits",IF(I25&gt;0,"Units exceed visits",IF(E25&lt;&gt;G25,"Day count differs","OK"))))</f>
        <v>No matching visits</v>
      </c>
      <c r="M25" s="40" t="str">
        <f aca="false">IF(A25="","",IF(L25="OK","",IF(K25="Hold","On hold","Review before paying")))</f>
        <v>Review before paying</v>
      </c>
    </row>
    <row r="26" customFormat="false" ht="15" hidden="false" customHeight="false" outlineLevel="0" collapsed="false">
      <c r="A26" s="36" t="n">
        <f aca="false">IF(INPUT!B22="","",INPUT!A22)</f>
        <v>18</v>
      </c>
      <c r="B26" s="26" t="str">
        <f aca="false">IF(A26="","",INPUT!B22)</f>
        <v>Nadia Delgado</v>
      </c>
      <c r="C26" s="26" t="str">
        <f aca="false">IF(A26="","",INPUT!C22)</f>
        <v>Escobar, R.</v>
      </c>
      <c r="D26" s="40" t="str">
        <f aca="false">IF(A26="","",INPUT!D22)</f>
        <v>PC</v>
      </c>
      <c r="E26" s="27" t="n">
        <f aca="false">IF(A26="","",N(INPUT!E22))</f>
        <v>4</v>
      </c>
      <c r="F26" s="27" t="n">
        <f aca="false">IF(A26="","",N(INPUT!F22))</f>
        <v>56</v>
      </c>
      <c r="G26" s="27" t="n">
        <f aca="false">IF(A26="","",COUNTIFS(vis_CGID,INPUT!J22,vis_ClientID,INPUT!K22,vis_Svc,D26,vis_Status,"Verified",vis_InWeek,"Yes"))</f>
        <v>4</v>
      </c>
      <c r="H26" s="27" t="n">
        <f aca="false">IF(A26="","",SUMIFS(vis_Units,vis_CGID,INPUT!J22,vis_ClientID,INPUT!K22,vis_Svc,D26,vis_Status,"Verified",vis_InWeek,"Yes"))</f>
        <v>56</v>
      </c>
      <c r="I26" s="45" t="n">
        <f aca="false">IF(A26="","",MAX(0,F26-H26))</f>
        <v>0</v>
      </c>
      <c r="J26" s="41" t="n">
        <f aca="false">IF(A26="","",ROUND(I26*N(INPUT!L22),2))</f>
        <v>0</v>
      </c>
      <c r="K26" s="40" t="str">
        <f aca="false">IF(A26="","",INPUT!H22)</f>
        <v>Pay</v>
      </c>
      <c r="L26" s="40" t="str">
        <f aca="false">IF(A26="","",IF(G26=0,"No matching visits",IF(I26&gt;0,"Units exceed visits",IF(E26&lt;&gt;G26,"Day count differs","OK"))))</f>
        <v>OK</v>
      </c>
      <c r="M26" s="40" t="str">
        <f aca="false">IF(A26="","",IF(L26="OK","",IF(K26="Hold","On hold","Review before paying")))</f>
        <v/>
      </c>
    </row>
    <row r="27" customFormat="false" ht="15" hidden="false" customHeight="false" outlineLevel="0" collapsed="false">
      <c r="A27" s="36" t="n">
        <f aca="false">IF(INPUT!B23="","",INPUT!A23)</f>
        <v>19</v>
      </c>
      <c r="B27" s="26" t="str">
        <f aca="false">IF(A27="","",INPUT!B23)</f>
        <v>Nadia Delgado</v>
      </c>
      <c r="C27" s="26" t="str">
        <f aca="false">IF(A27="","",INPUT!C23)</f>
        <v>Fontaine, L.</v>
      </c>
      <c r="D27" s="40" t="str">
        <f aca="false">IF(A27="","",INPUT!D23)</f>
        <v>HM</v>
      </c>
      <c r="E27" s="27" t="n">
        <f aca="false">IF(A27="","",N(INPUT!E23))</f>
        <v>5</v>
      </c>
      <c r="F27" s="27" t="n">
        <f aca="false">IF(A27="","",N(INPUT!F23))</f>
        <v>50</v>
      </c>
      <c r="G27" s="27" t="n">
        <f aca="false">IF(A27="","",COUNTIFS(vis_CGID,INPUT!J23,vis_ClientID,INPUT!K23,vis_Svc,D27,vis_Status,"Verified",vis_InWeek,"Yes"))</f>
        <v>5</v>
      </c>
      <c r="H27" s="27" t="n">
        <f aca="false">IF(A27="","",SUMIFS(vis_Units,vis_CGID,INPUT!J23,vis_ClientID,INPUT!K23,vis_Svc,D27,vis_Status,"Verified",vis_InWeek,"Yes"))</f>
        <v>50</v>
      </c>
      <c r="I27" s="45" t="n">
        <f aca="false">IF(A27="","",MAX(0,F27-H27))</f>
        <v>0</v>
      </c>
      <c r="J27" s="41" t="n">
        <f aca="false">IF(A27="","",ROUND(I27*N(INPUT!L23),2))</f>
        <v>0</v>
      </c>
      <c r="K27" s="40" t="str">
        <f aca="false">IF(A27="","",INPUT!H23)</f>
        <v>Pay</v>
      </c>
      <c r="L27" s="40" t="str">
        <f aca="false">IF(A27="","",IF(G27=0,"No matching visits",IF(I27&gt;0,"Units exceed visits",IF(E27&lt;&gt;G27,"Day count differs","OK"))))</f>
        <v>OK</v>
      </c>
      <c r="M27" s="40" t="str">
        <f aca="false">IF(A27="","",IF(L27="OK","",IF(K27="Hold","On hold","Review before paying")))</f>
        <v/>
      </c>
    </row>
    <row r="28" customFormat="false" ht="15" hidden="false" customHeight="false" outlineLevel="0" collapsed="false">
      <c r="A28" s="36" t="n">
        <f aca="false">IF(INPUT!B24="","",INPUT!A24)</f>
        <v>20</v>
      </c>
      <c r="B28" s="26" t="str">
        <f aca="false">IF(A28="","",INPUT!B24)</f>
        <v>Nadia Delgado</v>
      </c>
      <c r="C28" s="26" t="str">
        <f aca="false">IF(A28="","",INPUT!C24)</f>
        <v>Landry, M.</v>
      </c>
      <c r="D28" s="40" t="str">
        <f aca="false">IF(A28="","",INPUT!D24)</f>
        <v>PC</v>
      </c>
      <c r="E28" s="27" t="n">
        <f aca="false">IF(A28="","",N(INPUT!E24))</f>
        <v>4</v>
      </c>
      <c r="F28" s="27" t="n">
        <f aca="false">IF(A28="","",N(INPUT!F24))</f>
        <v>36</v>
      </c>
      <c r="G28" s="27" t="n">
        <f aca="false">IF(A28="","",COUNTIFS(vis_CGID,INPUT!J24,vis_ClientID,INPUT!K24,vis_Svc,D28,vis_Status,"Verified",vis_InWeek,"Yes"))</f>
        <v>4</v>
      </c>
      <c r="H28" s="27" t="n">
        <f aca="false">IF(A28="","",SUMIFS(vis_Units,vis_CGID,INPUT!J24,vis_ClientID,INPUT!K24,vis_Svc,D28,vis_Status,"Verified",vis_InWeek,"Yes"))</f>
        <v>36</v>
      </c>
      <c r="I28" s="45" t="n">
        <f aca="false">IF(A28="","",MAX(0,F28-H28))</f>
        <v>0</v>
      </c>
      <c r="J28" s="41" t="n">
        <f aca="false">IF(A28="","",ROUND(I28*N(INPUT!L24),2))</f>
        <v>0</v>
      </c>
      <c r="K28" s="40" t="str">
        <f aca="false">IF(A28="","",INPUT!H24)</f>
        <v>Pay</v>
      </c>
      <c r="L28" s="40" t="str">
        <f aca="false">IF(A28="","",IF(G28=0,"No matching visits",IF(I28&gt;0,"Units exceed visits",IF(E28&lt;&gt;G28,"Day count differs","OK"))))</f>
        <v>OK</v>
      </c>
      <c r="M28" s="40" t="str">
        <f aca="false">IF(A28="","",IF(L28="OK","",IF(K28="Hold","On hold","Review before paying")))</f>
        <v/>
      </c>
    </row>
    <row r="29" customFormat="false" ht="15" hidden="false" customHeight="false" outlineLevel="0" collapsed="false">
      <c r="A29" s="36" t="n">
        <f aca="false">IF(INPUT!B25="","",INPUT!A25)</f>
        <v>21</v>
      </c>
      <c r="B29" s="26" t="str">
        <f aca="false">IF(A29="","",INPUT!B25)</f>
        <v>Brianna Easley</v>
      </c>
      <c r="C29" s="26" t="str">
        <f aca="false">IF(A29="","",INPUT!C25)</f>
        <v>Easley, S.</v>
      </c>
      <c r="D29" s="40" t="str">
        <f aca="false">IF(A29="","",INPUT!D25)</f>
        <v>PC</v>
      </c>
      <c r="E29" s="27" t="n">
        <f aca="false">IF(A29="","",N(INPUT!E25))</f>
        <v>4</v>
      </c>
      <c r="F29" s="27" t="n">
        <f aca="false">IF(A29="","",N(INPUT!F25))</f>
        <v>36</v>
      </c>
      <c r="G29" s="27" t="n">
        <f aca="false">IF(A29="","",COUNTIFS(vis_CGID,INPUT!J25,vis_ClientID,INPUT!K25,vis_Svc,D29,vis_Status,"Verified",vis_InWeek,"Yes"))</f>
        <v>4</v>
      </c>
      <c r="H29" s="27" t="n">
        <f aca="false">IF(A29="","",SUMIFS(vis_Units,vis_CGID,INPUT!J25,vis_ClientID,INPUT!K25,vis_Svc,D29,vis_Status,"Verified",vis_InWeek,"Yes"))</f>
        <v>36</v>
      </c>
      <c r="I29" s="45" t="n">
        <f aca="false">IF(A29="","",MAX(0,F29-H29))</f>
        <v>0</v>
      </c>
      <c r="J29" s="41" t="n">
        <f aca="false">IF(A29="","",ROUND(I29*N(INPUT!L25),2))</f>
        <v>0</v>
      </c>
      <c r="K29" s="40" t="str">
        <f aca="false">IF(A29="","",INPUT!H25)</f>
        <v>Pay</v>
      </c>
      <c r="L29" s="40" t="str">
        <f aca="false">IF(A29="","",IF(G29=0,"No matching visits",IF(I29&gt;0,"Units exceed visits",IF(E29&lt;&gt;G29,"Day count differs","OK"))))</f>
        <v>OK</v>
      </c>
      <c r="M29" s="40" t="str">
        <f aca="false">IF(A29="","",IF(L29="OK","",IF(K29="Hold","On hold","Review before paying")))</f>
        <v/>
      </c>
    </row>
    <row r="30" customFormat="false" ht="15" hidden="false" customHeight="false" outlineLevel="0" collapsed="false">
      <c r="A30" s="36" t="n">
        <f aca="false">IF(INPUT!B26="","",INPUT!A26)</f>
        <v>22</v>
      </c>
      <c r="B30" s="26" t="str">
        <f aca="false">IF(A30="","",INPUT!B26)</f>
        <v>Brianna Easley</v>
      </c>
      <c r="C30" s="26" t="str">
        <f aca="false">IF(A30="","",INPUT!C26)</f>
        <v>Fulton, A.</v>
      </c>
      <c r="D30" s="40" t="str">
        <f aca="false">IF(A30="","",INPUT!D26)</f>
        <v>RS</v>
      </c>
      <c r="E30" s="27" t="n">
        <f aca="false">IF(A30="","",N(INPUT!E26))</f>
        <v>1</v>
      </c>
      <c r="F30" s="27" t="n">
        <f aca="false">IF(A30="","",N(INPUT!F26))</f>
        <v>16</v>
      </c>
      <c r="G30" s="27" t="n">
        <f aca="false">IF(A30="","",COUNTIFS(vis_CGID,INPUT!J26,vis_ClientID,INPUT!K26,vis_Svc,D30,vis_Status,"Verified",vis_InWeek,"Yes"))</f>
        <v>1</v>
      </c>
      <c r="H30" s="27" t="n">
        <f aca="false">IF(A30="","",SUMIFS(vis_Units,vis_CGID,INPUT!J26,vis_ClientID,INPUT!K26,vis_Svc,D30,vis_Status,"Verified",vis_InWeek,"Yes"))</f>
        <v>16</v>
      </c>
      <c r="I30" s="45" t="n">
        <f aca="false">IF(A30="","",MAX(0,F30-H30))</f>
        <v>0</v>
      </c>
      <c r="J30" s="41" t="n">
        <f aca="false">IF(A30="","",ROUND(I30*N(INPUT!L26),2))</f>
        <v>0</v>
      </c>
      <c r="K30" s="40" t="str">
        <f aca="false">IF(A30="","",INPUT!H26)</f>
        <v>Pay</v>
      </c>
      <c r="L30" s="40" t="str">
        <f aca="false">IF(A30="","",IF(G30=0,"No matching visits",IF(I30&gt;0,"Units exceed visits",IF(E30&lt;&gt;G30,"Day count differs","OK"))))</f>
        <v>OK</v>
      </c>
      <c r="M30" s="40" t="str">
        <f aca="false">IF(A30="","",IF(L30="OK","",IF(K30="Hold","On hold","Review before paying")))</f>
        <v/>
      </c>
    </row>
    <row r="31" customFormat="false" ht="15" hidden="false" customHeight="false" outlineLevel="0" collapsed="false">
      <c r="A31" s="36" t="n">
        <f aca="false">IF(INPUT!B27="","",INPUT!A27)</f>
        <v>23</v>
      </c>
      <c r="B31" s="26" t="str">
        <f aca="false">IF(A31="","",INPUT!B27)</f>
        <v>Wanda Easley</v>
      </c>
      <c r="C31" s="26" t="str">
        <f aca="false">IF(A31="","",INPUT!C27)</f>
        <v>Ashford, A.</v>
      </c>
      <c r="D31" s="40" t="str">
        <f aca="false">IF(A31="","",INPUT!D27)</f>
        <v>RS</v>
      </c>
      <c r="E31" s="27" t="n">
        <f aca="false">IF(A31="","",N(INPUT!E27))</f>
        <v>2</v>
      </c>
      <c r="F31" s="27" t="n">
        <f aca="false">IF(A31="","",N(INPUT!F27))</f>
        <v>42</v>
      </c>
      <c r="G31" s="27" t="n">
        <f aca="false">IF(A31="","",COUNTIFS(vis_CGID,INPUT!J27,vis_ClientID,INPUT!K27,vis_Svc,D31,vis_Status,"Verified",vis_InWeek,"Yes"))</f>
        <v>2</v>
      </c>
      <c r="H31" s="27" t="n">
        <f aca="false">IF(A31="","",SUMIFS(vis_Units,vis_CGID,INPUT!J27,vis_ClientID,INPUT!K27,vis_Svc,D31,vis_Status,"Verified",vis_InWeek,"Yes"))</f>
        <v>42</v>
      </c>
      <c r="I31" s="45" t="n">
        <f aca="false">IF(A31="","",MAX(0,F31-H31))</f>
        <v>0</v>
      </c>
      <c r="J31" s="41" t="n">
        <f aca="false">IF(A31="","",ROUND(I31*N(INPUT!L27),2))</f>
        <v>0</v>
      </c>
      <c r="K31" s="40" t="str">
        <f aca="false">IF(A31="","",INPUT!H27)</f>
        <v>Pay</v>
      </c>
      <c r="L31" s="40" t="str">
        <f aca="false">IF(A31="","",IF(G31=0,"No matching visits",IF(I31&gt;0,"Units exceed visits",IF(E31&lt;&gt;G31,"Day count differs","OK"))))</f>
        <v>OK</v>
      </c>
      <c r="M31" s="40" t="str">
        <f aca="false">IF(A31="","",IF(L31="OK","",IF(K31="Hold","On hold","Review before paying")))</f>
        <v/>
      </c>
    </row>
    <row r="32" customFormat="false" ht="15" hidden="false" customHeight="false" outlineLevel="0" collapsed="false">
      <c r="A32" s="36" t="n">
        <f aca="false">IF(INPUT!B28="","",INPUT!A28)</f>
        <v>24</v>
      </c>
      <c r="B32" s="26" t="str">
        <f aca="false">IF(A32="","",INPUT!B28)</f>
        <v>Wanda Easley</v>
      </c>
      <c r="C32" s="26" t="str">
        <f aca="false">IF(A32="","",INPUT!C28)</f>
        <v>Coleman, C.</v>
      </c>
      <c r="D32" s="40" t="str">
        <f aca="false">IF(A32="","",INPUT!D28)</f>
        <v>CO</v>
      </c>
      <c r="E32" s="27" t="n">
        <f aca="false">IF(A32="","",N(INPUT!E28))</f>
        <v>4</v>
      </c>
      <c r="F32" s="27" t="n">
        <f aca="false">IF(A32="","",N(INPUT!F28))</f>
        <v>44</v>
      </c>
      <c r="G32" s="27" t="n">
        <f aca="false">IF(A32="","",COUNTIFS(vis_CGID,INPUT!J28,vis_ClientID,INPUT!K28,vis_Svc,D32,vis_Status,"Verified",vis_InWeek,"Yes"))</f>
        <v>4</v>
      </c>
      <c r="H32" s="27" t="n">
        <f aca="false">IF(A32="","",SUMIFS(vis_Units,vis_CGID,INPUT!J28,vis_ClientID,INPUT!K28,vis_Svc,D32,vis_Status,"Verified",vis_InWeek,"Yes"))</f>
        <v>44</v>
      </c>
      <c r="I32" s="45" t="n">
        <f aca="false">IF(A32="","",MAX(0,F32-H32))</f>
        <v>0</v>
      </c>
      <c r="J32" s="41" t="n">
        <f aca="false">IF(A32="","",ROUND(I32*N(INPUT!L28),2))</f>
        <v>0</v>
      </c>
      <c r="K32" s="40" t="str">
        <f aca="false">IF(A32="","",INPUT!H28)</f>
        <v>Pay</v>
      </c>
      <c r="L32" s="40" t="str">
        <f aca="false">IF(A32="","",IF(G32=0,"No matching visits",IF(I32&gt;0,"Units exceed visits",IF(E32&lt;&gt;G32,"Day count differs","OK"))))</f>
        <v>OK</v>
      </c>
      <c r="M32" s="40" t="str">
        <f aca="false">IF(A32="","",IF(L32="OK","",IF(K32="Hold","On hold","Review before paying")))</f>
        <v/>
      </c>
    </row>
    <row r="33" customFormat="false" ht="15" hidden="false" customHeight="false" outlineLevel="0" collapsed="false">
      <c r="A33" s="36" t="n">
        <f aca="false">IF(INPUT!B29="","",INPUT!A29)</f>
        <v>25</v>
      </c>
      <c r="B33" s="26" t="str">
        <f aca="false">IF(A33="","",INPUT!B29)</f>
        <v>Elise Escobar</v>
      </c>
      <c r="C33" s="26" t="str">
        <f aca="false">IF(A33="","",INPUT!C29)</f>
        <v>Shelton, L.</v>
      </c>
      <c r="D33" s="40" t="str">
        <f aca="false">IF(A33="","",INPUT!D29)</f>
        <v>CO</v>
      </c>
      <c r="E33" s="27" t="n">
        <f aca="false">IF(A33="","",N(INPUT!E29))</f>
        <v>2</v>
      </c>
      <c r="F33" s="27" t="n">
        <f aca="false">IF(A33="","",N(INPUT!F29))</f>
        <v>22</v>
      </c>
      <c r="G33" s="27" t="n">
        <f aca="false">IF(A33="","",COUNTIFS(vis_CGID,INPUT!J29,vis_ClientID,INPUT!K29,vis_Svc,D33,vis_Status,"Verified",vis_InWeek,"Yes"))</f>
        <v>2</v>
      </c>
      <c r="H33" s="27" t="n">
        <f aca="false">IF(A33="","",SUMIFS(vis_Units,vis_CGID,INPUT!J29,vis_ClientID,INPUT!K29,vis_Svc,D33,vis_Status,"Verified",vis_InWeek,"Yes"))</f>
        <v>22</v>
      </c>
      <c r="I33" s="45" t="n">
        <f aca="false">IF(A33="","",MAX(0,F33-H33))</f>
        <v>0</v>
      </c>
      <c r="J33" s="41" t="n">
        <f aca="false">IF(A33="","",ROUND(I33*N(INPUT!L29),2))</f>
        <v>0</v>
      </c>
      <c r="K33" s="40" t="str">
        <f aca="false">IF(A33="","",INPUT!H29)</f>
        <v>Pay</v>
      </c>
      <c r="L33" s="40" t="str">
        <f aca="false">IF(A33="","",IF(G33=0,"No matching visits",IF(I33&gt;0,"Units exceed visits",IF(E33&lt;&gt;G33,"Day count differs","OK"))))</f>
        <v>OK</v>
      </c>
      <c r="M33" s="40" t="str">
        <f aca="false">IF(A33="","",IF(L33="OK","",IF(K33="Hold","On hold","Review before paying")))</f>
        <v/>
      </c>
    </row>
    <row r="34" customFormat="false" ht="15" hidden="false" customHeight="false" outlineLevel="0" collapsed="false">
      <c r="A34" s="36" t="n">
        <f aca="false">IF(INPUT!B30="","",INPUT!A30)</f>
        <v>26</v>
      </c>
      <c r="B34" s="26" t="str">
        <f aca="false">IF(A34="","",INPUT!B30)</f>
        <v>Teresa Fontaine</v>
      </c>
      <c r="C34" s="26" t="str">
        <f aca="false">IF(A34="","",INPUT!C30)</f>
        <v>Guerrero, T.</v>
      </c>
      <c r="D34" s="40" t="str">
        <f aca="false">IF(A34="","",INPUT!D30)</f>
        <v>HM</v>
      </c>
      <c r="E34" s="27" t="n">
        <f aca="false">IF(A34="","",N(INPUT!E30))</f>
        <v>5</v>
      </c>
      <c r="F34" s="27" t="n">
        <f aca="false">IF(A34="","",N(INPUT!F30))</f>
        <v>52</v>
      </c>
      <c r="G34" s="27" t="n">
        <f aca="false">IF(A34="","",COUNTIFS(vis_CGID,INPUT!J30,vis_ClientID,INPUT!K30,vis_Svc,D34,vis_Status,"Verified",vis_InWeek,"Yes"))</f>
        <v>5</v>
      </c>
      <c r="H34" s="27" t="n">
        <f aca="false">IF(A34="","",SUMIFS(vis_Units,vis_CGID,INPUT!J30,vis_ClientID,INPUT!K30,vis_Svc,D34,vis_Status,"Verified",vis_InWeek,"Yes"))</f>
        <v>52</v>
      </c>
      <c r="I34" s="45" t="n">
        <f aca="false">IF(A34="","",MAX(0,F34-H34))</f>
        <v>0</v>
      </c>
      <c r="J34" s="41" t="n">
        <f aca="false">IF(A34="","",ROUND(I34*N(INPUT!L30),2))</f>
        <v>0</v>
      </c>
      <c r="K34" s="40" t="str">
        <f aca="false">IF(A34="","",INPUT!H30)</f>
        <v>Pay</v>
      </c>
      <c r="L34" s="40" t="str">
        <f aca="false">IF(A34="","",IF(G34=0,"No matching visits",IF(I34&gt;0,"Units exceed visits",IF(E34&lt;&gt;G34,"Day count differs","OK"))))</f>
        <v>OK</v>
      </c>
      <c r="M34" s="40" t="str">
        <f aca="false">IF(A34="","",IF(L34="OK","",IF(K34="Hold","On hold","Review before paying")))</f>
        <v/>
      </c>
    </row>
    <row r="35" customFormat="false" ht="15" hidden="false" customHeight="false" outlineLevel="0" collapsed="false">
      <c r="A35" s="36" t="n">
        <f aca="false">IF(INPUT!B31="","",INPUT!A31)</f>
        <v>27</v>
      </c>
      <c r="B35" s="26" t="str">
        <f aca="false">IF(A35="","",INPUT!B31)</f>
        <v>Aria Fulton</v>
      </c>
      <c r="C35" s="26" t="str">
        <f aca="false">IF(A35="","",INPUT!C31)</f>
        <v>Galloway, V.</v>
      </c>
      <c r="D35" s="40" t="str">
        <f aca="false">IF(A35="","",INPUT!D31)</f>
        <v>PC</v>
      </c>
      <c r="E35" s="27" t="n">
        <f aca="false">IF(A35="","",N(INPUT!E31))</f>
        <v>3</v>
      </c>
      <c r="F35" s="27" t="n">
        <f aca="false">IF(A35="","",N(INPUT!F31))</f>
        <v>28</v>
      </c>
      <c r="G35" s="27" t="n">
        <f aca="false">IF(A35="","",COUNTIFS(vis_CGID,INPUT!J31,vis_ClientID,INPUT!K31,vis_Svc,D35,vis_Status,"Verified",vis_InWeek,"Yes"))</f>
        <v>3</v>
      </c>
      <c r="H35" s="27" t="n">
        <f aca="false">IF(A35="","",SUMIFS(vis_Units,vis_CGID,INPUT!J31,vis_ClientID,INPUT!K31,vis_Svc,D35,vis_Status,"Verified",vis_InWeek,"Yes"))</f>
        <v>28</v>
      </c>
      <c r="I35" s="45" t="n">
        <f aca="false">IF(A35="","",MAX(0,F35-H35))</f>
        <v>0</v>
      </c>
      <c r="J35" s="41" t="n">
        <f aca="false">IF(A35="","",ROUND(I35*N(INPUT!L31),2))</f>
        <v>0</v>
      </c>
      <c r="K35" s="40" t="str">
        <f aca="false">IF(A35="","",INPUT!H31)</f>
        <v>Pay</v>
      </c>
      <c r="L35" s="40" t="str">
        <f aca="false">IF(A35="","",IF(G35=0,"No matching visits",IF(I35&gt;0,"Units exceed visits",IF(E35&lt;&gt;G35,"Day count differs","OK"))))</f>
        <v>OK</v>
      </c>
      <c r="M35" s="40" t="str">
        <f aca="false">IF(A35="","",IF(L35="OK","",IF(K35="Hold","On hold","Review before paying")))</f>
        <v/>
      </c>
    </row>
    <row r="36" customFormat="false" ht="15" hidden="false" customHeight="false" outlineLevel="0" collapsed="false">
      <c r="A36" s="36" t="n">
        <f aca="false">IF(INPUT!B32="","",INPUT!A32)</f>
        <v>28</v>
      </c>
      <c r="B36" s="26" t="str">
        <f aca="false">IF(A36="","",INPUT!B32)</f>
        <v>Aria Fulton</v>
      </c>
      <c r="C36" s="26" t="str">
        <f aca="false">IF(A36="","",INPUT!C32)</f>
        <v>Ochoa, E.</v>
      </c>
      <c r="D36" s="40" t="str">
        <f aca="false">IF(A36="","",INPUT!D32)</f>
        <v>PC</v>
      </c>
      <c r="E36" s="27" t="n">
        <f aca="false">IF(A36="","",N(INPUT!E32))</f>
        <v>2</v>
      </c>
      <c r="F36" s="27" t="n">
        <f aca="false">IF(A36="","",N(INPUT!F32))</f>
        <v>22</v>
      </c>
      <c r="G36" s="27" t="n">
        <f aca="false">IF(A36="","",COUNTIFS(vis_CGID,INPUT!J32,vis_ClientID,INPUT!K32,vis_Svc,D36,vis_Status,"Verified",vis_InWeek,"Yes"))</f>
        <v>2</v>
      </c>
      <c r="H36" s="27" t="n">
        <f aca="false">IF(A36="","",SUMIFS(vis_Units,vis_CGID,INPUT!J32,vis_ClientID,INPUT!K32,vis_Svc,D36,vis_Status,"Verified",vis_InWeek,"Yes"))</f>
        <v>22</v>
      </c>
      <c r="I36" s="45" t="n">
        <f aca="false">IF(A36="","",MAX(0,F36-H36))</f>
        <v>0</v>
      </c>
      <c r="J36" s="41" t="n">
        <f aca="false">IF(A36="","",ROUND(I36*N(INPUT!L32),2))</f>
        <v>0</v>
      </c>
      <c r="K36" s="40" t="str">
        <f aca="false">IF(A36="","",INPUT!H32)</f>
        <v>Pay</v>
      </c>
      <c r="L36" s="40" t="str">
        <f aca="false">IF(A36="","",IF(G36=0,"No matching visits",IF(I36&gt;0,"Units exceed visits",IF(E36&lt;&gt;G36,"Day count differs","OK"))))</f>
        <v>OK</v>
      </c>
      <c r="M36" s="40" t="str">
        <f aca="false">IF(A36="","",IF(L36="OK","",IF(K36="Hold","On hold","Review before paying")))</f>
        <v/>
      </c>
    </row>
    <row r="37" customFormat="false" ht="15" hidden="false" customHeight="false" outlineLevel="0" collapsed="false">
      <c r="A37" s="36" t="n">
        <f aca="false">IF(INPUT!B33="","",INPUT!A33)</f>
        <v>29</v>
      </c>
      <c r="B37" s="26" t="str">
        <f aca="false">IF(A37="","",INPUT!B33)</f>
        <v>Aria Fulton</v>
      </c>
      <c r="C37" s="26" t="str">
        <f aca="false">IF(A37="","",INPUT!C33)</f>
        <v>Pacheco, N.</v>
      </c>
      <c r="D37" s="40" t="str">
        <f aca="false">IF(A37="","",INPUT!D33)</f>
        <v>RS</v>
      </c>
      <c r="E37" s="27" t="n">
        <f aca="false">IF(A37="","",N(INPUT!E33))</f>
        <v>2</v>
      </c>
      <c r="F37" s="27" t="n">
        <f aca="false">IF(A37="","",N(INPUT!F33))</f>
        <v>54</v>
      </c>
      <c r="G37" s="27" t="n">
        <f aca="false">IF(A37="","",COUNTIFS(vis_CGID,INPUT!J33,vis_ClientID,INPUT!K33,vis_Svc,D37,vis_Status,"Verified",vis_InWeek,"Yes"))</f>
        <v>2</v>
      </c>
      <c r="H37" s="27" t="n">
        <f aca="false">IF(A37="","",SUMIFS(vis_Units,vis_CGID,INPUT!J33,vis_ClientID,INPUT!K33,vis_Svc,D37,vis_Status,"Verified",vis_InWeek,"Yes"))</f>
        <v>54</v>
      </c>
      <c r="I37" s="45" t="n">
        <f aca="false">IF(A37="","",MAX(0,F37-H37))</f>
        <v>0</v>
      </c>
      <c r="J37" s="41" t="n">
        <f aca="false">IF(A37="","",ROUND(I37*N(INPUT!L33),2))</f>
        <v>0</v>
      </c>
      <c r="K37" s="40" t="str">
        <f aca="false">IF(A37="","",INPUT!H33)</f>
        <v>Pay</v>
      </c>
      <c r="L37" s="40" t="str">
        <f aca="false">IF(A37="","",IF(G37=0,"No matching visits",IF(I37&gt;0,"Units exceed visits",IF(E37&lt;&gt;G37,"Day count differs","OK"))))</f>
        <v>OK</v>
      </c>
      <c r="M37" s="40" t="str">
        <f aca="false">IF(A37="","",IF(L37="OK","",IF(K37="Hold","On hold","Review before paying")))</f>
        <v/>
      </c>
    </row>
    <row r="38" customFormat="false" ht="15" hidden="false" customHeight="false" outlineLevel="0" collapsed="false">
      <c r="A38" s="36" t="n">
        <f aca="false">IF(INPUT!B34="","",INPUT!A34)</f>
        <v>30</v>
      </c>
      <c r="B38" s="26" t="str">
        <f aca="false">IF(A38="","",INPUT!B34)</f>
        <v>Veronica Garnett</v>
      </c>
      <c r="C38" s="26" t="str">
        <f aca="false">IF(A38="","",INPUT!C34)</f>
        <v>Upchurch, J.</v>
      </c>
      <c r="D38" s="40" t="str">
        <f aca="false">IF(A38="","",INPUT!D34)</f>
        <v>PC</v>
      </c>
      <c r="E38" s="27" t="n">
        <f aca="false">IF(A38="","",N(INPUT!E34))</f>
        <v>4</v>
      </c>
      <c r="F38" s="27" t="n">
        <f aca="false">IF(A38="","",N(INPUT!F34))</f>
        <v>44</v>
      </c>
      <c r="G38" s="27" t="n">
        <f aca="false">IF(A38="","",COUNTIFS(vis_CGID,INPUT!J34,vis_ClientID,INPUT!K34,vis_Svc,D38,vis_Status,"Verified",vis_InWeek,"Yes"))</f>
        <v>4</v>
      </c>
      <c r="H38" s="27" t="n">
        <f aca="false">IF(A38="","",SUMIFS(vis_Units,vis_CGID,INPUT!J34,vis_ClientID,INPUT!K34,vis_Svc,D38,vis_Status,"Verified",vis_InWeek,"Yes"))</f>
        <v>44</v>
      </c>
      <c r="I38" s="45" t="n">
        <f aca="false">IF(A38="","",MAX(0,F38-H38))</f>
        <v>0</v>
      </c>
      <c r="J38" s="41" t="n">
        <f aca="false">IF(A38="","",ROUND(I38*N(INPUT!L34),2))</f>
        <v>0</v>
      </c>
      <c r="K38" s="40" t="str">
        <f aca="false">IF(A38="","",INPUT!H34)</f>
        <v>Pay</v>
      </c>
      <c r="L38" s="40" t="str">
        <f aca="false">IF(A38="","",IF(G38=0,"No matching visits",IF(I38&gt;0,"Units exceed visits",IF(E38&lt;&gt;G38,"Day count differs","OK"))))</f>
        <v>OK</v>
      </c>
      <c r="M38" s="40" t="str">
        <f aca="false">IF(A38="","",IF(L38="OK","",IF(K38="Hold","On hold","Review before paying")))</f>
        <v/>
      </c>
    </row>
    <row r="39" customFormat="false" ht="15" hidden="false" customHeight="false" outlineLevel="0" collapsed="false">
      <c r="A39" s="36" t="n">
        <f aca="false">IF(INPUT!B35="","",INPUT!A35)</f>
        <v>31</v>
      </c>
      <c r="B39" s="26" t="str">
        <f aca="false">IF(A39="","",INPUT!B35)</f>
        <v>Veronica Garnett</v>
      </c>
      <c r="C39" s="26" t="str">
        <f aca="false">IF(A39="","",INPUT!C35)</f>
        <v>Waddell, C.</v>
      </c>
      <c r="D39" s="40" t="str">
        <f aca="false">IF(A39="","",INPUT!D35)</f>
        <v>PC</v>
      </c>
      <c r="E39" s="27" t="n">
        <f aca="false">IF(A39="","",N(INPUT!E35))</f>
        <v>4</v>
      </c>
      <c r="F39" s="27" t="n">
        <f aca="false">IF(A39="","",N(INPUT!F35))</f>
        <v>54</v>
      </c>
      <c r="G39" s="27" t="n">
        <f aca="false">IF(A39="","",COUNTIFS(vis_CGID,INPUT!J35,vis_ClientID,INPUT!K35,vis_Svc,D39,vis_Status,"Verified",vis_InWeek,"Yes"))</f>
        <v>4</v>
      </c>
      <c r="H39" s="27" t="n">
        <f aca="false">IF(A39="","",SUMIFS(vis_Units,vis_CGID,INPUT!J35,vis_ClientID,INPUT!K35,vis_Svc,D39,vis_Status,"Verified",vis_InWeek,"Yes"))</f>
        <v>54</v>
      </c>
      <c r="I39" s="45" t="n">
        <f aca="false">IF(A39="","",MAX(0,F39-H39))</f>
        <v>0</v>
      </c>
      <c r="J39" s="41" t="n">
        <f aca="false">IF(A39="","",ROUND(I39*N(INPUT!L35),2))</f>
        <v>0</v>
      </c>
      <c r="K39" s="40" t="str">
        <f aca="false">IF(A39="","",INPUT!H35)</f>
        <v>Pay</v>
      </c>
      <c r="L39" s="40" t="str">
        <f aca="false">IF(A39="","",IF(G39=0,"No matching visits",IF(I39&gt;0,"Units exceed visits",IF(E39&lt;&gt;G39,"Day count differs","OK"))))</f>
        <v>OK</v>
      </c>
      <c r="M39" s="40" t="str">
        <f aca="false">IF(A39="","",IF(L39="OK","",IF(K39="Hold","On hold","Review before paying")))</f>
        <v/>
      </c>
    </row>
    <row r="40" customFormat="false" ht="15" hidden="false" customHeight="false" outlineLevel="0" collapsed="false">
      <c r="A40" s="36" t="n">
        <f aca="false">IF(INPUT!B36="","",INPUT!A36)</f>
        <v>32</v>
      </c>
      <c r="B40" s="26" t="str">
        <f aca="false">IF(A40="","",INPUT!B36)</f>
        <v>Brianna Grayson</v>
      </c>
      <c r="C40" s="26" t="str">
        <f aca="false">IF(A40="","",INPUT!C36)</f>
        <v>Galloway, V.</v>
      </c>
      <c r="D40" s="40" t="str">
        <f aca="false">IF(A40="","",INPUT!D36)</f>
        <v>NV</v>
      </c>
      <c r="E40" s="27" t="n">
        <f aca="false">IF(A40="","",N(INPUT!E36))</f>
        <v>1</v>
      </c>
      <c r="F40" s="27" t="n">
        <f aca="false">IF(A40="","",N(INPUT!F36))</f>
        <v>1</v>
      </c>
      <c r="G40" s="27" t="n">
        <f aca="false">IF(A40="","",COUNTIFS(vis_CGID,INPUT!J36,vis_ClientID,INPUT!K36,vis_Svc,D40,vis_Status,"Verified",vis_InWeek,"Yes"))</f>
        <v>1</v>
      </c>
      <c r="H40" s="27" t="n">
        <f aca="false">IF(A40="","",SUMIFS(vis_Units,vis_CGID,INPUT!J36,vis_ClientID,INPUT!K36,vis_Svc,D40,vis_Status,"Verified",vis_InWeek,"Yes"))</f>
        <v>1</v>
      </c>
      <c r="I40" s="45" t="n">
        <f aca="false">IF(A40="","",MAX(0,F40-H40))</f>
        <v>0</v>
      </c>
      <c r="J40" s="41" t="n">
        <f aca="false">IF(A40="","",ROUND(I40*N(INPUT!L36),2))</f>
        <v>0</v>
      </c>
      <c r="K40" s="40" t="str">
        <f aca="false">IF(A40="","",INPUT!H36)</f>
        <v>Pay</v>
      </c>
      <c r="L40" s="40" t="str">
        <f aca="false">IF(A40="","",IF(G40=0,"No matching visits",IF(I40&gt;0,"Units exceed visits",IF(E40&lt;&gt;G40,"Day count differs","OK"))))</f>
        <v>OK</v>
      </c>
      <c r="M40" s="40" t="str">
        <f aca="false">IF(A40="","",IF(L40="OK","",IF(K40="Hold","On hold","Review before paying")))</f>
        <v/>
      </c>
    </row>
    <row r="41" customFormat="false" ht="15" hidden="false" customHeight="false" outlineLevel="0" collapsed="false">
      <c r="A41" s="36" t="n">
        <f aca="false">IF(INPUT!B37="","",INPUT!A37)</f>
        <v>33</v>
      </c>
      <c r="B41" s="26" t="str">
        <f aca="false">IF(A41="","",INPUT!B37)</f>
        <v>Valeria Grayson</v>
      </c>
      <c r="C41" s="26" t="str">
        <f aca="false">IF(A41="","",INPUT!C37)</f>
        <v>Yancey, S.</v>
      </c>
      <c r="D41" s="40" t="str">
        <f aca="false">IF(A41="","",INPUT!D37)</f>
        <v>PC</v>
      </c>
      <c r="E41" s="27" t="n">
        <f aca="false">IF(A41="","",N(INPUT!E37))</f>
        <v>5</v>
      </c>
      <c r="F41" s="27" t="n">
        <f aca="false">IF(A41="","",N(INPUT!F37))</f>
        <v>58</v>
      </c>
      <c r="G41" s="27" t="n">
        <f aca="false">IF(A41="","",COUNTIFS(vis_CGID,INPUT!J37,vis_ClientID,INPUT!K37,vis_Svc,D41,vis_Status,"Verified",vis_InWeek,"Yes"))</f>
        <v>5</v>
      </c>
      <c r="H41" s="27" t="n">
        <f aca="false">IF(A41="","",SUMIFS(vis_Units,vis_CGID,INPUT!J37,vis_ClientID,INPUT!K37,vis_Svc,D41,vis_Status,"Verified",vis_InWeek,"Yes"))</f>
        <v>58</v>
      </c>
      <c r="I41" s="45" t="n">
        <f aca="false">IF(A41="","",MAX(0,F41-H41))</f>
        <v>0</v>
      </c>
      <c r="J41" s="41" t="n">
        <f aca="false">IF(A41="","",ROUND(I41*N(INPUT!L37),2))</f>
        <v>0</v>
      </c>
      <c r="K41" s="40" t="str">
        <f aca="false">IF(A41="","",INPUT!H37)</f>
        <v>Pay</v>
      </c>
      <c r="L41" s="40" t="str">
        <f aca="false">IF(A41="","",IF(G41=0,"No matching visits",IF(I41&gt;0,"Units exceed visits",IF(E41&lt;&gt;G41,"Day count differs","OK"))))</f>
        <v>OK</v>
      </c>
      <c r="M41" s="40" t="str">
        <f aca="false">IF(A41="","",IF(L41="OK","",IF(K41="Hold","On hold","Review before paying")))</f>
        <v/>
      </c>
    </row>
    <row r="42" customFormat="false" ht="15" hidden="false" customHeight="false" outlineLevel="0" collapsed="false">
      <c r="A42" s="36" t="n">
        <f aca="false">IF(INPUT!B38="","",INPUT!A38)</f>
        <v>34</v>
      </c>
      <c r="B42" s="26" t="str">
        <f aca="false">IF(A42="","",INPUT!B38)</f>
        <v>Alicia Haddad</v>
      </c>
      <c r="C42" s="26" t="str">
        <f aca="false">IF(A42="","",INPUT!C38)</f>
        <v>Chandler, S.</v>
      </c>
      <c r="D42" s="40" t="str">
        <f aca="false">IF(A42="","",INPUT!D38)</f>
        <v>CO</v>
      </c>
      <c r="E42" s="27" t="n">
        <f aca="false">IF(A42="","",N(INPUT!E38))</f>
        <v>5</v>
      </c>
      <c r="F42" s="27" t="n">
        <f aca="false">IF(A42="","",N(INPUT!F38))</f>
        <v>58</v>
      </c>
      <c r="G42" s="27" t="n">
        <f aca="false">IF(A42="","",COUNTIFS(vis_CGID,INPUT!J38,vis_ClientID,INPUT!K38,vis_Svc,D42,vis_Status,"Verified",vis_InWeek,"Yes"))</f>
        <v>5</v>
      </c>
      <c r="H42" s="27" t="n">
        <f aca="false">IF(A42="","",SUMIFS(vis_Units,vis_CGID,INPUT!J38,vis_ClientID,INPUT!K38,vis_Svc,D42,vis_Status,"Verified",vis_InWeek,"Yes"))</f>
        <v>58</v>
      </c>
      <c r="I42" s="45" t="n">
        <f aca="false">IF(A42="","",MAX(0,F42-H42))</f>
        <v>0</v>
      </c>
      <c r="J42" s="41" t="n">
        <f aca="false">IF(A42="","",ROUND(I42*N(INPUT!L38),2))</f>
        <v>0</v>
      </c>
      <c r="K42" s="40" t="str">
        <f aca="false">IF(A42="","",INPUT!H38)</f>
        <v>Pay</v>
      </c>
      <c r="L42" s="40" t="str">
        <f aca="false">IF(A42="","",IF(G42=0,"No matching visits",IF(I42&gt;0,"Units exceed visits",IF(E42&lt;&gt;G42,"Day count differs","OK"))))</f>
        <v>OK</v>
      </c>
      <c r="M42" s="40" t="str">
        <f aca="false">IF(A42="","",IF(L42="OK","",IF(K42="Hold","On hold","Review before paying")))</f>
        <v/>
      </c>
    </row>
    <row r="43" customFormat="false" ht="15" hidden="false" customHeight="false" outlineLevel="0" collapsed="false">
      <c r="A43" s="36" t="n">
        <f aca="false">IF(INPUT!B39="","",INPUT!A39)</f>
        <v>35</v>
      </c>
      <c r="B43" s="26" t="str">
        <f aca="false">IF(A43="","",INPUT!B39)</f>
        <v>Janelle Holloway</v>
      </c>
      <c r="C43" s="26" t="str">
        <f aca="false">IF(A43="","",INPUT!C39)</f>
        <v>Marquez, R.</v>
      </c>
      <c r="D43" s="40" t="str">
        <f aca="false">IF(A43="","",INPUT!D39)</f>
        <v>HM</v>
      </c>
      <c r="E43" s="27" t="n">
        <f aca="false">IF(A43="","",N(INPUT!E39))</f>
        <v>3</v>
      </c>
      <c r="F43" s="27" t="n">
        <f aca="false">IF(A43="","",N(INPUT!F39))</f>
        <v>26</v>
      </c>
      <c r="G43" s="27" t="n">
        <f aca="false">IF(A43="","",COUNTIFS(vis_CGID,INPUT!J39,vis_ClientID,INPUT!K39,vis_Svc,D43,vis_Status,"Verified",vis_InWeek,"Yes"))</f>
        <v>2</v>
      </c>
      <c r="H43" s="27" t="n">
        <f aca="false">IF(A43="","",SUMIFS(vis_Units,vis_CGID,INPUT!J39,vis_ClientID,INPUT!K39,vis_Svc,D43,vis_Status,"Verified",vis_InWeek,"Yes"))</f>
        <v>20</v>
      </c>
      <c r="I43" s="45" t="n">
        <f aca="false">IF(A43="","",MAX(0,F43-H43))</f>
        <v>6</v>
      </c>
      <c r="J43" s="41" t="n">
        <f aca="false">IF(A43="","",ROUND(I43*N(INPUT!L39),2))</f>
        <v>27.6</v>
      </c>
      <c r="K43" s="40" t="str">
        <f aca="false">IF(A43="","",INPUT!H39)</f>
        <v>Hold</v>
      </c>
      <c r="L43" s="40" t="str">
        <f aca="false">IF(A43="","",IF(G43=0,"No matching visits",IF(I43&gt;0,"Units exceed visits",IF(E43&lt;&gt;G43,"Day count differs","OK"))))</f>
        <v>Units exceed visits</v>
      </c>
      <c r="M43" s="40" t="str">
        <f aca="false">IF(A43="","",IF(L43="OK","",IF(K43="Hold","On hold","Review before paying")))</f>
        <v>On hold</v>
      </c>
    </row>
    <row r="44" customFormat="false" ht="15" hidden="false" customHeight="false" outlineLevel="0" collapsed="false">
      <c r="A44" s="36" t="n">
        <f aca="false">IF(INPUT!B40="","",INPUT!A40)</f>
        <v>36</v>
      </c>
      <c r="B44" s="26" t="str">
        <f aca="false">IF(A44="","",INPUT!B40)</f>
        <v>Elise Kowalski</v>
      </c>
      <c r="C44" s="26" t="str">
        <f aca="false">IF(A44="","",INPUT!C40)</f>
        <v>Landry, M.</v>
      </c>
      <c r="D44" s="40" t="str">
        <f aca="false">IF(A44="","",INPUT!D40)</f>
        <v>HM</v>
      </c>
      <c r="E44" s="27" t="n">
        <f aca="false">IF(A44="","",N(INPUT!E40))</f>
        <v>5</v>
      </c>
      <c r="F44" s="27" t="n">
        <f aca="false">IF(A44="","",N(INPUT!F40))</f>
        <v>46</v>
      </c>
      <c r="G44" s="27" t="n">
        <f aca="false">IF(A44="","",COUNTIFS(vis_CGID,INPUT!J40,vis_ClientID,INPUT!K40,vis_Svc,D44,vis_Status,"Verified",vis_InWeek,"Yes"))</f>
        <v>5</v>
      </c>
      <c r="H44" s="27" t="n">
        <f aca="false">IF(A44="","",SUMIFS(vis_Units,vis_CGID,INPUT!J40,vis_ClientID,INPUT!K40,vis_Svc,D44,vis_Status,"Verified",vis_InWeek,"Yes"))</f>
        <v>46</v>
      </c>
      <c r="I44" s="45" t="n">
        <f aca="false">IF(A44="","",MAX(0,F44-H44))</f>
        <v>0</v>
      </c>
      <c r="J44" s="41" t="n">
        <f aca="false">IF(A44="","",ROUND(I44*N(INPUT!L40),2))</f>
        <v>0</v>
      </c>
      <c r="K44" s="40" t="str">
        <f aca="false">IF(A44="","",INPUT!H40)</f>
        <v>Pay</v>
      </c>
      <c r="L44" s="40" t="str">
        <f aca="false">IF(A44="","",IF(G44=0,"No matching visits",IF(I44&gt;0,"Units exceed visits",IF(E44&lt;&gt;G44,"Day count differs","OK"))))</f>
        <v>OK</v>
      </c>
      <c r="M44" s="40" t="str">
        <f aca="false">IF(A44="","",IF(L44="OK","",IF(K44="Hold","On hold","Review before paying")))</f>
        <v/>
      </c>
    </row>
    <row r="45" customFormat="false" ht="15" hidden="false" customHeight="false" outlineLevel="0" collapsed="false">
      <c r="A45" s="36" t="n">
        <f aca="false">IF(INPUT!B41="","",INPUT!A41)</f>
        <v>37</v>
      </c>
      <c r="B45" s="26" t="str">
        <f aca="false">IF(A45="","",INPUT!B41)</f>
        <v>Elise Kowalski</v>
      </c>
      <c r="C45" s="26" t="str">
        <f aca="false">IF(A45="","",INPUT!C41)</f>
        <v>Pacheco, N.</v>
      </c>
      <c r="D45" s="40" t="str">
        <f aca="false">IF(A45="","",INPUT!D41)</f>
        <v>PC</v>
      </c>
      <c r="E45" s="27" t="n">
        <f aca="false">IF(A45="","",N(INPUT!E41))</f>
        <v>4</v>
      </c>
      <c r="F45" s="27" t="n">
        <f aca="false">IF(A45="","",N(INPUT!F41))</f>
        <v>56</v>
      </c>
      <c r="G45" s="27" t="n">
        <f aca="false">IF(A45="","",COUNTIFS(vis_CGID,INPUT!J41,vis_ClientID,INPUT!K41,vis_Svc,D45,vis_Status,"Verified",vis_InWeek,"Yes"))</f>
        <v>4</v>
      </c>
      <c r="H45" s="27" t="n">
        <f aca="false">IF(A45="","",SUMIFS(vis_Units,vis_CGID,INPUT!J41,vis_ClientID,INPUT!K41,vis_Svc,D45,vis_Status,"Verified",vis_InWeek,"Yes"))</f>
        <v>56</v>
      </c>
      <c r="I45" s="45" t="n">
        <f aca="false">IF(A45="","",MAX(0,F45-H45))</f>
        <v>0</v>
      </c>
      <c r="J45" s="41" t="n">
        <f aca="false">IF(A45="","",ROUND(I45*N(INPUT!L41),2))</f>
        <v>0</v>
      </c>
      <c r="K45" s="40" t="str">
        <f aca="false">IF(A45="","",INPUT!H41)</f>
        <v>Pay</v>
      </c>
      <c r="L45" s="40" t="str">
        <f aca="false">IF(A45="","",IF(G45=0,"No matching visits",IF(I45&gt;0,"Units exceed visits",IF(E45&lt;&gt;G45,"Day count differs","OK"))))</f>
        <v>OK</v>
      </c>
      <c r="M45" s="40" t="str">
        <f aca="false">IF(A45="","",IF(L45="OK","",IF(K45="Hold","On hold","Review before paying")))</f>
        <v/>
      </c>
    </row>
    <row r="46" customFormat="false" ht="15" hidden="false" customHeight="false" outlineLevel="0" collapsed="false">
      <c r="A46" s="36" t="n">
        <f aca="false">IF(INPUT!B42="","",INPUT!A42)</f>
        <v>38</v>
      </c>
      <c r="B46" s="26" t="str">
        <f aca="false">IF(A46="","",INPUT!B42)</f>
        <v>Hana Ledbetter</v>
      </c>
      <c r="C46" s="26" t="str">
        <f aca="false">IF(A46="","",INPUT!C42)</f>
        <v>Grayson, C.</v>
      </c>
      <c r="D46" s="40" t="str">
        <f aca="false">IF(A46="","",INPUT!D42)</f>
        <v>PC</v>
      </c>
      <c r="E46" s="27" t="n">
        <f aca="false">IF(A46="","",N(INPUT!E42))</f>
        <v>4</v>
      </c>
      <c r="F46" s="27" t="n">
        <f aca="false">IF(A46="","",N(INPUT!F42))</f>
        <v>42</v>
      </c>
      <c r="G46" s="27" t="n">
        <f aca="false">IF(A46="","",COUNTIFS(vis_CGID,INPUT!J42,vis_ClientID,INPUT!K42,vis_Svc,D46,vis_Status,"Verified",vis_InWeek,"Yes"))</f>
        <v>4</v>
      </c>
      <c r="H46" s="27" t="n">
        <f aca="false">IF(A46="","",SUMIFS(vis_Units,vis_CGID,INPUT!J42,vis_ClientID,INPUT!K42,vis_Svc,D46,vis_Status,"Verified",vis_InWeek,"Yes"))</f>
        <v>42</v>
      </c>
      <c r="I46" s="45" t="n">
        <f aca="false">IF(A46="","",MAX(0,F46-H46))</f>
        <v>0</v>
      </c>
      <c r="J46" s="41" t="n">
        <f aca="false">IF(A46="","",ROUND(I46*N(INPUT!L42),2))</f>
        <v>0</v>
      </c>
      <c r="K46" s="40" t="str">
        <f aca="false">IF(A46="","",INPUT!H42)</f>
        <v>Pay</v>
      </c>
      <c r="L46" s="40" t="str">
        <f aca="false">IF(A46="","",IF(G46=0,"No matching visits",IF(I46&gt;0,"Units exceed visits",IF(E46&lt;&gt;G46,"Day count differs","OK"))))</f>
        <v>OK</v>
      </c>
      <c r="M46" s="40" t="str">
        <f aca="false">IF(A46="","",IF(L46="OK","",IF(K46="Hold","On hold","Review before paying")))</f>
        <v/>
      </c>
    </row>
    <row r="47" customFormat="false" ht="15" hidden="false" customHeight="false" outlineLevel="0" collapsed="false">
      <c r="A47" s="36" t="n">
        <f aca="false">IF(INPUT!B43="","",INPUT!A43)</f>
        <v>39</v>
      </c>
      <c r="B47" s="26" t="str">
        <f aca="false">IF(A47="","",INPUT!B43)</f>
        <v>Hana Ledbetter</v>
      </c>
      <c r="C47" s="26" t="str">
        <f aca="false">IF(A47="","",INPUT!C43)</f>
        <v>Sampson, H.</v>
      </c>
      <c r="D47" s="40" t="str">
        <f aca="false">IF(A47="","",INPUT!D43)</f>
        <v>HM</v>
      </c>
      <c r="E47" s="27" t="n">
        <f aca="false">IF(A47="","",N(INPUT!E43))</f>
        <v>3</v>
      </c>
      <c r="F47" s="27" t="n">
        <f aca="false">IF(A47="","",N(INPUT!F43))</f>
        <v>30</v>
      </c>
      <c r="G47" s="27" t="n">
        <f aca="false">IF(A47="","",COUNTIFS(vis_CGID,INPUT!J43,vis_ClientID,INPUT!K43,vis_Svc,D47,vis_Status,"Verified",vis_InWeek,"Yes"))</f>
        <v>3</v>
      </c>
      <c r="H47" s="27" t="n">
        <f aca="false">IF(A47="","",SUMIFS(vis_Units,vis_CGID,INPUT!J43,vis_ClientID,INPUT!K43,vis_Svc,D47,vis_Status,"Verified",vis_InWeek,"Yes"))</f>
        <v>30</v>
      </c>
      <c r="I47" s="45" t="n">
        <f aca="false">IF(A47="","",MAX(0,F47-H47))</f>
        <v>0</v>
      </c>
      <c r="J47" s="41" t="n">
        <f aca="false">IF(A47="","",ROUND(I47*N(INPUT!L43),2))</f>
        <v>0</v>
      </c>
      <c r="K47" s="40" t="str">
        <f aca="false">IF(A47="","",INPUT!H43)</f>
        <v>Pay</v>
      </c>
      <c r="L47" s="40" t="str">
        <f aca="false">IF(A47="","",IF(G47=0,"No matching visits",IF(I47&gt;0,"Units exceed visits",IF(E47&lt;&gt;G47,"Day count differs","OK"))))</f>
        <v>OK</v>
      </c>
      <c r="M47" s="40" t="str">
        <f aca="false">IF(A47="","",IF(L47="OK","",IF(K47="Hold","On hold","Review before paying")))</f>
        <v/>
      </c>
    </row>
    <row r="48" customFormat="false" ht="15" hidden="false" customHeight="false" outlineLevel="0" collapsed="false">
      <c r="A48" s="36" t="n">
        <f aca="false">IF(INPUT!B44="","",INPUT!A44)</f>
        <v>40</v>
      </c>
      <c r="B48" s="26" t="str">
        <f aca="false">IF(A48="","",INPUT!B44)</f>
        <v>Adrienne Macias</v>
      </c>
      <c r="C48" s="26" t="str">
        <f aca="false">IF(A48="","",INPUT!C44)</f>
        <v>Kowalski, D.</v>
      </c>
      <c r="D48" s="40" t="str">
        <f aca="false">IF(A48="","",INPUT!D44)</f>
        <v>PC</v>
      </c>
      <c r="E48" s="27" t="n">
        <f aca="false">IF(A48="","",N(INPUT!E44))</f>
        <v>5</v>
      </c>
      <c r="F48" s="27" t="n">
        <f aca="false">IF(A48="","",N(INPUT!F44))</f>
        <v>62</v>
      </c>
      <c r="G48" s="27" t="n">
        <f aca="false">IF(A48="","",COUNTIFS(vis_CGID,INPUT!J44,vis_ClientID,INPUT!K44,vis_Svc,D48,vis_Status,"Verified",vis_InWeek,"Yes"))</f>
        <v>5</v>
      </c>
      <c r="H48" s="27" t="n">
        <f aca="false">IF(A48="","",SUMIFS(vis_Units,vis_CGID,INPUT!J44,vis_ClientID,INPUT!K44,vis_Svc,D48,vis_Status,"Verified",vis_InWeek,"Yes"))</f>
        <v>62</v>
      </c>
      <c r="I48" s="45" t="n">
        <f aca="false">IF(A48="","",MAX(0,F48-H48))</f>
        <v>0</v>
      </c>
      <c r="J48" s="41" t="n">
        <f aca="false">IF(A48="","",ROUND(I48*N(INPUT!L44),2))</f>
        <v>0</v>
      </c>
      <c r="K48" s="40" t="str">
        <f aca="false">IF(A48="","",INPUT!H44)</f>
        <v>Pay</v>
      </c>
      <c r="L48" s="40" t="str">
        <f aca="false">IF(A48="","",IF(G48=0,"No matching visits",IF(I48&gt;0,"Units exceed visits",IF(E48&lt;&gt;G48,"Day count differs","OK"))))</f>
        <v>OK</v>
      </c>
      <c r="M48" s="40" t="str">
        <f aca="false">IF(A48="","",IF(L48="OK","",IF(K48="Hold","On hold","Review before paying")))</f>
        <v/>
      </c>
    </row>
    <row r="49" customFormat="false" ht="15" hidden="false" customHeight="false" outlineLevel="0" collapsed="false">
      <c r="A49" s="36" t="n">
        <f aca="false">IF(INPUT!B45="","",INPUT!A45)</f>
        <v>41</v>
      </c>
      <c r="B49" s="26" t="str">
        <f aca="false">IF(A49="","",INPUT!B45)</f>
        <v>Jasmine Mendoza</v>
      </c>
      <c r="C49" s="26" t="str">
        <f aca="false">IF(A49="","",INPUT!C45)</f>
        <v>Ledbetter, D.</v>
      </c>
      <c r="D49" s="40" t="str">
        <f aca="false">IF(A49="","",INPUT!D45)</f>
        <v>PC</v>
      </c>
      <c r="E49" s="27" t="n">
        <f aca="false">IF(A49="","",N(INPUT!E45))</f>
        <v>5</v>
      </c>
      <c r="F49" s="27" t="n">
        <f aca="false">IF(A49="","",N(INPUT!F45))</f>
        <v>58</v>
      </c>
      <c r="G49" s="27" t="n">
        <f aca="false">IF(A49="","",COUNTIFS(vis_CGID,INPUT!J45,vis_ClientID,INPUT!K45,vis_Svc,D49,vis_Status,"Verified",vis_InWeek,"Yes"))</f>
        <v>5</v>
      </c>
      <c r="H49" s="27" t="n">
        <f aca="false">IF(A49="","",SUMIFS(vis_Units,vis_CGID,INPUT!J45,vis_ClientID,INPUT!K45,vis_Svc,D49,vis_Status,"Verified",vis_InWeek,"Yes"))</f>
        <v>58</v>
      </c>
      <c r="I49" s="45" t="n">
        <f aca="false">IF(A49="","",MAX(0,F49-H49))</f>
        <v>0</v>
      </c>
      <c r="J49" s="41" t="n">
        <f aca="false">IF(A49="","",ROUND(I49*N(INPUT!L45),2))</f>
        <v>0</v>
      </c>
      <c r="K49" s="40" t="str">
        <f aca="false">IF(A49="","",INPUT!H45)</f>
        <v>Pay</v>
      </c>
      <c r="L49" s="40" t="str">
        <f aca="false">IF(A49="","",IF(G49=0,"No matching visits",IF(I49&gt;0,"Units exceed visits",IF(E49&lt;&gt;G49,"Day count differs","OK"))))</f>
        <v>OK</v>
      </c>
      <c r="M49" s="40" t="str">
        <f aca="false">IF(A49="","",IF(L49="OK","",IF(K49="Hold","On hold","Review before paying")))</f>
        <v/>
      </c>
    </row>
    <row r="50" customFormat="false" ht="15" hidden="false" customHeight="false" outlineLevel="0" collapsed="false">
      <c r="A50" s="36" t="n">
        <f aca="false">IF(INPUT!B46="","",INPUT!A46)</f>
        <v>42</v>
      </c>
      <c r="B50" s="26" t="str">
        <f aca="false">IF(A50="","",INPUT!B46)</f>
        <v>Aria Mercer</v>
      </c>
      <c r="C50" s="26" t="str">
        <f aca="false">IF(A50="","",INPUT!C46)</f>
        <v>Grayson, L.</v>
      </c>
      <c r="D50" s="40" t="str">
        <f aca="false">IF(A50="","",INPUT!D46)</f>
        <v>HM</v>
      </c>
      <c r="E50" s="27" t="n">
        <f aca="false">IF(A50="","",N(INPUT!E46))</f>
        <v>3</v>
      </c>
      <c r="F50" s="27" t="n">
        <f aca="false">IF(A50="","",N(INPUT!F46))</f>
        <v>30</v>
      </c>
      <c r="G50" s="27" t="n">
        <f aca="false">IF(A50="","",COUNTIFS(vis_CGID,INPUT!J46,vis_ClientID,INPUT!K46,vis_Svc,D50,vis_Status,"Verified",vis_InWeek,"Yes"))</f>
        <v>3</v>
      </c>
      <c r="H50" s="27" t="n">
        <f aca="false">IF(A50="","",SUMIFS(vis_Units,vis_CGID,INPUT!J46,vis_ClientID,INPUT!K46,vis_Svc,D50,vis_Status,"Verified",vis_InWeek,"Yes"))</f>
        <v>30</v>
      </c>
      <c r="I50" s="45" t="n">
        <f aca="false">IF(A50="","",MAX(0,F50-H50))</f>
        <v>0</v>
      </c>
      <c r="J50" s="41" t="n">
        <f aca="false">IF(A50="","",ROUND(I50*N(INPUT!L46),2))</f>
        <v>0</v>
      </c>
      <c r="K50" s="40" t="str">
        <f aca="false">IF(A50="","",INPUT!H46)</f>
        <v>Pay</v>
      </c>
      <c r="L50" s="40" t="str">
        <f aca="false">IF(A50="","",IF(G50=0,"No matching visits",IF(I50&gt;0,"Units exceed visits",IF(E50&lt;&gt;G50,"Day count differs","OK"))))</f>
        <v>OK</v>
      </c>
      <c r="M50" s="40" t="str">
        <f aca="false">IF(A50="","",IF(L50="OK","",IF(K50="Hold","On hold","Review before paying")))</f>
        <v/>
      </c>
    </row>
    <row r="51" customFormat="false" ht="15" hidden="false" customHeight="false" outlineLevel="0" collapsed="false">
      <c r="A51" s="36" t="n">
        <f aca="false">IF(INPUT!B47="","",INPUT!A47)</f>
        <v>43</v>
      </c>
      <c r="B51" s="26" t="str">
        <f aca="false">IF(A51="","",INPUT!B47)</f>
        <v>Andre Montoya</v>
      </c>
      <c r="C51" s="26" t="str">
        <f aca="false">IF(A51="","",INPUT!C47)</f>
        <v>Chandler, S.</v>
      </c>
      <c r="D51" s="40" t="str">
        <f aca="false">IF(A51="","",INPUT!D47)</f>
        <v>CO</v>
      </c>
      <c r="E51" s="27" t="n">
        <f aca="false">IF(A51="","",N(INPUT!E47))</f>
        <v>2</v>
      </c>
      <c r="F51" s="27" t="n">
        <f aca="false">IF(A51="","",N(INPUT!F47))</f>
        <v>28</v>
      </c>
      <c r="G51" s="27" t="n">
        <f aca="false">IF(A51="","",COUNTIFS(vis_CGID,INPUT!J47,vis_ClientID,INPUT!K47,vis_Svc,D51,vis_Status,"Verified",vis_InWeek,"Yes"))</f>
        <v>2</v>
      </c>
      <c r="H51" s="27" t="n">
        <f aca="false">IF(A51="","",SUMIFS(vis_Units,vis_CGID,INPUT!J47,vis_ClientID,INPUT!K47,vis_Svc,D51,vis_Status,"Verified",vis_InWeek,"Yes"))</f>
        <v>28</v>
      </c>
      <c r="I51" s="45" t="n">
        <f aca="false">IF(A51="","",MAX(0,F51-H51))</f>
        <v>0</v>
      </c>
      <c r="J51" s="41" t="n">
        <f aca="false">IF(A51="","",ROUND(I51*N(INPUT!L47),2))</f>
        <v>0</v>
      </c>
      <c r="K51" s="40" t="str">
        <f aca="false">IF(A51="","",INPUT!H47)</f>
        <v>Pay</v>
      </c>
      <c r="L51" s="40" t="str">
        <f aca="false">IF(A51="","",IF(G51=0,"No matching visits",IF(I51&gt;0,"Units exceed visits",IF(E51&lt;&gt;G51,"Day count differs","OK"))))</f>
        <v>OK</v>
      </c>
      <c r="M51" s="40" t="str">
        <f aca="false">IF(A51="","",IF(L51="OK","",IF(K51="Hold","On hold","Review before paying")))</f>
        <v/>
      </c>
    </row>
    <row r="52" customFormat="false" ht="15" hidden="false" customHeight="false" outlineLevel="0" collapsed="false">
      <c r="A52" s="36" t="n">
        <f aca="false">IF(INPUT!B48="","",INPUT!A48)</f>
        <v>44</v>
      </c>
      <c r="B52" s="26" t="str">
        <f aca="false">IF(A52="","",INPUT!B48)</f>
        <v>Andre Montoya</v>
      </c>
      <c r="C52" s="26" t="str">
        <f aca="false">IF(A52="","",INPUT!C48)</f>
        <v>Easley, S.</v>
      </c>
      <c r="D52" s="40" t="str">
        <f aca="false">IF(A52="","",INPUT!D48)</f>
        <v>CO</v>
      </c>
      <c r="E52" s="27" t="n">
        <f aca="false">IF(A52="","",N(INPUT!E48))</f>
        <v>2</v>
      </c>
      <c r="F52" s="27" t="n">
        <f aca="false">IF(A52="","",N(INPUT!F48))</f>
        <v>22</v>
      </c>
      <c r="G52" s="27" t="n">
        <f aca="false">IF(A52="","",COUNTIFS(vis_CGID,INPUT!J48,vis_ClientID,INPUT!K48,vis_Svc,D52,vis_Status,"Verified",vis_InWeek,"Yes"))</f>
        <v>2</v>
      </c>
      <c r="H52" s="27" t="n">
        <f aca="false">IF(A52="","",SUMIFS(vis_Units,vis_CGID,INPUT!J48,vis_ClientID,INPUT!K48,vis_Svc,D52,vis_Status,"Verified",vis_InWeek,"Yes"))</f>
        <v>22</v>
      </c>
      <c r="I52" s="45" t="n">
        <f aca="false">IF(A52="","",MAX(0,F52-H52))</f>
        <v>0</v>
      </c>
      <c r="J52" s="41" t="n">
        <f aca="false">IF(A52="","",ROUND(I52*N(INPUT!L48),2))</f>
        <v>0</v>
      </c>
      <c r="K52" s="40" t="str">
        <f aca="false">IF(A52="","",INPUT!H48)</f>
        <v>Pay</v>
      </c>
      <c r="L52" s="40" t="str">
        <f aca="false">IF(A52="","",IF(G52=0,"No matching visits",IF(I52&gt;0,"Units exceed visits",IF(E52&lt;&gt;G52,"Day count differs","OK"))))</f>
        <v>OK</v>
      </c>
      <c r="M52" s="40" t="str">
        <f aca="false">IF(A52="","",IF(L52="OK","",IF(K52="Hold","On hold","Review before paying")))</f>
        <v/>
      </c>
    </row>
    <row r="53" customFormat="false" ht="15" hidden="false" customHeight="false" outlineLevel="0" collapsed="false">
      <c r="A53" s="36" t="n">
        <f aca="false">IF(INPUT!B49="","",INPUT!A49)</f>
        <v>45</v>
      </c>
      <c r="B53" s="26" t="str">
        <f aca="false">IF(A53="","",INPUT!B49)</f>
        <v>Rosa Ochoa</v>
      </c>
      <c r="C53" s="26" t="str">
        <f aca="false">IF(A53="","",INPUT!C49)</f>
        <v>Abernathy, R.</v>
      </c>
      <c r="D53" s="40" t="str">
        <f aca="false">IF(A53="","",INPUT!D49)</f>
        <v>RS</v>
      </c>
      <c r="E53" s="27" t="n">
        <f aca="false">IF(A53="","",N(INPUT!E49))</f>
        <v>2</v>
      </c>
      <c r="F53" s="27" t="n">
        <f aca="false">IF(A53="","",N(INPUT!F49))</f>
        <v>58</v>
      </c>
      <c r="G53" s="27" t="n">
        <f aca="false">IF(A53="","",COUNTIFS(vis_CGID,INPUT!J49,vis_ClientID,INPUT!K49,vis_Svc,D53,vis_Status,"Verified",vis_InWeek,"Yes"))</f>
        <v>2</v>
      </c>
      <c r="H53" s="27" t="n">
        <f aca="false">IF(A53="","",SUMIFS(vis_Units,vis_CGID,INPUT!J49,vis_ClientID,INPUT!K49,vis_Svc,D53,vis_Status,"Verified",vis_InWeek,"Yes"))</f>
        <v>58</v>
      </c>
      <c r="I53" s="45" t="n">
        <f aca="false">IF(A53="","",MAX(0,F53-H53))</f>
        <v>0</v>
      </c>
      <c r="J53" s="41" t="n">
        <f aca="false">IF(A53="","",ROUND(I53*N(INPUT!L49),2))</f>
        <v>0</v>
      </c>
      <c r="K53" s="40" t="str">
        <f aca="false">IF(A53="","",INPUT!H49)</f>
        <v>Pay</v>
      </c>
      <c r="L53" s="40" t="str">
        <f aca="false">IF(A53="","",IF(G53=0,"No matching visits",IF(I53&gt;0,"Units exceed visits",IF(E53&lt;&gt;G53,"Day count differs","OK"))))</f>
        <v>OK</v>
      </c>
      <c r="M53" s="40" t="str">
        <f aca="false">IF(A53="","",IF(L53="OK","",IF(K53="Hold","On hold","Review before paying")))</f>
        <v/>
      </c>
    </row>
    <row r="54" customFormat="false" ht="15" hidden="false" customHeight="false" outlineLevel="0" collapsed="false">
      <c r="A54" s="36" t="n">
        <f aca="false">IF(INPUT!B50="","",INPUT!A50)</f>
        <v>46</v>
      </c>
      <c r="B54" s="26" t="str">
        <f aca="false">IF(A54="","",INPUT!B50)</f>
        <v>Rosa Ochoa</v>
      </c>
      <c r="C54" s="26" t="str">
        <f aca="false">IF(A54="","",INPUT!C50)</f>
        <v>Galloway, V.</v>
      </c>
      <c r="D54" s="40" t="str">
        <f aca="false">IF(A54="","",INPUT!D50)</f>
        <v>PC</v>
      </c>
      <c r="E54" s="27" t="n">
        <f aca="false">IF(A54="","",N(INPUT!E50))</f>
        <v>4</v>
      </c>
      <c r="F54" s="27" t="n">
        <f aca="false">IF(A54="","",N(INPUT!F50))</f>
        <v>46</v>
      </c>
      <c r="G54" s="27" t="n">
        <f aca="false">IF(A54="","",COUNTIFS(vis_CGID,INPUT!J50,vis_ClientID,INPUT!K50,vis_Svc,D54,vis_Status,"Verified",vis_InWeek,"Yes"))</f>
        <v>4</v>
      </c>
      <c r="H54" s="27" t="n">
        <f aca="false">IF(A54="","",SUMIFS(vis_Units,vis_CGID,INPUT!J50,vis_ClientID,INPUT!K50,vis_Svc,D54,vis_Status,"Verified",vis_InWeek,"Yes"))</f>
        <v>46</v>
      </c>
      <c r="I54" s="45" t="n">
        <f aca="false">IF(A54="","",MAX(0,F54-H54))</f>
        <v>0</v>
      </c>
      <c r="J54" s="41" t="n">
        <f aca="false">IF(A54="","",ROUND(I54*N(INPUT!L50),2))</f>
        <v>0</v>
      </c>
      <c r="K54" s="40" t="str">
        <f aca="false">IF(A54="","",INPUT!H50)</f>
        <v>Pay</v>
      </c>
      <c r="L54" s="40" t="str">
        <f aca="false">IF(A54="","",IF(G54=0,"No matching visits",IF(I54&gt;0,"Units exceed visits",IF(E54&lt;&gt;G54,"Day count differs","OK"))))</f>
        <v>OK</v>
      </c>
      <c r="M54" s="40" t="str">
        <f aca="false">IF(A54="","",IF(L54="OK","",IF(K54="Hold","On hold","Review before paying")))</f>
        <v/>
      </c>
    </row>
    <row r="55" customFormat="false" ht="15" hidden="false" customHeight="false" outlineLevel="0" collapsed="false">
      <c r="A55" s="36" t="n">
        <f aca="false">IF(INPUT!B51="","",INPUT!A51)</f>
        <v>47</v>
      </c>
      <c r="B55" s="26" t="str">
        <f aca="false">IF(A55="","",INPUT!B51)</f>
        <v>Elise Odom</v>
      </c>
      <c r="C55" s="26" t="str">
        <f aca="false">IF(A55="","",INPUT!C51)</f>
        <v>Ashford, A.</v>
      </c>
      <c r="D55" s="40" t="str">
        <f aca="false">IF(A55="","",INPUT!D51)</f>
        <v>PC</v>
      </c>
      <c r="E55" s="27" t="n">
        <f aca="false">IF(A55="","",N(INPUT!E51))</f>
        <v>4</v>
      </c>
      <c r="F55" s="27" t="n">
        <f aca="false">IF(A55="","",N(INPUT!F51))</f>
        <v>52</v>
      </c>
      <c r="G55" s="27" t="n">
        <f aca="false">IF(A55="","",COUNTIFS(vis_CGID,INPUT!J51,vis_ClientID,INPUT!K51,vis_Svc,D55,vis_Status,"Verified",vis_InWeek,"Yes"))</f>
        <v>4</v>
      </c>
      <c r="H55" s="27" t="n">
        <f aca="false">IF(A55="","",SUMIFS(vis_Units,vis_CGID,INPUT!J51,vis_ClientID,INPUT!K51,vis_Svc,D55,vis_Status,"Verified",vis_InWeek,"Yes"))</f>
        <v>52</v>
      </c>
      <c r="I55" s="45" t="n">
        <f aca="false">IF(A55="","",MAX(0,F55-H55))</f>
        <v>0</v>
      </c>
      <c r="J55" s="41" t="n">
        <f aca="false">IF(A55="","",ROUND(I55*N(INPUT!L51),2))</f>
        <v>0</v>
      </c>
      <c r="K55" s="40" t="str">
        <f aca="false">IF(A55="","",INPUT!H51)</f>
        <v>Pay</v>
      </c>
      <c r="L55" s="40" t="str">
        <f aca="false">IF(A55="","",IF(G55=0,"No matching visits",IF(I55&gt;0,"Units exceed visits",IF(E55&lt;&gt;G55,"Day count differs","OK"))))</f>
        <v>OK</v>
      </c>
      <c r="M55" s="40" t="str">
        <f aca="false">IF(A55="","",IF(L55="OK","",IF(K55="Hold","On hold","Review before paying")))</f>
        <v/>
      </c>
    </row>
    <row r="56" customFormat="false" ht="15" hidden="false" customHeight="false" outlineLevel="0" collapsed="false">
      <c r="A56" s="36" t="n">
        <f aca="false">IF(INPUT!B52="","",INPUT!A52)</f>
        <v>48</v>
      </c>
      <c r="B56" s="26" t="str">
        <f aca="false">IF(A56="","",INPUT!B52)</f>
        <v>Elise Odom</v>
      </c>
      <c r="C56" s="26" t="str">
        <f aca="false">IF(A56="","",INPUT!C52)</f>
        <v>Easley, S.</v>
      </c>
      <c r="D56" s="40" t="str">
        <f aca="false">IF(A56="","",INPUT!D52)</f>
        <v>HM</v>
      </c>
      <c r="E56" s="27" t="n">
        <f aca="false">IF(A56="","",N(INPUT!E52))</f>
        <v>2</v>
      </c>
      <c r="F56" s="27" t="n">
        <f aca="false">IF(A56="","",N(INPUT!F52))</f>
        <v>16</v>
      </c>
      <c r="G56" s="27" t="n">
        <f aca="false">IF(A56="","",COUNTIFS(vis_CGID,INPUT!J52,vis_ClientID,INPUT!K52,vis_Svc,D56,vis_Status,"Verified",vis_InWeek,"Yes"))</f>
        <v>2</v>
      </c>
      <c r="H56" s="27" t="n">
        <f aca="false">IF(A56="","",SUMIFS(vis_Units,vis_CGID,INPUT!J52,vis_ClientID,INPUT!K52,vis_Svc,D56,vis_Status,"Verified",vis_InWeek,"Yes"))</f>
        <v>16</v>
      </c>
      <c r="I56" s="45" t="n">
        <f aca="false">IF(A56="","",MAX(0,F56-H56))</f>
        <v>0</v>
      </c>
      <c r="J56" s="41" t="n">
        <f aca="false">IF(A56="","",ROUND(I56*N(INPUT!L52),2))</f>
        <v>0</v>
      </c>
      <c r="K56" s="40" t="str">
        <f aca="false">IF(A56="","",INPUT!H52)</f>
        <v>Pay</v>
      </c>
      <c r="L56" s="40" t="str">
        <f aca="false">IF(A56="","",IF(G56=0,"No matching visits",IF(I56&gt;0,"Units exceed visits",IF(E56&lt;&gt;G56,"Day count differs","OK"))))</f>
        <v>OK</v>
      </c>
      <c r="M56" s="40" t="str">
        <f aca="false">IF(A56="","",IF(L56="OK","",IF(K56="Hold","On hold","Review before paying")))</f>
        <v/>
      </c>
    </row>
    <row r="57" customFormat="false" ht="15" hidden="false" customHeight="false" outlineLevel="0" collapsed="false">
      <c r="A57" s="36" t="n">
        <f aca="false">IF(INPUT!B53="","",INPUT!A53)</f>
        <v>49</v>
      </c>
      <c r="B57" s="26" t="str">
        <f aca="false">IF(A57="","",INPUT!B53)</f>
        <v>Desmond Overton</v>
      </c>
      <c r="C57" s="26" t="str">
        <f aca="false">IF(A57="","",INPUT!C53)</f>
        <v>Pacheco, J.</v>
      </c>
      <c r="D57" s="40" t="str">
        <f aca="false">IF(A57="","",INPUT!D53)</f>
        <v>RS</v>
      </c>
      <c r="E57" s="27" t="n">
        <f aca="false">IF(A57="","",N(INPUT!E53))</f>
        <v>2</v>
      </c>
      <c r="F57" s="27" t="n">
        <f aca="false">IF(A57="","",N(INPUT!F53))</f>
        <v>40</v>
      </c>
      <c r="G57" s="27" t="n">
        <f aca="false">IF(A57="","",COUNTIFS(vis_CGID,INPUT!J53,vis_ClientID,INPUT!K53,vis_Svc,D57,vis_Status,"Verified",vis_InWeek,"Yes"))</f>
        <v>2</v>
      </c>
      <c r="H57" s="27" t="n">
        <f aca="false">IF(A57="","",SUMIFS(vis_Units,vis_CGID,INPUT!J53,vis_ClientID,INPUT!K53,vis_Svc,D57,vis_Status,"Verified",vis_InWeek,"Yes"))</f>
        <v>40</v>
      </c>
      <c r="I57" s="45" t="n">
        <f aca="false">IF(A57="","",MAX(0,F57-H57))</f>
        <v>0</v>
      </c>
      <c r="J57" s="41" t="n">
        <f aca="false">IF(A57="","",ROUND(I57*N(INPUT!L53),2))</f>
        <v>0</v>
      </c>
      <c r="K57" s="40" t="str">
        <f aca="false">IF(A57="","",INPUT!H53)</f>
        <v>Pay</v>
      </c>
      <c r="L57" s="40" t="str">
        <f aca="false">IF(A57="","",IF(G57=0,"No matching visits",IF(I57&gt;0,"Units exceed visits",IF(E57&lt;&gt;G57,"Day count differs","OK"))))</f>
        <v>OK</v>
      </c>
      <c r="M57" s="40" t="str">
        <f aca="false">IF(A57="","",IF(L57="OK","",IF(K57="Hold","On hold","Review before paying")))</f>
        <v/>
      </c>
    </row>
    <row r="58" customFormat="false" ht="15" hidden="false" customHeight="false" outlineLevel="0" collapsed="false">
      <c r="A58" s="36" t="n">
        <f aca="false">IF(INPUT!B54="","",INPUT!A54)</f>
        <v>50</v>
      </c>
      <c r="B58" s="26" t="str">
        <f aca="false">IF(A58="","",INPUT!B54)</f>
        <v>Dalia Parrish</v>
      </c>
      <c r="C58" s="26" t="str">
        <f aca="false">IF(A58="","",INPUT!C54)</f>
        <v>Fairley, E.</v>
      </c>
      <c r="D58" s="40" t="str">
        <f aca="false">IF(A58="","",INPUT!D54)</f>
        <v>PC</v>
      </c>
      <c r="E58" s="27" t="n">
        <f aca="false">IF(A58="","",N(INPUT!E54))</f>
        <v>3</v>
      </c>
      <c r="F58" s="27" t="n">
        <f aca="false">IF(A58="","",N(INPUT!F54))</f>
        <v>46</v>
      </c>
      <c r="G58" s="27" t="n">
        <f aca="false">IF(A58="","",COUNTIFS(vis_CGID,INPUT!J54,vis_ClientID,INPUT!K54,vis_Svc,D58,vis_Status,"Verified",vis_InWeek,"Yes"))</f>
        <v>3</v>
      </c>
      <c r="H58" s="27" t="n">
        <f aca="false">IF(A58="","",SUMIFS(vis_Units,vis_CGID,INPUT!J54,vis_ClientID,INPUT!K54,vis_Svc,D58,vis_Status,"Verified",vis_InWeek,"Yes"))</f>
        <v>46</v>
      </c>
      <c r="I58" s="45" t="n">
        <f aca="false">IF(A58="","",MAX(0,F58-H58))</f>
        <v>0</v>
      </c>
      <c r="J58" s="41" t="n">
        <f aca="false">IF(A58="","",ROUND(I58*N(INPUT!L54),2))</f>
        <v>0</v>
      </c>
      <c r="K58" s="40" t="str">
        <f aca="false">IF(A58="","",INPUT!H54)</f>
        <v>Pay</v>
      </c>
      <c r="L58" s="40" t="str">
        <f aca="false">IF(A58="","",IF(G58=0,"No matching visits",IF(I58&gt;0,"Units exceed visits",IF(E58&lt;&gt;G58,"Day count differs","OK"))))</f>
        <v>OK</v>
      </c>
      <c r="M58" s="40" t="str">
        <f aca="false">IF(A58="","",IF(L58="OK","",IF(K58="Hold","On hold","Review before paying")))</f>
        <v/>
      </c>
    </row>
    <row r="59" customFormat="false" ht="15" hidden="false" customHeight="false" outlineLevel="0" collapsed="false">
      <c r="A59" s="36" t="n">
        <f aca="false">IF(INPUT!B55="","",INPUT!A55)</f>
        <v>51</v>
      </c>
      <c r="B59" s="26" t="str">
        <f aca="false">IF(A59="","",INPUT!B55)</f>
        <v>Dalia Parrish</v>
      </c>
      <c r="C59" s="26" t="str">
        <f aca="false">IF(A59="","",INPUT!C55)</f>
        <v>Galloway, V.</v>
      </c>
      <c r="D59" s="40" t="str">
        <f aca="false">IF(A59="","",INPUT!D55)</f>
        <v>NV</v>
      </c>
      <c r="E59" s="27" t="n">
        <f aca="false">IF(A59="","",N(INPUT!E55))</f>
        <v>1</v>
      </c>
      <c r="F59" s="27" t="n">
        <f aca="false">IF(A59="","",N(INPUT!F55))</f>
        <v>1</v>
      </c>
      <c r="G59" s="27" t="n">
        <f aca="false">IF(A59="","",COUNTIFS(vis_CGID,INPUT!J55,vis_ClientID,INPUT!K55,vis_Svc,D59,vis_Status,"Verified",vis_InWeek,"Yes"))</f>
        <v>1</v>
      </c>
      <c r="H59" s="27" t="n">
        <f aca="false">IF(A59="","",SUMIFS(vis_Units,vis_CGID,INPUT!J55,vis_ClientID,INPUT!K55,vis_Svc,D59,vis_Status,"Verified",vis_InWeek,"Yes"))</f>
        <v>1</v>
      </c>
      <c r="I59" s="45" t="n">
        <f aca="false">IF(A59="","",MAX(0,F59-H59))</f>
        <v>0</v>
      </c>
      <c r="J59" s="41" t="n">
        <f aca="false">IF(A59="","",ROUND(I59*N(INPUT!L55),2))</f>
        <v>0</v>
      </c>
      <c r="K59" s="40" t="str">
        <f aca="false">IF(A59="","",INPUT!H55)</f>
        <v>Pay</v>
      </c>
      <c r="L59" s="40" t="str">
        <f aca="false">IF(A59="","",IF(G59=0,"No matching visits",IF(I59&gt;0,"Units exceed visits",IF(E59&lt;&gt;G59,"Day count differs","OK"))))</f>
        <v>OK</v>
      </c>
      <c r="M59" s="40" t="str">
        <f aca="false">IF(A59="","",IF(L59="OK","",IF(K59="Hold","On hold","Review before paying")))</f>
        <v/>
      </c>
    </row>
    <row r="60" customFormat="false" ht="15" hidden="false" customHeight="false" outlineLevel="0" collapsed="false">
      <c r="A60" s="36" t="n">
        <f aca="false">IF(INPUT!B56="","",INPUT!A56)</f>
        <v>52</v>
      </c>
      <c r="B60" s="26" t="str">
        <f aca="false">IF(A60="","",INPUT!B56)</f>
        <v>Corinne Prewitt</v>
      </c>
      <c r="C60" s="26" t="str">
        <f aca="false">IF(A60="","",INPUT!C56)</f>
        <v>Fairley, E.</v>
      </c>
      <c r="D60" s="40" t="str">
        <f aca="false">IF(A60="","",INPUT!D56)</f>
        <v>HM</v>
      </c>
      <c r="E60" s="27" t="n">
        <f aca="false">IF(A60="","",N(INPUT!E56))</f>
        <v>2</v>
      </c>
      <c r="F60" s="27" t="n">
        <f aca="false">IF(A60="","",N(INPUT!F56))</f>
        <v>22</v>
      </c>
      <c r="G60" s="27" t="n">
        <f aca="false">IF(A60="","",COUNTIFS(vis_CGID,INPUT!J56,vis_ClientID,INPUT!K56,vis_Svc,D60,vis_Status,"Verified",vis_InWeek,"Yes"))</f>
        <v>2</v>
      </c>
      <c r="H60" s="27" t="n">
        <f aca="false">IF(A60="","",SUMIFS(vis_Units,vis_CGID,INPUT!J56,vis_ClientID,INPUT!K56,vis_Svc,D60,vis_Status,"Verified",vis_InWeek,"Yes"))</f>
        <v>22</v>
      </c>
      <c r="I60" s="45" t="n">
        <f aca="false">IF(A60="","",MAX(0,F60-H60))</f>
        <v>0</v>
      </c>
      <c r="J60" s="41" t="n">
        <f aca="false">IF(A60="","",ROUND(I60*N(INPUT!L56),2))</f>
        <v>0</v>
      </c>
      <c r="K60" s="40" t="str">
        <f aca="false">IF(A60="","",INPUT!H56)</f>
        <v>Pay</v>
      </c>
      <c r="L60" s="40" t="str">
        <f aca="false">IF(A60="","",IF(G60=0,"No matching visits",IF(I60&gt;0,"Units exceed visits",IF(E60&lt;&gt;G60,"Day count differs","OK"))))</f>
        <v>OK</v>
      </c>
      <c r="M60" s="40" t="str">
        <f aca="false">IF(A60="","",IF(L60="OK","",IF(K60="Hold","On hold","Review before paying")))</f>
        <v/>
      </c>
    </row>
    <row r="61" customFormat="false" ht="15" hidden="false" customHeight="false" outlineLevel="0" collapsed="false">
      <c r="A61" s="36" t="n">
        <f aca="false">IF(INPUT!B57="","",INPUT!A57)</f>
        <v>53</v>
      </c>
      <c r="B61" s="26" t="str">
        <f aca="false">IF(A61="","",INPUT!B57)</f>
        <v>Selena Quintero</v>
      </c>
      <c r="C61" s="26" t="str">
        <f aca="false">IF(A61="","",INPUT!C57)</f>
        <v>Pacheco, G.</v>
      </c>
      <c r="D61" s="40" t="str">
        <f aca="false">IF(A61="","",INPUT!D57)</f>
        <v>CO</v>
      </c>
      <c r="E61" s="27" t="n">
        <f aca="false">IF(A61="","",N(INPUT!E57))</f>
        <v>4</v>
      </c>
      <c r="F61" s="27" t="n">
        <f aca="false">IF(A61="","",N(INPUT!F57))</f>
        <v>40</v>
      </c>
      <c r="G61" s="27" t="n">
        <f aca="false">IF(A61="","",COUNTIFS(vis_CGID,INPUT!J57,vis_ClientID,INPUT!K57,vis_Svc,D61,vis_Status,"Verified",vis_InWeek,"Yes"))</f>
        <v>4</v>
      </c>
      <c r="H61" s="27" t="n">
        <f aca="false">IF(A61="","",SUMIFS(vis_Units,vis_CGID,INPUT!J57,vis_ClientID,INPUT!K57,vis_Svc,D61,vis_Status,"Verified",vis_InWeek,"Yes"))</f>
        <v>40</v>
      </c>
      <c r="I61" s="45" t="n">
        <f aca="false">IF(A61="","",MAX(0,F61-H61))</f>
        <v>0</v>
      </c>
      <c r="J61" s="41" t="n">
        <f aca="false">IF(A61="","",ROUND(I61*N(INPUT!L57),2))</f>
        <v>0</v>
      </c>
      <c r="K61" s="40" t="str">
        <f aca="false">IF(A61="","",INPUT!H57)</f>
        <v>Pay</v>
      </c>
      <c r="L61" s="40" t="str">
        <f aca="false">IF(A61="","",IF(G61=0,"No matching visits",IF(I61&gt;0,"Units exceed visits",IF(E61&lt;&gt;G61,"Day count differs","OK"))))</f>
        <v>OK</v>
      </c>
      <c r="M61" s="40" t="str">
        <f aca="false">IF(A61="","",IF(L61="OK","",IF(K61="Hold","On hold","Review before paying")))</f>
        <v/>
      </c>
    </row>
    <row r="62" customFormat="false" ht="15" hidden="false" customHeight="false" outlineLevel="0" collapsed="false">
      <c r="A62" s="36" t="n">
        <f aca="false">IF(INPUT!B58="","",INPUT!A58)</f>
        <v>54</v>
      </c>
      <c r="B62" s="26" t="str">
        <f aca="false">IF(A62="","",INPUT!B58)</f>
        <v>Amara Rainey</v>
      </c>
      <c r="C62" s="26" t="str">
        <f aca="false">IF(A62="","",INPUT!C58)</f>
        <v>Pacheco, N.</v>
      </c>
      <c r="D62" s="40" t="str">
        <f aca="false">IF(A62="","",INPUT!D58)</f>
        <v>HM</v>
      </c>
      <c r="E62" s="27" t="n">
        <f aca="false">IF(A62="","",N(INPUT!E58))</f>
        <v>2</v>
      </c>
      <c r="F62" s="27" t="n">
        <f aca="false">IF(A62="","",N(INPUT!F58))</f>
        <v>18</v>
      </c>
      <c r="G62" s="27" t="n">
        <f aca="false">IF(A62="","",COUNTIFS(vis_CGID,INPUT!J58,vis_ClientID,INPUT!K58,vis_Svc,D62,vis_Status,"Verified",vis_InWeek,"Yes"))</f>
        <v>2</v>
      </c>
      <c r="H62" s="27" t="n">
        <f aca="false">IF(A62="","",SUMIFS(vis_Units,vis_CGID,INPUT!J58,vis_ClientID,INPUT!K58,vis_Svc,D62,vis_Status,"Verified",vis_InWeek,"Yes"))</f>
        <v>18</v>
      </c>
      <c r="I62" s="45" t="n">
        <f aca="false">IF(A62="","",MAX(0,F62-H62))</f>
        <v>0</v>
      </c>
      <c r="J62" s="41" t="n">
        <f aca="false">IF(A62="","",ROUND(I62*N(INPUT!L58),2))</f>
        <v>0</v>
      </c>
      <c r="K62" s="40" t="str">
        <f aca="false">IF(A62="","",INPUT!H58)</f>
        <v>Pay</v>
      </c>
      <c r="L62" s="40" t="str">
        <f aca="false">IF(A62="","",IF(G62=0,"No matching visits",IF(I62&gt;0,"Units exceed visits",IF(E62&lt;&gt;G62,"Day count differs","OK"))))</f>
        <v>OK</v>
      </c>
      <c r="M62" s="40" t="str">
        <f aca="false">IF(A62="","",IF(L62="OK","",IF(K62="Hold","On hold","Review before paying")))</f>
        <v/>
      </c>
    </row>
    <row r="63" customFormat="false" ht="15" hidden="false" customHeight="false" outlineLevel="0" collapsed="false">
      <c r="A63" s="36" t="n">
        <f aca="false">IF(INPUT!B59="","",INPUT!A59)</f>
        <v>55</v>
      </c>
      <c r="B63" s="26" t="str">
        <f aca="false">IF(A63="","",INPUT!B59)</f>
        <v>Hector Rosales</v>
      </c>
      <c r="C63" s="26" t="str">
        <f aca="false">IF(A63="","",INPUT!C59)</f>
        <v>Ashford, D.</v>
      </c>
      <c r="D63" s="40" t="str">
        <f aca="false">IF(A63="","",INPUT!D59)</f>
        <v>HM</v>
      </c>
      <c r="E63" s="27" t="n">
        <f aca="false">IF(A63="","",N(INPUT!E59))</f>
        <v>2</v>
      </c>
      <c r="F63" s="27" t="n">
        <f aca="false">IF(A63="","",N(INPUT!F59))</f>
        <v>16</v>
      </c>
      <c r="G63" s="27" t="n">
        <f aca="false">IF(A63="","",COUNTIFS(vis_CGID,INPUT!J59,vis_ClientID,INPUT!K59,vis_Svc,D63,vis_Status,"Verified",vis_InWeek,"Yes"))</f>
        <v>2</v>
      </c>
      <c r="H63" s="27" t="n">
        <f aca="false">IF(A63="","",SUMIFS(vis_Units,vis_CGID,INPUT!J59,vis_ClientID,INPUT!K59,vis_Svc,D63,vis_Status,"Verified",vis_InWeek,"Yes"))</f>
        <v>16</v>
      </c>
      <c r="I63" s="45" t="n">
        <f aca="false">IF(A63="","",MAX(0,F63-H63))</f>
        <v>0</v>
      </c>
      <c r="J63" s="41" t="n">
        <f aca="false">IF(A63="","",ROUND(I63*N(INPUT!L59),2))</f>
        <v>0</v>
      </c>
      <c r="K63" s="40" t="str">
        <f aca="false">IF(A63="","",INPUT!H59)</f>
        <v>Pay</v>
      </c>
      <c r="L63" s="40" t="str">
        <f aca="false">IF(A63="","",IF(G63=0,"No matching visits",IF(I63&gt;0,"Units exceed visits",IF(E63&lt;&gt;G63,"Day count differs","OK"))))</f>
        <v>OK</v>
      </c>
      <c r="M63" s="40" t="str">
        <f aca="false">IF(A63="","",IF(L63="OK","",IF(K63="Hold","On hold","Review before paying")))</f>
        <v/>
      </c>
    </row>
    <row r="64" customFormat="false" ht="15" hidden="false" customHeight="false" outlineLevel="0" collapsed="false">
      <c r="A64" s="36" t="n">
        <f aca="false">IF(INPUT!B60="","",INPUT!A60)</f>
        <v>56</v>
      </c>
      <c r="B64" s="26" t="str">
        <f aca="false">IF(A64="","",INPUT!B60)</f>
        <v>Hector Rosales</v>
      </c>
      <c r="C64" s="26" t="str">
        <f aca="false">IF(A64="","",INPUT!C60)</f>
        <v>Guerrero, T.</v>
      </c>
      <c r="D64" s="40" t="str">
        <f aca="false">IF(A64="","",INPUT!D60)</f>
        <v>PC</v>
      </c>
      <c r="E64" s="27" t="n">
        <f aca="false">IF(A64="","",N(INPUT!E60))</f>
        <v>2</v>
      </c>
      <c r="F64" s="27" t="n">
        <f aca="false">IF(A64="","",N(INPUT!F60))</f>
        <v>26</v>
      </c>
      <c r="G64" s="27" t="n">
        <f aca="false">IF(A64="","",COUNTIFS(vis_CGID,INPUT!J60,vis_ClientID,INPUT!K60,vis_Svc,D64,vis_Status,"Verified",vis_InWeek,"Yes"))</f>
        <v>2</v>
      </c>
      <c r="H64" s="27" t="n">
        <f aca="false">IF(A64="","",SUMIFS(vis_Units,vis_CGID,INPUT!J60,vis_ClientID,INPUT!K60,vis_Svc,D64,vis_Status,"Verified",vis_InWeek,"Yes"))</f>
        <v>26</v>
      </c>
      <c r="I64" s="45" t="n">
        <f aca="false">IF(A64="","",MAX(0,F64-H64))</f>
        <v>0</v>
      </c>
      <c r="J64" s="41" t="n">
        <f aca="false">IF(A64="","",ROUND(I64*N(INPUT!L60),2))</f>
        <v>0</v>
      </c>
      <c r="K64" s="40" t="str">
        <f aca="false">IF(A64="","",INPUT!H60)</f>
        <v>Pay</v>
      </c>
      <c r="L64" s="40" t="str">
        <f aca="false">IF(A64="","",IF(G64=0,"No matching visits",IF(I64&gt;0,"Units exceed visits",IF(E64&lt;&gt;G64,"Day count differs","OK"))))</f>
        <v>OK</v>
      </c>
      <c r="M64" s="40" t="str">
        <f aca="false">IF(A64="","",IF(L64="OK","",IF(K64="Hold","On hold","Review before paying")))</f>
        <v/>
      </c>
    </row>
    <row r="65" customFormat="false" ht="15" hidden="false" customHeight="false" outlineLevel="0" collapsed="false">
      <c r="A65" s="36" t="n">
        <f aca="false">IF(INPUT!B61="","",INPUT!A61)</f>
        <v>57</v>
      </c>
      <c r="B65" s="26" t="str">
        <f aca="false">IF(A65="","",INPUT!B61)</f>
        <v>Curtis Sampson</v>
      </c>
      <c r="C65" s="26" t="str">
        <f aca="false">IF(A65="","",INPUT!C61)</f>
        <v>Sampson, H.</v>
      </c>
      <c r="D65" s="40" t="str">
        <f aca="false">IF(A65="","",INPUT!D61)</f>
        <v>CO</v>
      </c>
      <c r="E65" s="27" t="n">
        <f aca="false">IF(A65="","",N(INPUT!E61))</f>
        <v>4</v>
      </c>
      <c r="F65" s="27" t="n">
        <f aca="false">IF(A65="","",N(INPUT!F61))</f>
        <v>52</v>
      </c>
      <c r="G65" s="27" t="n">
        <f aca="false">IF(A65="","",COUNTIFS(vis_CGID,INPUT!J61,vis_ClientID,INPUT!K61,vis_Svc,D65,vis_Status,"Verified",vis_InWeek,"Yes"))</f>
        <v>4</v>
      </c>
      <c r="H65" s="27" t="n">
        <f aca="false">IF(A65="","",SUMIFS(vis_Units,vis_CGID,INPUT!J61,vis_ClientID,INPUT!K61,vis_Svc,D65,vis_Status,"Verified",vis_InWeek,"Yes"))</f>
        <v>52</v>
      </c>
      <c r="I65" s="45" t="n">
        <f aca="false">IF(A65="","",MAX(0,F65-H65))</f>
        <v>0</v>
      </c>
      <c r="J65" s="41" t="n">
        <f aca="false">IF(A65="","",ROUND(I65*N(INPUT!L61),2))</f>
        <v>0</v>
      </c>
      <c r="K65" s="40" t="str">
        <f aca="false">IF(A65="","",INPUT!H61)</f>
        <v>Pay</v>
      </c>
      <c r="L65" s="40" t="str">
        <f aca="false">IF(A65="","",IF(G65=0,"No matching visits",IF(I65&gt;0,"Units exceed visits",IF(E65&lt;&gt;G65,"Day count differs","OK"))))</f>
        <v>OK</v>
      </c>
      <c r="M65" s="40" t="str">
        <f aca="false">IF(A65="","",IF(L65="OK","",IF(K65="Hold","On hold","Review before paying")))</f>
        <v/>
      </c>
    </row>
    <row r="66" customFormat="false" ht="15" hidden="false" customHeight="false" outlineLevel="0" collapsed="false">
      <c r="A66" s="36" t="n">
        <f aca="false">IF(INPUT!B62="","",INPUT!A62)</f>
        <v>58</v>
      </c>
      <c r="B66" s="26" t="str">
        <f aca="false">IF(A66="","",INPUT!B62)</f>
        <v>Curtis Sampson</v>
      </c>
      <c r="C66" s="26" t="str">
        <f aca="false">IF(A66="","",INPUT!C62)</f>
        <v>Shelton, L.</v>
      </c>
      <c r="D66" s="40" t="str">
        <f aca="false">IF(A66="","",INPUT!D62)</f>
        <v>PC</v>
      </c>
      <c r="E66" s="27" t="n">
        <f aca="false">IF(A66="","",N(INPUT!E62))</f>
        <v>5</v>
      </c>
      <c r="F66" s="27" t="n">
        <f aca="false">IF(A66="","",N(INPUT!F62))</f>
        <v>50</v>
      </c>
      <c r="G66" s="27" t="n">
        <f aca="false">IF(A66="","",COUNTIFS(vis_CGID,INPUT!J62,vis_ClientID,INPUT!K62,vis_Svc,D66,vis_Status,"Verified",vis_InWeek,"Yes"))</f>
        <v>5</v>
      </c>
      <c r="H66" s="27" t="n">
        <f aca="false">IF(A66="","",SUMIFS(vis_Units,vis_CGID,INPUT!J62,vis_ClientID,INPUT!K62,vis_Svc,D66,vis_Status,"Verified",vis_InWeek,"Yes"))</f>
        <v>50</v>
      </c>
      <c r="I66" s="45" t="n">
        <f aca="false">IF(A66="","",MAX(0,F66-H66))</f>
        <v>0</v>
      </c>
      <c r="J66" s="41" t="n">
        <f aca="false">IF(A66="","",ROUND(I66*N(INPUT!L62),2))</f>
        <v>0</v>
      </c>
      <c r="K66" s="40" t="str">
        <f aca="false">IF(A66="","",INPUT!H62)</f>
        <v>Pay</v>
      </c>
      <c r="L66" s="40" t="str">
        <f aca="false">IF(A66="","",IF(G66=0,"No matching visits",IF(I66&gt;0,"Units exceed visits",IF(E66&lt;&gt;G66,"Day count differs","OK"))))</f>
        <v>OK</v>
      </c>
      <c r="M66" s="40" t="str">
        <f aca="false">IF(A66="","",IF(L66="OK","",IF(K66="Hold","On hold","Review before paying")))</f>
        <v/>
      </c>
    </row>
    <row r="67" customFormat="false" ht="15" hidden="false" customHeight="false" outlineLevel="0" collapsed="false">
      <c r="A67" s="36" t="n">
        <f aca="false">IF(INPUT!B63="","",INPUT!A63)</f>
        <v>59</v>
      </c>
      <c r="B67" s="26" t="str">
        <f aca="false">IF(A67="","",INPUT!B63)</f>
        <v>Curtis Sampson</v>
      </c>
      <c r="C67" s="26" t="str">
        <f aca="false">IF(A67="","",INPUT!C63)</f>
        <v>Vance, D.</v>
      </c>
      <c r="D67" s="40" t="str">
        <f aca="false">IF(A67="","",INPUT!D63)</f>
        <v>PC</v>
      </c>
      <c r="E67" s="27" t="n">
        <f aca="false">IF(A67="","",N(INPUT!E63))</f>
        <v>3</v>
      </c>
      <c r="F67" s="27" t="n">
        <f aca="false">IF(A67="","",N(INPUT!F63))</f>
        <v>40</v>
      </c>
      <c r="G67" s="27" t="n">
        <f aca="false">IF(A67="","",COUNTIFS(vis_CGID,INPUT!J63,vis_ClientID,INPUT!K63,vis_Svc,D67,vis_Status,"Verified",vis_InWeek,"Yes"))</f>
        <v>3</v>
      </c>
      <c r="H67" s="27" t="n">
        <f aca="false">IF(A67="","",SUMIFS(vis_Units,vis_CGID,INPUT!J63,vis_ClientID,INPUT!K63,vis_Svc,D67,vis_Status,"Verified",vis_InWeek,"Yes"))</f>
        <v>40</v>
      </c>
      <c r="I67" s="45" t="n">
        <f aca="false">IF(A67="","",MAX(0,F67-H67))</f>
        <v>0</v>
      </c>
      <c r="J67" s="41" t="n">
        <f aca="false">IF(A67="","",ROUND(I67*N(INPUT!L63),2))</f>
        <v>0</v>
      </c>
      <c r="K67" s="40" t="str">
        <f aca="false">IF(A67="","",INPUT!H63)</f>
        <v>Pay</v>
      </c>
      <c r="L67" s="40" t="str">
        <f aca="false">IF(A67="","",IF(G67=0,"No matching visits",IF(I67&gt;0,"Units exceed visits",IF(E67&lt;&gt;G67,"Day count differs","OK"))))</f>
        <v>OK</v>
      </c>
      <c r="M67" s="40" t="str">
        <f aca="false">IF(A67="","",IF(L67="OK","",IF(K67="Hold","On hold","Review before paying")))</f>
        <v/>
      </c>
    </row>
    <row r="68" customFormat="false" ht="15" hidden="false" customHeight="false" outlineLevel="0" collapsed="false">
      <c r="A68" s="36" t="n">
        <f aca="false">IF(INPUT!B64="","",INPUT!A64)</f>
        <v>60</v>
      </c>
      <c r="B68" s="26" t="str">
        <f aca="false">IF(A68="","",INPUT!B64)</f>
        <v>Naomi Satterfield</v>
      </c>
      <c r="C68" s="26" t="str">
        <f aca="false">IF(A68="","",INPUT!C64)</f>
        <v>Coleman, C.</v>
      </c>
      <c r="D68" s="40" t="str">
        <f aca="false">IF(A68="","",INPUT!D64)</f>
        <v>PC</v>
      </c>
      <c r="E68" s="27" t="n">
        <f aca="false">IF(A68="","",N(INPUT!E64))</f>
        <v>4</v>
      </c>
      <c r="F68" s="27" t="n">
        <f aca="false">IF(A68="","",N(INPUT!F64))</f>
        <v>44</v>
      </c>
      <c r="G68" s="27" t="n">
        <f aca="false">IF(A68="","",COUNTIFS(vis_CGID,INPUT!J64,vis_ClientID,INPUT!K64,vis_Svc,D68,vis_Status,"Verified",vis_InWeek,"Yes"))</f>
        <v>4</v>
      </c>
      <c r="H68" s="27" t="n">
        <f aca="false">IF(A68="","",SUMIFS(vis_Units,vis_CGID,INPUT!J64,vis_ClientID,INPUT!K64,vis_Svc,D68,vis_Status,"Verified",vis_InWeek,"Yes"))</f>
        <v>44</v>
      </c>
      <c r="I68" s="45" t="n">
        <f aca="false">IF(A68="","",MAX(0,F68-H68))</f>
        <v>0</v>
      </c>
      <c r="J68" s="41" t="n">
        <f aca="false">IF(A68="","",ROUND(I68*N(INPUT!L64),2))</f>
        <v>0</v>
      </c>
      <c r="K68" s="40" t="str">
        <f aca="false">IF(A68="","",INPUT!H64)</f>
        <v>Pay</v>
      </c>
      <c r="L68" s="40" t="str">
        <f aca="false">IF(A68="","",IF(G68=0,"No matching visits",IF(I68&gt;0,"Units exceed visits",IF(E68&lt;&gt;G68,"Day count differs","OK"))))</f>
        <v>OK</v>
      </c>
      <c r="M68" s="40" t="str">
        <f aca="false">IF(A68="","",IF(L68="OK","",IF(K68="Hold","On hold","Review before paying")))</f>
        <v/>
      </c>
    </row>
    <row r="69" customFormat="false" ht="15" hidden="false" customHeight="false" outlineLevel="0" collapsed="false">
      <c r="A69" s="36" t="n">
        <f aca="false">IF(INPUT!B65="","",INPUT!A65)</f>
        <v>61</v>
      </c>
      <c r="B69" s="26" t="str">
        <f aca="false">IF(A69="","",INPUT!B65)</f>
        <v>Naomi Satterfield</v>
      </c>
      <c r="C69" s="26" t="str">
        <f aca="false">IF(A69="","",INPUT!C65)</f>
        <v>Sampson, H.</v>
      </c>
      <c r="D69" s="40" t="str">
        <f aca="false">IF(A69="","",INPUT!D65)</f>
        <v>NV</v>
      </c>
      <c r="E69" s="27" t="n">
        <f aca="false">IF(A69="","",N(INPUT!E65))</f>
        <v>1</v>
      </c>
      <c r="F69" s="27" t="n">
        <f aca="false">IF(A69="","",N(INPUT!F65))</f>
        <v>1</v>
      </c>
      <c r="G69" s="27" t="n">
        <f aca="false">IF(A69="","",COUNTIFS(vis_CGID,INPUT!J65,vis_ClientID,INPUT!K65,vis_Svc,D69,vis_Status,"Verified",vis_InWeek,"Yes"))</f>
        <v>1</v>
      </c>
      <c r="H69" s="27" t="n">
        <f aca="false">IF(A69="","",SUMIFS(vis_Units,vis_CGID,INPUT!J65,vis_ClientID,INPUT!K65,vis_Svc,D69,vis_Status,"Verified",vis_InWeek,"Yes"))</f>
        <v>1</v>
      </c>
      <c r="I69" s="45" t="n">
        <f aca="false">IF(A69="","",MAX(0,F69-H69))</f>
        <v>0</v>
      </c>
      <c r="J69" s="41" t="n">
        <f aca="false">IF(A69="","",ROUND(I69*N(INPUT!L65),2))</f>
        <v>0</v>
      </c>
      <c r="K69" s="40" t="str">
        <f aca="false">IF(A69="","",INPUT!H65)</f>
        <v>Pay</v>
      </c>
      <c r="L69" s="40" t="str">
        <f aca="false">IF(A69="","",IF(G69=0,"No matching visits",IF(I69&gt;0,"Units exceed visits",IF(E69&lt;&gt;G69,"Day count differs","OK"))))</f>
        <v>OK</v>
      </c>
      <c r="M69" s="40" t="str">
        <f aca="false">IF(A69="","",IF(L69="OK","",IF(K69="Hold","On hold","Review before paying")))</f>
        <v/>
      </c>
    </row>
    <row r="70" customFormat="false" ht="15" hidden="false" customHeight="false" outlineLevel="0" collapsed="false">
      <c r="A70" s="36" t="n">
        <f aca="false">IF(INPUT!B66="","",INPUT!A66)</f>
        <v>62</v>
      </c>
      <c r="B70" s="26" t="str">
        <f aca="false">IF(A70="","",INPUT!B66)</f>
        <v>Josefina Simmons</v>
      </c>
      <c r="C70" s="26" t="str">
        <f aca="false">IF(A70="","",INPUT!C66)</f>
        <v>Ochoa, E.</v>
      </c>
      <c r="D70" s="40" t="str">
        <f aca="false">IF(A70="","",INPUT!D66)</f>
        <v>RS</v>
      </c>
      <c r="E70" s="27" t="n">
        <f aca="false">IF(A70="","",N(INPUT!E66))</f>
        <v>2</v>
      </c>
      <c r="F70" s="27" t="n">
        <f aca="false">IF(A70="","",N(INPUT!F66))</f>
        <v>34</v>
      </c>
      <c r="G70" s="27" t="n">
        <f aca="false">IF(A70="","",COUNTIFS(vis_CGID,INPUT!J66,vis_ClientID,INPUT!K66,vis_Svc,D70,vis_Status,"Verified",vis_InWeek,"Yes"))</f>
        <v>2</v>
      </c>
      <c r="H70" s="27" t="n">
        <f aca="false">IF(A70="","",SUMIFS(vis_Units,vis_CGID,INPUT!J66,vis_ClientID,INPUT!K66,vis_Svc,D70,vis_Status,"Verified",vis_InWeek,"Yes"))</f>
        <v>34</v>
      </c>
      <c r="I70" s="45" t="n">
        <f aca="false">IF(A70="","",MAX(0,F70-H70))</f>
        <v>0</v>
      </c>
      <c r="J70" s="41" t="n">
        <f aca="false">IF(A70="","",ROUND(I70*N(INPUT!L66),2))</f>
        <v>0</v>
      </c>
      <c r="K70" s="40" t="str">
        <f aca="false">IF(A70="","",INPUT!H66)</f>
        <v>Pay</v>
      </c>
      <c r="L70" s="40" t="str">
        <f aca="false">IF(A70="","",IF(G70=0,"No matching visits",IF(I70&gt;0,"Units exceed visits",IF(E70&lt;&gt;G70,"Day count differs","OK"))))</f>
        <v>OK</v>
      </c>
      <c r="M70" s="40" t="str">
        <f aca="false">IF(A70="","",IF(L70="OK","",IF(K70="Hold","On hold","Review before paying")))</f>
        <v/>
      </c>
    </row>
    <row r="71" customFormat="false" ht="15" hidden="false" customHeight="false" outlineLevel="0" collapsed="false">
      <c r="A71" s="36" t="n">
        <f aca="false">IF(INPUT!B67="","",INPUT!A67)</f>
        <v>63</v>
      </c>
      <c r="B71" s="26" t="str">
        <f aca="false">IF(A71="","",INPUT!B67)</f>
        <v>Josefina Simmons</v>
      </c>
      <c r="C71" s="26" t="str">
        <f aca="false">IF(A71="","",INPUT!C67)</f>
        <v>Pacheco, N.</v>
      </c>
      <c r="D71" s="40" t="str">
        <f aca="false">IF(A71="","",INPUT!D67)</f>
        <v>RS</v>
      </c>
      <c r="E71" s="27" t="n">
        <f aca="false">IF(A71="","",N(INPUT!E67))</f>
        <v>2</v>
      </c>
      <c r="F71" s="27" t="n">
        <f aca="false">IF(A71="","",N(INPUT!F67))</f>
        <v>42</v>
      </c>
      <c r="G71" s="27" t="n">
        <f aca="false">IF(A71="","",COUNTIFS(vis_CGID,INPUT!J67,vis_ClientID,INPUT!K67,vis_Svc,D71,vis_Status,"Verified",vis_InWeek,"Yes"))</f>
        <v>2</v>
      </c>
      <c r="H71" s="27" t="n">
        <f aca="false">IF(A71="","",SUMIFS(vis_Units,vis_CGID,INPUT!J67,vis_ClientID,INPUT!K67,vis_Svc,D71,vis_Status,"Verified",vis_InWeek,"Yes"))</f>
        <v>42</v>
      </c>
      <c r="I71" s="45" t="n">
        <f aca="false">IF(A71="","",MAX(0,F71-H71))</f>
        <v>0</v>
      </c>
      <c r="J71" s="41" t="n">
        <f aca="false">IF(A71="","",ROUND(I71*N(INPUT!L67),2))</f>
        <v>0</v>
      </c>
      <c r="K71" s="40" t="str">
        <f aca="false">IF(A71="","",INPUT!H67)</f>
        <v>Pay</v>
      </c>
      <c r="L71" s="40" t="str">
        <f aca="false">IF(A71="","",IF(G71=0,"No matching visits",IF(I71&gt;0,"Units exceed visits",IF(E71&lt;&gt;G71,"Day count differs","OK"))))</f>
        <v>OK</v>
      </c>
      <c r="M71" s="40" t="str">
        <f aca="false">IF(A71="","",IF(L71="OK","",IF(K71="Hold","On hold","Review before paying")))</f>
        <v/>
      </c>
    </row>
    <row r="72" customFormat="false" ht="15" hidden="false" customHeight="false" outlineLevel="0" collapsed="false">
      <c r="A72" s="36" t="n">
        <f aca="false">IF(INPUT!B68="","",INPUT!A68)</f>
        <v>64</v>
      </c>
      <c r="B72" s="26" t="str">
        <f aca="false">IF(A72="","",INPUT!B68)</f>
        <v>Brianna Tolliver</v>
      </c>
      <c r="C72" s="26" t="str">
        <f aca="false">IF(A72="","",INPUT!C68)</f>
        <v>Ashford, A.</v>
      </c>
      <c r="D72" s="40" t="str">
        <f aca="false">IF(A72="","",INPUT!D68)</f>
        <v>PC</v>
      </c>
      <c r="E72" s="27" t="n">
        <f aca="false">IF(A72="","",N(INPUT!E68))</f>
        <v>3</v>
      </c>
      <c r="F72" s="27" t="n">
        <f aca="false">IF(A72="","",N(INPUT!F68))</f>
        <v>36</v>
      </c>
      <c r="G72" s="27" t="n">
        <f aca="false">IF(A72="","",COUNTIFS(vis_CGID,INPUT!J68,vis_ClientID,INPUT!K68,vis_Svc,D72,vis_Status,"Verified",vis_InWeek,"Yes"))</f>
        <v>3</v>
      </c>
      <c r="H72" s="27" t="n">
        <f aca="false">IF(A72="","",SUMIFS(vis_Units,vis_CGID,INPUT!J68,vis_ClientID,INPUT!K68,vis_Svc,D72,vis_Status,"Verified",vis_InWeek,"Yes"))</f>
        <v>36</v>
      </c>
      <c r="I72" s="45" t="n">
        <f aca="false">IF(A72="","",MAX(0,F72-H72))</f>
        <v>0</v>
      </c>
      <c r="J72" s="41" t="n">
        <f aca="false">IF(A72="","",ROUND(I72*N(INPUT!L68),2))</f>
        <v>0</v>
      </c>
      <c r="K72" s="40" t="str">
        <f aca="false">IF(A72="","",INPUT!H68)</f>
        <v>Pay</v>
      </c>
      <c r="L72" s="40" t="str">
        <f aca="false">IF(A72="","",IF(G72=0,"No matching visits",IF(I72&gt;0,"Units exceed visits",IF(E72&lt;&gt;G72,"Day count differs","OK"))))</f>
        <v>OK</v>
      </c>
      <c r="M72" s="40" t="str">
        <f aca="false">IF(A72="","",IF(L72="OK","",IF(K72="Hold","On hold","Review before paying")))</f>
        <v/>
      </c>
    </row>
    <row r="73" customFormat="false" ht="15" hidden="false" customHeight="false" outlineLevel="0" collapsed="false">
      <c r="A73" s="36" t="n">
        <f aca="false">IF(INPUT!B69="","",INPUT!A69)</f>
        <v>65</v>
      </c>
      <c r="B73" s="26" t="str">
        <f aca="false">IF(A73="","",INPUT!B69)</f>
        <v>Brianna Tolliver</v>
      </c>
      <c r="C73" s="26" t="str">
        <f aca="false">IF(A73="","",INPUT!C69)</f>
        <v>Ledbetter, D.</v>
      </c>
      <c r="D73" s="40" t="str">
        <f aca="false">IF(A73="","",INPUT!D69)</f>
        <v>PC</v>
      </c>
      <c r="E73" s="27" t="n">
        <f aca="false">IF(A73="","",N(INPUT!E69))</f>
        <v>3</v>
      </c>
      <c r="F73" s="27" t="n">
        <f aca="false">IF(A73="","",N(INPUT!F69))</f>
        <v>30</v>
      </c>
      <c r="G73" s="27" t="n">
        <f aca="false">IF(A73="","",COUNTIFS(vis_CGID,INPUT!J69,vis_ClientID,INPUT!K69,vis_Svc,D73,vis_Status,"Verified",vis_InWeek,"Yes"))</f>
        <v>3</v>
      </c>
      <c r="H73" s="27" t="n">
        <f aca="false">IF(A73="","",SUMIFS(vis_Units,vis_CGID,INPUT!J69,vis_ClientID,INPUT!K69,vis_Svc,D73,vis_Status,"Verified",vis_InWeek,"Yes"))</f>
        <v>30</v>
      </c>
      <c r="I73" s="45" t="n">
        <f aca="false">IF(A73="","",MAX(0,F73-H73))</f>
        <v>0</v>
      </c>
      <c r="J73" s="41" t="n">
        <f aca="false">IF(A73="","",ROUND(I73*N(INPUT!L69),2))</f>
        <v>0</v>
      </c>
      <c r="K73" s="40" t="str">
        <f aca="false">IF(A73="","",INPUT!H69)</f>
        <v>Pay</v>
      </c>
      <c r="L73" s="40" t="str">
        <f aca="false">IF(A73="","",IF(G73=0,"No matching visits",IF(I73&gt;0,"Units exceed visits",IF(E73&lt;&gt;G73,"Day count differs","OK"))))</f>
        <v>OK</v>
      </c>
      <c r="M73" s="40" t="str">
        <f aca="false">IF(A73="","",IF(L73="OK","",IF(K73="Hold","On hold","Review before paying")))</f>
        <v/>
      </c>
    </row>
    <row r="74" customFormat="false" ht="15" hidden="false" customHeight="false" outlineLevel="0" collapsed="false">
      <c r="A74" s="36" t="n">
        <f aca="false">IF(INPUT!B70="","",INPUT!A70)</f>
        <v>66</v>
      </c>
      <c r="B74" s="26" t="str">
        <f aca="false">IF(A74="","",INPUT!B70)</f>
        <v>Yolanda Vance</v>
      </c>
      <c r="C74" s="26" t="str">
        <f aca="false">IF(A74="","",INPUT!C70)</f>
        <v>Shelton, L.</v>
      </c>
      <c r="D74" s="40" t="str">
        <f aca="false">IF(A74="","",INPUT!D70)</f>
        <v>CO</v>
      </c>
      <c r="E74" s="27" t="n">
        <f aca="false">IF(A74="","",N(INPUT!E70))</f>
        <v>3</v>
      </c>
      <c r="F74" s="27" t="n">
        <f aca="false">IF(A74="","",N(INPUT!F70))</f>
        <v>38</v>
      </c>
      <c r="G74" s="27" t="n">
        <f aca="false">IF(A74="","",COUNTIFS(vis_CGID,INPUT!J70,vis_ClientID,INPUT!K70,vis_Svc,D74,vis_Status,"Verified",vis_InWeek,"Yes"))</f>
        <v>3</v>
      </c>
      <c r="H74" s="27" t="n">
        <f aca="false">IF(A74="","",SUMIFS(vis_Units,vis_CGID,INPUT!J70,vis_ClientID,INPUT!K70,vis_Svc,D74,vis_Status,"Verified",vis_InWeek,"Yes"))</f>
        <v>38</v>
      </c>
      <c r="I74" s="45" t="n">
        <f aca="false">IF(A74="","",MAX(0,F74-H74))</f>
        <v>0</v>
      </c>
      <c r="J74" s="41" t="n">
        <f aca="false">IF(A74="","",ROUND(I74*N(INPUT!L70),2))</f>
        <v>0</v>
      </c>
      <c r="K74" s="40" t="str">
        <f aca="false">IF(A74="","",INPUT!H70)</f>
        <v>Pay</v>
      </c>
      <c r="L74" s="40" t="str">
        <f aca="false">IF(A74="","",IF(G74=0,"No matching visits",IF(I74&gt;0,"Units exceed visits",IF(E74&lt;&gt;G74,"Day count differs","OK"))))</f>
        <v>OK</v>
      </c>
      <c r="M74" s="40" t="str">
        <f aca="false">IF(A74="","",IF(L74="OK","",IF(K74="Hold","On hold","Review before paying")))</f>
        <v/>
      </c>
    </row>
    <row r="75" customFormat="false" ht="15" hidden="false" customHeight="false" outlineLevel="0" collapsed="false">
      <c r="A75" s="36" t="n">
        <f aca="false">IF(INPUT!B71="","",INPUT!A71)</f>
        <v>67</v>
      </c>
      <c r="B75" s="26" t="str">
        <f aca="false">IF(A75="","",INPUT!B71)</f>
        <v>Brianna Waddell</v>
      </c>
      <c r="C75" s="26" t="str">
        <f aca="false">IF(A75="","",INPUT!C71)</f>
        <v>Ashford, D.</v>
      </c>
      <c r="D75" s="40" t="str">
        <f aca="false">IF(A75="","",INPUT!D71)</f>
        <v>PC</v>
      </c>
      <c r="E75" s="27" t="n">
        <f aca="false">IF(A75="","",N(INPUT!E71))</f>
        <v>3</v>
      </c>
      <c r="F75" s="27" t="n">
        <f aca="false">IF(A75="","",N(INPUT!F71))</f>
        <v>32</v>
      </c>
      <c r="G75" s="27" t="n">
        <f aca="false">IF(A75="","",COUNTIFS(vis_CGID,INPUT!J71,vis_ClientID,INPUT!K71,vis_Svc,D75,vis_Status,"Verified",vis_InWeek,"Yes"))</f>
        <v>3</v>
      </c>
      <c r="H75" s="27" t="n">
        <f aca="false">IF(A75="","",SUMIFS(vis_Units,vis_CGID,INPUT!J71,vis_ClientID,INPUT!K71,vis_Svc,D75,vis_Status,"Verified",vis_InWeek,"Yes"))</f>
        <v>32</v>
      </c>
      <c r="I75" s="45" t="n">
        <f aca="false">IF(A75="","",MAX(0,F75-H75))</f>
        <v>0</v>
      </c>
      <c r="J75" s="41" t="n">
        <f aca="false">IF(A75="","",ROUND(I75*N(INPUT!L71),2))</f>
        <v>0</v>
      </c>
      <c r="K75" s="40" t="str">
        <f aca="false">IF(A75="","",INPUT!H71)</f>
        <v>Pay</v>
      </c>
      <c r="L75" s="40" t="str">
        <f aca="false">IF(A75="","",IF(G75=0,"No matching visits",IF(I75&gt;0,"Units exceed visits",IF(E75&lt;&gt;G75,"Day count differs","OK"))))</f>
        <v>OK</v>
      </c>
      <c r="M75" s="40" t="str">
        <f aca="false">IF(A75="","",IF(L75="OK","",IF(K75="Hold","On hold","Review before paying")))</f>
        <v/>
      </c>
    </row>
    <row r="76" customFormat="false" ht="15" hidden="false" customHeight="false" outlineLevel="0" collapsed="false">
      <c r="A76" s="36" t="n">
        <f aca="false">IF(INPUT!B72="","",INPUT!A72)</f>
        <v>68</v>
      </c>
      <c r="B76" s="26" t="str">
        <f aca="false">IF(A76="","",INPUT!B72)</f>
        <v>Brianna Waddell</v>
      </c>
      <c r="C76" s="26" t="str">
        <f aca="false">IF(A76="","",INPUT!C72)</f>
        <v>Galloway, V.</v>
      </c>
      <c r="D76" s="40" t="str">
        <f aca="false">IF(A76="","",INPUT!D72)</f>
        <v>PC</v>
      </c>
      <c r="E76" s="27" t="n">
        <f aca="false">IF(A76="","",N(INPUT!E72))</f>
        <v>5</v>
      </c>
      <c r="F76" s="27" t="n">
        <f aca="false">IF(A76="","",N(INPUT!F72))</f>
        <v>62</v>
      </c>
      <c r="G76" s="27" t="n">
        <f aca="false">IF(A76="","",COUNTIFS(vis_CGID,INPUT!J72,vis_ClientID,INPUT!K72,vis_Svc,D76,vis_Status,"Verified",vis_InWeek,"Yes"))</f>
        <v>5</v>
      </c>
      <c r="H76" s="27" t="n">
        <f aca="false">IF(A76="","",SUMIFS(vis_Units,vis_CGID,INPUT!J72,vis_ClientID,INPUT!K72,vis_Svc,D76,vis_Status,"Verified",vis_InWeek,"Yes"))</f>
        <v>62</v>
      </c>
      <c r="I76" s="45" t="n">
        <f aca="false">IF(A76="","",MAX(0,F76-H76))</f>
        <v>0</v>
      </c>
      <c r="J76" s="41" t="n">
        <f aca="false">IF(A76="","",ROUND(I76*N(INPUT!L72),2))</f>
        <v>0</v>
      </c>
      <c r="K76" s="40" t="str">
        <f aca="false">IF(A76="","",INPUT!H72)</f>
        <v>Pay</v>
      </c>
      <c r="L76" s="40" t="str">
        <f aca="false">IF(A76="","",IF(G76=0,"No matching visits",IF(I76&gt;0,"Units exceed visits",IF(E76&lt;&gt;G76,"Day count differs","OK"))))</f>
        <v>OK</v>
      </c>
      <c r="M76" s="40" t="str">
        <f aca="false">IF(A76="","",IF(L76="OK","",IF(K76="Hold","On hold","Review before paying")))</f>
        <v/>
      </c>
    </row>
    <row r="77" customFormat="false" ht="15" hidden="false" customHeight="false" outlineLevel="0" collapsed="false">
      <c r="A77" s="36" t="n">
        <f aca="false">IF(INPUT!B73="","",INPUT!A73)</f>
        <v>69</v>
      </c>
      <c r="B77" s="26" t="str">
        <f aca="false">IF(A77="","",INPUT!B73)</f>
        <v>Marlene Yancey</v>
      </c>
      <c r="C77" s="26" t="str">
        <f aca="false">IF(A77="","",INPUT!C73)</f>
        <v>Farris, A.</v>
      </c>
      <c r="D77" s="40" t="str">
        <f aca="false">IF(A77="","",INPUT!D73)</f>
        <v>PC</v>
      </c>
      <c r="E77" s="27" t="n">
        <f aca="false">IF(A77="","",N(INPUT!E73))</f>
        <v>5</v>
      </c>
      <c r="F77" s="27" t="n">
        <f aca="false">IF(A77="","",N(INPUT!F73))</f>
        <v>54</v>
      </c>
      <c r="G77" s="27" t="n">
        <f aca="false">IF(A77="","",COUNTIFS(vis_CGID,INPUT!J73,vis_ClientID,INPUT!K73,vis_Svc,D77,vis_Status,"Verified",vis_InWeek,"Yes"))</f>
        <v>5</v>
      </c>
      <c r="H77" s="27" t="n">
        <f aca="false">IF(A77="","",SUMIFS(vis_Units,vis_CGID,INPUT!J73,vis_ClientID,INPUT!K73,vis_Svc,D77,vis_Status,"Verified",vis_InWeek,"Yes"))</f>
        <v>54</v>
      </c>
      <c r="I77" s="45" t="n">
        <f aca="false">IF(A77="","",MAX(0,F77-H77))</f>
        <v>0</v>
      </c>
      <c r="J77" s="41" t="n">
        <f aca="false">IF(A77="","",ROUND(I77*N(INPUT!L73),2))</f>
        <v>0</v>
      </c>
      <c r="K77" s="40" t="str">
        <f aca="false">IF(A77="","",INPUT!H73)</f>
        <v>Pay</v>
      </c>
      <c r="L77" s="40" t="str">
        <f aca="false">IF(A77="","",IF(G77=0,"No matching visits",IF(I77&gt;0,"Units exceed visits",IF(E77&lt;&gt;G77,"Day count differs","OK"))))</f>
        <v>OK</v>
      </c>
      <c r="M77" s="40" t="str">
        <f aca="false">IF(A77="","",IF(L77="OK","",IF(K77="Hold","On hold","Review before paying")))</f>
        <v/>
      </c>
    </row>
    <row r="78" customFormat="false" ht="15" hidden="false" customHeight="false" outlineLevel="0" collapsed="false">
      <c r="A78" s="21" t="str">
        <f aca="false">IF(INPUT!B74="","",INPUT!A74)</f>
        <v/>
      </c>
      <c r="B78" s="26" t="str">
        <f aca="false">IF(A78="","",INPUT!B74)</f>
        <v/>
      </c>
      <c r="C78" s="26" t="str">
        <f aca="false">IF(A78="","",INPUT!C74)</f>
        <v/>
      </c>
      <c r="D78" s="40" t="str">
        <f aca="false">IF(A78="","",INPUT!D74)</f>
        <v/>
      </c>
      <c r="E78" s="27" t="str">
        <f aca="false">IF(A78="","",N(INPUT!E74))</f>
        <v/>
      </c>
      <c r="F78" s="27" t="str">
        <f aca="false">IF(A78="","",N(INPUT!F74))</f>
        <v/>
      </c>
      <c r="G78" s="27" t="str">
        <f aca="false">IF(A78="","",COUNTIFS(vis_CGID,INPUT!J74,vis_ClientID,INPUT!K74,vis_Svc,D78,vis_Status,"Verified",vis_InWeek,"Yes"))</f>
        <v/>
      </c>
      <c r="H78" s="27" t="str">
        <f aca="false">IF(A78="","",SUMIFS(vis_Units,vis_CGID,INPUT!J74,vis_ClientID,INPUT!K74,vis_Svc,D78,vis_Status,"Verified",vis_InWeek,"Yes"))</f>
        <v/>
      </c>
      <c r="I78" s="45" t="str">
        <f aca="false">IF(A78="","",MAX(0,F78-H78))</f>
        <v/>
      </c>
      <c r="J78" s="41" t="str">
        <f aca="false">IF(A78="","",ROUND(I78*N(INPUT!L74),2))</f>
        <v/>
      </c>
      <c r="K78" s="40" t="str">
        <f aca="false">IF(A78="","",INPUT!H74)</f>
        <v/>
      </c>
      <c r="L78" s="40" t="str">
        <f aca="false">IF(A78="","",IF(G78=0,"No matching visits",IF(I78&gt;0,"Units exceed visits",IF(E78&lt;&gt;G78,"Day count differs","OK"))))</f>
        <v/>
      </c>
      <c r="M78" s="40" t="str">
        <f aca="false">IF(A78="","",IF(L78="OK","",IF(K78="Hold","On hold","Review before paying")))</f>
        <v/>
      </c>
    </row>
    <row r="79" customFormat="false" ht="15" hidden="false" customHeight="false" outlineLevel="0" collapsed="false">
      <c r="A79" s="21" t="str">
        <f aca="false">IF(INPUT!B75="","",INPUT!A75)</f>
        <v/>
      </c>
      <c r="B79" s="26" t="str">
        <f aca="false">IF(A79="","",INPUT!B75)</f>
        <v/>
      </c>
      <c r="C79" s="26" t="str">
        <f aca="false">IF(A79="","",INPUT!C75)</f>
        <v/>
      </c>
      <c r="D79" s="40" t="str">
        <f aca="false">IF(A79="","",INPUT!D75)</f>
        <v/>
      </c>
      <c r="E79" s="27" t="str">
        <f aca="false">IF(A79="","",N(INPUT!E75))</f>
        <v/>
      </c>
      <c r="F79" s="27" t="str">
        <f aca="false">IF(A79="","",N(INPUT!F75))</f>
        <v/>
      </c>
      <c r="G79" s="27" t="str">
        <f aca="false">IF(A79="","",COUNTIFS(vis_CGID,INPUT!J75,vis_ClientID,INPUT!K75,vis_Svc,D79,vis_Status,"Verified",vis_InWeek,"Yes"))</f>
        <v/>
      </c>
      <c r="H79" s="27" t="str">
        <f aca="false">IF(A79="","",SUMIFS(vis_Units,vis_CGID,INPUT!J75,vis_ClientID,INPUT!K75,vis_Svc,D79,vis_Status,"Verified",vis_InWeek,"Yes"))</f>
        <v/>
      </c>
      <c r="I79" s="45" t="str">
        <f aca="false">IF(A79="","",MAX(0,F79-H79))</f>
        <v/>
      </c>
      <c r="J79" s="41" t="str">
        <f aca="false">IF(A79="","",ROUND(I79*N(INPUT!L75),2))</f>
        <v/>
      </c>
      <c r="K79" s="40" t="str">
        <f aca="false">IF(A79="","",INPUT!H75)</f>
        <v/>
      </c>
      <c r="L79" s="40" t="str">
        <f aca="false">IF(A79="","",IF(G79=0,"No matching visits",IF(I79&gt;0,"Units exceed visits",IF(E79&lt;&gt;G79,"Day count differs","OK"))))</f>
        <v/>
      </c>
      <c r="M79" s="40" t="str">
        <f aca="false">IF(A79="","",IF(L79="OK","",IF(K79="Hold","On hold","Review before paying")))</f>
        <v/>
      </c>
    </row>
    <row r="80" customFormat="false" ht="15" hidden="false" customHeight="false" outlineLevel="0" collapsed="false">
      <c r="A80" s="21" t="str">
        <f aca="false">IF(INPUT!B76="","",INPUT!A76)</f>
        <v/>
      </c>
      <c r="B80" s="26" t="str">
        <f aca="false">IF(A80="","",INPUT!B76)</f>
        <v/>
      </c>
      <c r="C80" s="26" t="str">
        <f aca="false">IF(A80="","",INPUT!C76)</f>
        <v/>
      </c>
      <c r="D80" s="40" t="str">
        <f aca="false">IF(A80="","",INPUT!D76)</f>
        <v/>
      </c>
      <c r="E80" s="27" t="str">
        <f aca="false">IF(A80="","",N(INPUT!E76))</f>
        <v/>
      </c>
      <c r="F80" s="27" t="str">
        <f aca="false">IF(A80="","",N(INPUT!F76))</f>
        <v/>
      </c>
      <c r="G80" s="27" t="str">
        <f aca="false">IF(A80="","",COUNTIFS(vis_CGID,INPUT!J76,vis_ClientID,INPUT!K76,vis_Svc,D80,vis_Status,"Verified",vis_InWeek,"Yes"))</f>
        <v/>
      </c>
      <c r="H80" s="27" t="str">
        <f aca="false">IF(A80="","",SUMIFS(vis_Units,vis_CGID,INPUT!J76,vis_ClientID,INPUT!K76,vis_Svc,D80,vis_Status,"Verified",vis_InWeek,"Yes"))</f>
        <v/>
      </c>
      <c r="I80" s="45" t="str">
        <f aca="false">IF(A80="","",MAX(0,F80-H80))</f>
        <v/>
      </c>
      <c r="J80" s="41" t="str">
        <f aca="false">IF(A80="","",ROUND(I80*N(INPUT!L76),2))</f>
        <v/>
      </c>
      <c r="K80" s="40" t="str">
        <f aca="false">IF(A80="","",INPUT!H76)</f>
        <v/>
      </c>
      <c r="L80" s="40" t="str">
        <f aca="false">IF(A80="","",IF(G80=0,"No matching visits",IF(I80&gt;0,"Units exceed visits",IF(E80&lt;&gt;G80,"Day count differs","OK"))))</f>
        <v/>
      </c>
      <c r="M80" s="40" t="str">
        <f aca="false">IF(A80="","",IF(L80="OK","",IF(K80="Hold","On hold","Review before paying")))</f>
        <v/>
      </c>
    </row>
    <row r="81" customFormat="false" ht="15" hidden="false" customHeight="false" outlineLevel="0" collapsed="false">
      <c r="A81" s="21" t="str">
        <f aca="false">IF(INPUT!B77="","",INPUT!A77)</f>
        <v/>
      </c>
      <c r="B81" s="26" t="str">
        <f aca="false">IF(A81="","",INPUT!B77)</f>
        <v/>
      </c>
      <c r="C81" s="26" t="str">
        <f aca="false">IF(A81="","",INPUT!C77)</f>
        <v/>
      </c>
      <c r="D81" s="40" t="str">
        <f aca="false">IF(A81="","",INPUT!D77)</f>
        <v/>
      </c>
      <c r="E81" s="27" t="str">
        <f aca="false">IF(A81="","",N(INPUT!E77))</f>
        <v/>
      </c>
      <c r="F81" s="27" t="str">
        <f aca="false">IF(A81="","",N(INPUT!F77))</f>
        <v/>
      </c>
      <c r="G81" s="27" t="str">
        <f aca="false">IF(A81="","",COUNTIFS(vis_CGID,INPUT!J77,vis_ClientID,INPUT!K77,vis_Svc,D81,vis_Status,"Verified",vis_InWeek,"Yes"))</f>
        <v/>
      </c>
      <c r="H81" s="27" t="str">
        <f aca="false">IF(A81="","",SUMIFS(vis_Units,vis_CGID,INPUT!J77,vis_ClientID,INPUT!K77,vis_Svc,D81,vis_Status,"Verified",vis_InWeek,"Yes"))</f>
        <v/>
      </c>
      <c r="I81" s="45" t="str">
        <f aca="false">IF(A81="","",MAX(0,F81-H81))</f>
        <v/>
      </c>
      <c r="J81" s="41" t="str">
        <f aca="false">IF(A81="","",ROUND(I81*N(INPUT!L77),2))</f>
        <v/>
      </c>
      <c r="K81" s="40" t="str">
        <f aca="false">IF(A81="","",INPUT!H77)</f>
        <v/>
      </c>
      <c r="L81" s="40" t="str">
        <f aca="false">IF(A81="","",IF(G81=0,"No matching visits",IF(I81&gt;0,"Units exceed visits",IF(E81&lt;&gt;G81,"Day count differs","OK"))))</f>
        <v/>
      </c>
      <c r="M81" s="40" t="str">
        <f aca="false">IF(A81="","",IF(L81="OK","",IF(K81="Hold","On hold","Review before paying")))</f>
        <v/>
      </c>
    </row>
    <row r="82" customFormat="false" ht="15" hidden="false" customHeight="false" outlineLevel="0" collapsed="false">
      <c r="A82" s="21" t="str">
        <f aca="false">IF(INPUT!B78="","",INPUT!A78)</f>
        <v/>
      </c>
      <c r="B82" s="26" t="str">
        <f aca="false">IF(A82="","",INPUT!B78)</f>
        <v/>
      </c>
      <c r="C82" s="26" t="str">
        <f aca="false">IF(A82="","",INPUT!C78)</f>
        <v/>
      </c>
      <c r="D82" s="40" t="str">
        <f aca="false">IF(A82="","",INPUT!D78)</f>
        <v/>
      </c>
      <c r="E82" s="27" t="str">
        <f aca="false">IF(A82="","",N(INPUT!E78))</f>
        <v/>
      </c>
      <c r="F82" s="27" t="str">
        <f aca="false">IF(A82="","",N(INPUT!F78))</f>
        <v/>
      </c>
      <c r="G82" s="27" t="str">
        <f aca="false">IF(A82="","",COUNTIFS(vis_CGID,INPUT!J78,vis_ClientID,INPUT!K78,vis_Svc,D82,vis_Status,"Verified",vis_InWeek,"Yes"))</f>
        <v/>
      </c>
      <c r="H82" s="27" t="str">
        <f aca="false">IF(A82="","",SUMIFS(vis_Units,vis_CGID,INPUT!J78,vis_ClientID,INPUT!K78,vis_Svc,D82,vis_Status,"Verified",vis_InWeek,"Yes"))</f>
        <v/>
      </c>
      <c r="I82" s="45" t="str">
        <f aca="false">IF(A82="","",MAX(0,F82-H82))</f>
        <v/>
      </c>
      <c r="J82" s="41" t="str">
        <f aca="false">IF(A82="","",ROUND(I82*N(INPUT!L78),2))</f>
        <v/>
      </c>
      <c r="K82" s="40" t="str">
        <f aca="false">IF(A82="","",INPUT!H78)</f>
        <v/>
      </c>
      <c r="L82" s="40" t="str">
        <f aca="false">IF(A82="","",IF(G82=0,"No matching visits",IF(I82&gt;0,"Units exceed visits",IF(E82&lt;&gt;G82,"Day count differs","OK"))))</f>
        <v/>
      </c>
      <c r="M82" s="40" t="str">
        <f aca="false">IF(A82="","",IF(L82="OK","",IF(K82="Hold","On hold","Review before paying")))</f>
        <v/>
      </c>
    </row>
    <row r="83" customFormat="false" ht="15" hidden="false" customHeight="false" outlineLevel="0" collapsed="false">
      <c r="A83" s="21" t="str">
        <f aca="false">IF(INPUT!B79="","",INPUT!A79)</f>
        <v/>
      </c>
      <c r="B83" s="26" t="str">
        <f aca="false">IF(A83="","",INPUT!B79)</f>
        <v/>
      </c>
      <c r="C83" s="26" t="str">
        <f aca="false">IF(A83="","",INPUT!C79)</f>
        <v/>
      </c>
      <c r="D83" s="40" t="str">
        <f aca="false">IF(A83="","",INPUT!D79)</f>
        <v/>
      </c>
      <c r="E83" s="27" t="str">
        <f aca="false">IF(A83="","",N(INPUT!E79))</f>
        <v/>
      </c>
      <c r="F83" s="27" t="str">
        <f aca="false">IF(A83="","",N(INPUT!F79))</f>
        <v/>
      </c>
      <c r="G83" s="27" t="str">
        <f aca="false">IF(A83="","",COUNTIFS(vis_CGID,INPUT!J79,vis_ClientID,INPUT!K79,vis_Svc,D83,vis_Status,"Verified",vis_InWeek,"Yes"))</f>
        <v/>
      </c>
      <c r="H83" s="27" t="str">
        <f aca="false">IF(A83="","",SUMIFS(vis_Units,vis_CGID,INPUT!J79,vis_ClientID,INPUT!K79,vis_Svc,D83,vis_Status,"Verified",vis_InWeek,"Yes"))</f>
        <v/>
      </c>
      <c r="I83" s="45" t="str">
        <f aca="false">IF(A83="","",MAX(0,F83-H83))</f>
        <v/>
      </c>
      <c r="J83" s="41" t="str">
        <f aca="false">IF(A83="","",ROUND(I83*N(INPUT!L79),2))</f>
        <v/>
      </c>
      <c r="K83" s="40" t="str">
        <f aca="false">IF(A83="","",INPUT!H79)</f>
        <v/>
      </c>
      <c r="L83" s="40" t="str">
        <f aca="false">IF(A83="","",IF(G83=0,"No matching visits",IF(I83&gt;0,"Units exceed visits",IF(E83&lt;&gt;G83,"Day count differs","OK"))))</f>
        <v/>
      </c>
      <c r="M83" s="40" t="str">
        <f aca="false">IF(A83="","",IF(L83="OK","",IF(K83="Hold","On hold","Review before paying")))</f>
        <v/>
      </c>
    </row>
    <row r="84" customFormat="false" ht="15" hidden="false" customHeight="false" outlineLevel="0" collapsed="false">
      <c r="A84" s="21" t="str">
        <f aca="false">IF(INPUT!B80="","",INPUT!A80)</f>
        <v/>
      </c>
      <c r="B84" s="26" t="str">
        <f aca="false">IF(A84="","",INPUT!B80)</f>
        <v/>
      </c>
      <c r="C84" s="26" t="str">
        <f aca="false">IF(A84="","",INPUT!C80)</f>
        <v/>
      </c>
      <c r="D84" s="40" t="str">
        <f aca="false">IF(A84="","",INPUT!D80)</f>
        <v/>
      </c>
      <c r="E84" s="27" t="str">
        <f aca="false">IF(A84="","",N(INPUT!E80))</f>
        <v/>
      </c>
      <c r="F84" s="27" t="str">
        <f aca="false">IF(A84="","",N(INPUT!F80))</f>
        <v/>
      </c>
      <c r="G84" s="27" t="str">
        <f aca="false">IF(A84="","",COUNTIFS(vis_CGID,INPUT!J80,vis_ClientID,INPUT!K80,vis_Svc,D84,vis_Status,"Verified",vis_InWeek,"Yes"))</f>
        <v/>
      </c>
      <c r="H84" s="27" t="str">
        <f aca="false">IF(A84="","",SUMIFS(vis_Units,vis_CGID,INPUT!J80,vis_ClientID,INPUT!K80,vis_Svc,D84,vis_Status,"Verified",vis_InWeek,"Yes"))</f>
        <v/>
      </c>
      <c r="I84" s="45" t="str">
        <f aca="false">IF(A84="","",MAX(0,F84-H84))</f>
        <v/>
      </c>
      <c r="J84" s="41" t="str">
        <f aca="false">IF(A84="","",ROUND(I84*N(INPUT!L80),2))</f>
        <v/>
      </c>
      <c r="K84" s="40" t="str">
        <f aca="false">IF(A84="","",INPUT!H80)</f>
        <v/>
      </c>
      <c r="L84" s="40" t="str">
        <f aca="false">IF(A84="","",IF(G84=0,"No matching visits",IF(I84&gt;0,"Units exceed visits",IF(E84&lt;&gt;G84,"Day count differs","OK"))))</f>
        <v/>
      </c>
      <c r="M84" s="40" t="str">
        <f aca="false">IF(A84="","",IF(L84="OK","",IF(K84="Hold","On hold","Review before paying")))</f>
        <v/>
      </c>
    </row>
    <row r="85" customFormat="false" ht="15" hidden="false" customHeight="false" outlineLevel="0" collapsed="false">
      <c r="A85" s="21" t="str">
        <f aca="false">IF(INPUT!B81="","",INPUT!A81)</f>
        <v/>
      </c>
      <c r="B85" s="26" t="str">
        <f aca="false">IF(A85="","",INPUT!B81)</f>
        <v/>
      </c>
      <c r="C85" s="26" t="str">
        <f aca="false">IF(A85="","",INPUT!C81)</f>
        <v/>
      </c>
      <c r="D85" s="40" t="str">
        <f aca="false">IF(A85="","",INPUT!D81)</f>
        <v/>
      </c>
      <c r="E85" s="27" t="str">
        <f aca="false">IF(A85="","",N(INPUT!E81))</f>
        <v/>
      </c>
      <c r="F85" s="27" t="str">
        <f aca="false">IF(A85="","",N(INPUT!F81))</f>
        <v/>
      </c>
      <c r="G85" s="27" t="str">
        <f aca="false">IF(A85="","",COUNTIFS(vis_CGID,INPUT!J81,vis_ClientID,INPUT!K81,vis_Svc,D85,vis_Status,"Verified",vis_InWeek,"Yes"))</f>
        <v/>
      </c>
      <c r="H85" s="27" t="str">
        <f aca="false">IF(A85="","",SUMIFS(vis_Units,vis_CGID,INPUT!J81,vis_ClientID,INPUT!K81,vis_Svc,D85,vis_Status,"Verified",vis_InWeek,"Yes"))</f>
        <v/>
      </c>
      <c r="I85" s="45" t="str">
        <f aca="false">IF(A85="","",MAX(0,F85-H85))</f>
        <v/>
      </c>
      <c r="J85" s="41" t="str">
        <f aca="false">IF(A85="","",ROUND(I85*N(INPUT!L81),2))</f>
        <v/>
      </c>
      <c r="K85" s="40" t="str">
        <f aca="false">IF(A85="","",INPUT!H81)</f>
        <v/>
      </c>
      <c r="L85" s="40" t="str">
        <f aca="false">IF(A85="","",IF(G85=0,"No matching visits",IF(I85&gt;0,"Units exceed visits",IF(E85&lt;&gt;G85,"Day count differs","OK"))))</f>
        <v/>
      </c>
      <c r="M85" s="40" t="str">
        <f aca="false">IF(A85="","",IF(L85="OK","",IF(K85="Hold","On hold","Review before paying")))</f>
        <v/>
      </c>
    </row>
    <row r="86" customFormat="false" ht="15" hidden="false" customHeight="false" outlineLevel="0" collapsed="false">
      <c r="A86" s="21" t="str">
        <f aca="false">IF(INPUT!B82="","",INPUT!A82)</f>
        <v/>
      </c>
      <c r="B86" s="26" t="str">
        <f aca="false">IF(A86="","",INPUT!B82)</f>
        <v/>
      </c>
      <c r="C86" s="26" t="str">
        <f aca="false">IF(A86="","",INPUT!C82)</f>
        <v/>
      </c>
      <c r="D86" s="40" t="str">
        <f aca="false">IF(A86="","",INPUT!D82)</f>
        <v/>
      </c>
      <c r="E86" s="27" t="str">
        <f aca="false">IF(A86="","",N(INPUT!E82))</f>
        <v/>
      </c>
      <c r="F86" s="27" t="str">
        <f aca="false">IF(A86="","",N(INPUT!F82))</f>
        <v/>
      </c>
      <c r="G86" s="27" t="str">
        <f aca="false">IF(A86="","",COUNTIFS(vis_CGID,INPUT!J82,vis_ClientID,INPUT!K82,vis_Svc,D86,vis_Status,"Verified",vis_InWeek,"Yes"))</f>
        <v/>
      </c>
      <c r="H86" s="27" t="str">
        <f aca="false">IF(A86="","",SUMIFS(vis_Units,vis_CGID,INPUT!J82,vis_ClientID,INPUT!K82,vis_Svc,D86,vis_Status,"Verified",vis_InWeek,"Yes"))</f>
        <v/>
      </c>
      <c r="I86" s="45" t="str">
        <f aca="false">IF(A86="","",MAX(0,F86-H86))</f>
        <v/>
      </c>
      <c r="J86" s="41" t="str">
        <f aca="false">IF(A86="","",ROUND(I86*N(INPUT!L82),2))</f>
        <v/>
      </c>
      <c r="K86" s="40" t="str">
        <f aca="false">IF(A86="","",INPUT!H82)</f>
        <v/>
      </c>
      <c r="L86" s="40" t="str">
        <f aca="false">IF(A86="","",IF(G86=0,"No matching visits",IF(I86&gt;0,"Units exceed visits",IF(E86&lt;&gt;G86,"Day count differs","OK"))))</f>
        <v/>
      </c>
      <c r="M86" s="40" t="str">
        <f aca="false">IF(A86="","",IF(L86="OK","",IF(K86="Hold","On hold","Review before paying")))</f>
        <v/>
      </c>
    </row>
    <row r="87" customFormat="false" ht="15" hidden="false" customHeight="false" outlineLevel="0" collapsed="false">
      <c r="A87" s="21" t="str">
        <f aca="false">IF(INPUT!B83="","",INPUT!A83)</f>
        <v/>
      </c>
      <c r="B87" s="26" t="str">
        <f aca="false">IF(A87="","",INPUT!B83)</f>
        <v/>
      </c>
      <c r="C87" s="26" t="str">
        <f aca="false">IF(A87="","",INPUT!C83)</f>
        <v/>
      </c>
      <c r="D87" s="40" t="str">
        <f aca="false">IF(A87="","",INPUT!D83)</f>
        <v/>
      </c>
      <c r="E87" s="27" t="str">
        <f aca="false">IF(A87="","",N(INPUT!E83))</f>
        <v/>
      </c>
      <c r="F87" s="27" t="str">
        <f aca="false">IF(A87="","",N(INPUT!F83))</f>
        <v/>
      </c>
      <c r="G87" s="27" t="str">
        <f aca="false">IF(A87="","",COUNTIFS(vis_CGID,INPUT!J83,vis_ClientID,INPUT!K83,vis_Svc,D87,vis_Status,"Verified",vis_InWeek,"Yes"))</f>
        <v/>
      </c>
      <c r="H87" s="27" t="str">
        <f aca="false">IF(A87="","",SUMIFS(vis_Units,vis_CGID,INPUT!J83,vis_ClientID,INPUT!K83,vis_Svc,D87,vis_Status,"Verified",vis_InWeek,"Yes"))</f>
        <v/>
      </c>
      <c r="I87" s="45" t="str">
        <f aca="false">IF(A87="","",MAX(0,F87-H87))</f>
        <v/>
      </c>
      <c r="J87" s="41" t="str">
        <f aca="false">IF(A87="","",ROUND(I87*N(INPUT!L83),2))</f>
        <v/>
      </c>
      <c r="K87" s="40" t="str">
        <f aca="false">IF(A87="","",INPUT!H83)</f>
        <v/>
      </c>
      <c r="L87" s="40" t="str">
        <f aca="false">IF(A87="","",IF(G87=0,"No matching visits",IF(I87&gt;0,"Units exceed visits",IF(E87&lt;&gt;G87,"Day count differs","OK"))))</f>
        <v/>
      </c>
      <c r="M87" s="40" t="str">
        <f aca="false">IF(A87="","",IF(L87="OK","",IF(K87="Hold","On hold","Review before paying")))</f>
        <v/>
      </c>
    </row>
    <row r="88" customFormat="false" ht="15" hidden="false" customHeight="false" outlineLevel="0" collapsed="false">
      <c r="A88" s="21" t="str">
        <f aca="false">IF(INPUT!B84="","",INPUT!A84)</f>
        <v/>
      </c>
      <c r="B88" s="26" t="str">
        <f aca="false">IF(A88="","",INPUT!B84)</f>
        <v/>
      </c>
      <c r="C88" s="26" t="str">
        <f aca="false">IF(A88="","",INPUT!C84)</f>
        <v/>
      </c>
      <c r="D88" s="40" t="str">
        <f aca="false">IF(A88="","",INPUT!D84)</f>
        <v/>
      </c>
      <c r="E88" s="27" t="str">
        <f aca="false">IF(A88="","",N(INPUT!E84))</f>
        <v/>
      </c>
      <c r="F88" s="27" t="str">
        <f aca="false">IF(A88="","",N(INPUT!F84))</f>
        <v/>
      </c>
      <c r="G88" s="27" t="str">
        <f aca="false">IF(A88="","",COUNTIFS(vis_CGID,INPUT!J84,vis_ClientID,INPUT!K84,vis_Svc,D88,vis_Status,"Verified",vis_InWeek,"Yes"))</f>
        <v/>
      </c>
      <c r="H88" s="27" t="str">
        <f aca="false">IF(A88="","",SUMIFS(vis_Units,vis_CGID,INPUT!J84,vis_ClientID,INPUT!K84,vis_Svc,D88,vis_Status,"Verified",vis_InWeek,"Yes"))</f>
        <v/>
      </c>
      <c r="I88" s="45" t="str">
        <f aca="false">IF(A88="","",MAX(0,F88-H88))</f>
        <v/>
      </c>
      <c r="J88" s="41" t="str">
        <f aca="false">IF(A88="","",ROUND(I88*N(INPUT!L84),2))</f>
        <v/>
      </c>
      <c r="K88" s="40" t="str">
        <f aca="false">IF(A88="","",INPUT!H84)</f>
        <v/>
      </c>
      <c r="L88" s="40" t="str">
        <f aca="false">IF(A88="","",IF(G88=0,"No matching visits",IF(I88&gt;0,"Units exceed visits",IF(E88&lt;&gt;G88,"Day count differs","OK"))))</f>
        <v/>
      </c>
      <c r="M88" s="40" t="str">
        <f aca="false">IF(A88="","",IF(L88="OK","",IF(K88="Hold","On hold","Review before paying")))</f>
        <v/>
      </c>
    </row>
    <row r="89" customFormat="false" ht="15" hidden="false" customHeight="false" outlineLevel="0" collapsed="false">
      <c r="A89" s="21" t="str">
        <f aca="false">IF(INPUT!B85="","",INPUT!A85)</f>
        <v/>
      </c>
      <c r="B89" s="26" t="str">
        <f aca="false">IF(A89="","",INPUT!B85)</f>
        <v/>
      </c>
      <c r="C89" s="26" t="str">
        <f aca="false">IF(A89="","",INPUT!C85)</f>
        <v/>
      </c>
      <c r="D89" s="40" t="str">
        <f aca="false">IF(A89="","",INPUT!D85)</f>
        <v/>
      </c>
      <c r="E89" s="27" t="str">
        <f aca="false">IF(A89="","",N(INPUT!E85))</f>
        <v/>
      </c>
      <c r="F89" s="27" t="str">
        <f aca="false">IF(A89="","",N(INPUT!F85))</f>
        <v/>
      </c>
      <c r="G89" s="27" t="str">
        <f aca="false">IF(A89="","",COUNTIFS(vis_CGID,INPUT!J85,vis_ClientID,INPUT!K85,vis_Svc,D89,vis_Status,"Verified",vis_InWeek,"Yes"))</f>
        <v/>
      </c>
      <c r="H89" s="27" t="str">
        <f aca="false">IF(A89="","",SUMIFS(vis_Units,vis_CGID,INPUT!J85,vis_ClientID,INPUT!K85,vis_Svc,D89,vis_Status,"Verified",vis_InWeek,"Yes"))</f>
        <v/>
      </c>
      <c r="I89" s="45" t="str">
        <f aca="false">IF(A89="","",MAX(0,F89-H89))</f>
        <v/>
      </c>
      <c r="J89" s="41" t="str">
        <f aca="false">IF(A89="","",ROUND(I89*N(INPUT!L85),2))</f>
        <v/>
      </c>
      <c r="K89" s="40" t="str">
        <f aca="false">IF(A89="","",INPUT!H85)</f>
        <v/>
      </c>
      <c r="L89" s="40" t="str">
        <f aca="false">IF(A89="","",IF(G89=0,"No matching visits",IF(I89&gt;0,"Units exceed visits",IF(E89&lt;&gt;G89,"Day count differs","OK"))))</f>
        <v/>
      </c>
      <c r="M89" s="40" t="str">
        <f aca="false">IF(A89="","",IF(L89="OK","",IF(K89="Hold","On hold","Review before paying")))</f>
        <v/>
      </c>
    </row>
    <row r="90" customFormat="false" ht="15" hidden="false" customHeight="false" outlineLevel="0" collapsed="false">
      <c r="A90" s="21" t="str">
        <f aca="false">IF(INPUT!B86="","",INPUT!A86)</f>
        <v/>
      </c>
      <c r="B90" s="26" t="str">
        <f aca="false">IF(A90="","",INPUT!B86)</f>
        <v/>
      </c>
      <c r="C90" s="26" t="str">
        <f aca="false">IF(A90="","",INPUT!C86)</f>
        <v/>
      </c>
      <c r="D90" s="40" t="str">
        <f aca="false">IF(A90="","",INPUT!D86)</f>
        <v/>
      </c>
      <c r="E90" s="27" t="str">
        <f aca="false">IF(A90="","",N(INPUT!E86))</f>
        <v/>
      </c>
      <c r="F90" s="27" t="str">
        <f aca="false">IF(A90="","",N(INPUT!F86))</f>
        <v/>
      </c>
      <c r="G90" s="27" t="str">
        <f aca="false">IF(A90="","",COUNTIFS(vis_CGID,INPUT!J86,vis_ClientID,INPUT!K86,vis_Svc,D90,vis_Status,"Verified",vis_InWeek,"Yes"))</f>
        <v/>
      </c>
      <c r="H90" s="27" t="str">
        <f aca="false">IF(A90="","",SUMIFS(vis_Units,vis_CGID,INPUT!J86,vis_ClientID,INPUT!K86,vis_Svc,D90,vis_Status,"Verified",vis_InWeek,"Yes"))</f>
        <v/>
      </c>
      <c r="I90" s="45" t="str">
        <f aca="false">IF(A90="","",MAX(0,F90-H90))</f>
        <v/>
      </c>
      <c r="J90" s="41" t="str">
        <f aca="false">IF(A90="","",ROUND(I90*N(INPUT!L86),2))</f>
        <v/>
      </c>
      <c r="K90" s="40" t="str">
        <f aca="false">IF(A90="","",INPUT!H86)</f>
        <v/>
      </c>
      <c r="L90" s="40" t="str">
        <f aca="false">IF(A90="","",IF(G90=0,"No matching visits",IF(I90&gt;0,"Units exceed visits",IF(E90&lt;&gt;G90,"Day count differs","OK"))))</f>
        <v/>
      </c>
      <c r="M90" s="40" t="str">
        <f aca="false">IF(A90="","",IF(L90="OK","",IF(K90="Hold","On hold","Review before paying")))</f>
        <v/>
      </c>
    </row>
    <row r="91" customFormat="false" ht="15" hidden="false" customHeight="false" outlineLevel="0" collapsed="false">
      <c r="A91" s="21" t="str">
        <f aca="false">IF(INPUT!B87="","",INPUT!A87)</f>
        <v/>
      </c>
      <c r="B91" s="26" t="str">
        <f aca="false">IF(A91="","",INPUT!B87)</f>
        <v/>
      </c>
      <c r="C91" s="26" t="str">
        <f aca="false">IF(A91="","",INPUT!C87)</f>
        <v/>
      </c>
      <c r="D91" s="40" t="str">
        <f aca="false">IF(A91="","",INPUT!D87)</f>
        <v/>
      </c>
      <c r="E91" s="27" t="str">
        <f aca="false">IF(A91="","",N(INPUT!E87))</f>
        <v/>
      </c>
      <c r="F91" s="27" t="str">
        <f aca="false">IF(A91="","",N(INPUT!F87))</f>
        <v/>
      </c>
      <c r="G91" s="27" t="str">
        <f aca="false">IF(A91="","",COUNTIFS(vis_CGID,INPUT!J87,vis_ClientID,INPUT!K87,vis_Svc,D91,vis_Status,"Verified",vis_InWeek,"Yes"))</f>
        <v/>
      </c>
      <c r="H91" s="27" t="str">
        <f aca="false">IF(A91="","",SUMIFS(vis_Units,vis_CGID,INPUT!J87,vis_ClientID,INPUT!K87,vis_Svc,D91,vis_Status,"Verified",vis_InWeek,"Yes"))</f>
        <v/>
      </c>
      <c r="I91" s="45" t="str">
        <f aca="false">IF(A91="","",MAX(0,F91-H91))</f>
        <v/>
      </c>
      <c r="J91" s="41" t="str">
        <f aca="false">IF(A91="","",ROUND(I91*N(INPUT!L87),2))</f>
        <v/>
      </c>
      <c r="K91" s="40" t="str">
        <f aca="false">IF(A91="","",INPUT!H87)</f>
        <v/>
      </c>
      <c r="L91" s="40" t="str">
        <f aca="false">IF(A91="","",IF(G91=0,"No matching visits",IF(I91&gt;0,"Units exceed visits",IF(E91&lt;&gt;G91,"Day count differs","OK"))))</f>
        <v/>
      </c>
      <c r="M91" s="40" t="str">
        <f aca="false">IF(A91="","",IF(L91="OK","",IF(K91="Hold","On hold","Review before paying")))</f>
        <v/>
      </c>
    </row>
    <row r="92" customFormat="false" ht="15" hidden="false" customHeight="false" outlineLevel="0" collapsed="false">
      <c r="A92" s="21" t="str">
        <f aca="false">IF(INPUT!B88="","",INPUT!A88)</f>
        <v/>
      </c>
      <c r="B92" s="26" t="str">
        <f aca="false">IF(A92="","",INPUT!B88)</f>
        <v/>
      </c>
      <c r="C92" s="26" t="str">
        <f aca="false">IF(A92="","",INPUT!C88)</f>
        <v/>
      </c>
      <c r="D92" s="40" t="str">
        <f aca="false">IF(A92="","",INPUT!D88)</f>
        <v/>
      </c>
      <c r="E92" s="27" t="str">
        <f aca="false">IF(A92="","",N(INPUT!E88))</f>
        <v/>
      </c>
      <c r="F92" s="27" t="str">
        <f aca="false">IF(A92="","",N(INPUT!F88))</f>
        <v/>
      </c>
      <c r="G92" s="27" t="str">
        <f aca="false">IF(A92="","",COUNTIFS(vis_CGID,INPUT!J88,vis_ClientID,INPUT!K88,vis_Svc,D92,vis_Status,"Verified",vis_InWeek,"Yes"))</f>
        <v/>
      </c>
      <c r="H92" s="27" t="str">
        <f aca="false">IF(A92="","",SUMIFS(vis_Units,vis_CGID,INPUT!J88,vis_ClientID,INPUT!K88,vis_Svc,D92,vis_Status,"Verified",vis_InWeek,"Yes"))</f>
        <v/>
      </c>
      <c r="I92" s="45" t="str">
        <f aca="false">IF(A92="","",MAX(0,F92-H92))</f>
        <v/>
      </c>
      <c r="J92" s="41" t="str">
        <f aca="false">IF(A92="","",ROUND(I92*N(INPUT!L88),2))</f>
        <v/>
      </c>
      <c r="K92" s="40" t="str">
        <f aca="false">IF(A92="","",INPUT!H88)</f>
        <v/>
      </c>
      <c r="L92" s="40" t="str">
        <f aca="false">IF(A92="","",IF(G92=0,"No matching visits",IF(I92&gt;0,"Units exceed visits",IF(E92&lt;&gt;G92,"Day count differs","OK"))))</f>
        <v/>
      </c>
      <c r="M92" s="40" t="str">
        <f aca="false">IF(A92="","",IF(L92="OK","",IF(K92="Hold","On hold","Review before paying")))</f>
        <v/>
      </c>
    </row>
    <row r="93" customFormat="false" ht="15" hidden="false" customHeight="false" outlineLevel="0" collapsed="false">
      <c r="A93" s="21" t="str">
        <f aca="false">IF(INPUT!B89="","",INPUT!A89)</f>
        <v/>
      </c>
      <c r="B93" s="26" t="str">
        <f aca="false">IF(A93="","",INPUT!B89)</f>
        <v/>
      </c>
      <c r="C93" s="26" t="str">
        <f aca="false">IF(A93="","",INPUT!C89)</f>
        <v/>
      </c>
      <c r="D93" s="40" t="str">
        <f aca="false">IF(A93="","",INPUT!D89)</f>
        <v/>
      </c>
      <c r="E93" s="27" t="str">
        <f aca="false">IF(A93="","",N(INPUT!E89))</f>
        <v/>
      </c>
      <c r="F93" s="27" t="str">
        <f aca="false">IF(A93="","",N(INPUT!F89))</f>
        <v/>
      </c>
      <c r="G93" s="27" t="str">
        <f aca="false">IF(A93="","",COUNTIFS(vis_CGID,INPUT!J89,vis_ClientID,INPUT!K89,vis_Svc,D93,vis_Status,"Verified",vis_InWeek,"Yes"))</f>
        <v/>
      </c>
      <c r="H93" s="27" t="str">
        <f aca="false">IF(A93="","",SUMIFS(vis_Units,vis_CGID,INPUT!J89,vis_ClientID,INPUT!K89,vis_Svc,D93,vis_Status,"Verified",vis_InWeek,"Yes"))</f>
        <v/>
      </c>
      <c r="I93" s="45" t="str">
        <f aca="false">IF(A93="","",MAX(0,F93-H93))</f>
        <v/>
      </c>
      <c r="J93" s="41" t="str">
        <f aca="false">IF(A93="","",ROUND(I93*N(INPUT!L89),2))</f>
        <v/>
      </c>
      <c r="K93" s="40" t="str">
        <f aca="false">IF(A93="","",INPUT!H89)</f>
        <v/>
      </c>
      <c r="L93" s="40" t="str">
        <f aca="false">IF(A93="","",IF(G93=0,"No matching visits",IF(I93&gt;0,"Units exceed visits",IF(E93&lt;&gt;G93,"Day count differs","OK"))))</f>
        <v/>
      </c>
      <c r="M93" s="40" t="str">
        <f aca="false">IF(A93="","",IF(L93="OK","",IF(K93="Hold","On hold","Review before paying")))</f>
        <v/>
      </c>
    </row>
    <row r="94" customFormat="false" ht="15" hidden="false" customHeight="false" outlineLevel="0" collapsed="false">
      <c r="A94" s="21" t="str">
        <f aca="false">IF(INPUT!B90="","",INPUT!A90)</f>
        <v/>
      </c>
      <c r="B94" s="26" t="str">
        <f aca="false">IF(A94="","",INPUT!B90)</f>
        <v/>
      </c>
      <c r="C94" s="26" t="str">
        <f aca="false">IF(A94="","",INPUT!C90)</f>
        <v/>
      </c>
      <c r="D94" s="40" t="str">
        <f aca="false">IF(A94="","",INPUT!D90)</f>
        <v/>
      </c>
      <c r="E94" s="27" t="str">
        <f aca="false">IF(A94="","",N(INPUT!E90))</f>
        <v/>
      </c>
      <c r="F94" s="27" t="str">
        <f aca="false">IF(A94="","",N(INPUT!F90))</f>
        <v/>
      </c>
      <c r="G94" s="27" t="str">
        <f aca="false">IF(A94="","",COUNTIFS(vis_CGID,INPUT!J90,vis_ClientID,INPUT!K90,vis_Svc,D94,vis_Status,"Verified",vis_InWeek,"Yes"))</f>
        <v/>
      </c>
      <c r="H94" s="27" t="str">
        <f aca="false">IF(A94="","",SUMIFS(vis_Units,vis_CGID,INPUT!J90,vis_ClientID,INPUT!K90,vis_Svc,D94,vis_Status,"Verified",vis_InWeek,"Yes"))</f>
        <v/>
      </c>
      <c r="I94" s="45" t="str">
        <f aca="false">IF(A94="","",MAX(0,F94-H94))</f>
        <v/>
      </c>
      <c r="J94" s="41" t="str">
        <f aca="false">IF(A94="","",ROUND(I94*N(INPUT!L90),2))</f>
        <v/>
      </c>
      <c r="K94" s="40" t="str">
        <f aca="false">IF(A94="","",INPUT!H90)</f>
        <v/>
      </c>
      <c r="L94" s="40" t="str">
        <f aca="false">IF(A94="","",IF(G94=0,"No matching visits",IF(I94&gt;0,"Units exceed visits",IF(E94&lt;&gt;G94,"Day count differs","OK"))))</f>
        <v/>
      </c>
      <c r="M94" s="40" t="str">
        <f aca="false">IF(A94="","",IF(L94="OK","",IF(K94="Hold","On hold","Review before paying")))</f>
        <v/>
      </c>
    </row>
    <row r="95" customFormat="false" ht="15" hidden="false" customHeight="false" outlineLevel="0" collapsed="false">
      <c r="A95" s="21" t="str">
        <f aca="false">IF(INPUT!B91="","",INPUT!A91)</f>
        <v/>
      </c>
      <c r="B95" s="26" t="str">
        <f aca="false">IF(A95="","",INPUT!B91)</f>
        <v/>
      </c>
      <c r="C95" s="26" t="str">
        <f aca="false">IF(A95="","",INPUT!C91)</f>
        <v/>
      </c>
      <c r="D95" s="40" t="str">
        <f aca="false">IF(A95="","",INPUT!D91)</f>
        <v/>
      </c>
      <c r="E95" s="27" t="str">
        <f aca="false">IF(A95="","",N(INPUT!E91))</f>
        <v/>
      </c>
      <c r="F95" s="27" t="str">
        <f aca="false">IF(A95="","",N(INPUT!F91))</f>
        <v/>
      </c>
      <c r="G95" s="27" t="str">
        <f aca="false">IF(A95="","",COUNTIFS(vis_CGID,INPUT!J91,vis_ClientID,INPUT!K91,vis_Svc,D95,vis_Status,"Verified",vis_InWeek,"Yes"))</f>
        <v/>
      </c>
      <c r="H95" s="27" t="str">
        <f aca="false">IF(A95="","",SUMIFS(vis_Units,vis_CGID,INPUT!J91,vis_ClientID,INPUT!K91,vis_Svc,D95,vis_Status,"Verified",vis_InWeek,"Yes"))</f>
        <v/>
      </c>
      <c r="I95" s="45" t="str">
        <f aca="false">IF(A95="","",MAX(0,F95-H95))</f>
        <v/>
      </c>
      <c r="J95" s="41" t="str">
        <f aca="false">IF(A95="","",ROUND(I95*N(INPUT!L91),2))</f>
        <v/>
      </c>
      <c r="K95" s="40" t="str">
        <f aca="false">IF(A95="","",INPUT!H91)</f>
        <v/>
      </c>
      <c r="L95" s="40" t="str">
        <f aca="false">IF(A95="","",IF(G95=0,"No matching visits",IF(I95&gt;0,"Units exceed visits",IF(E95&lt;&gt;G95,"Day count differs","OK"))))</f>
        <v/>
      </c>
      <c r="M95" s="40" t="str">
        <f aca="false">IF(A95="","",IF(L95="OK","",IF(K95="Hold","On hold","Review before paying")))</f>
        <v/>
      </c>
    </row>
    <row r="96" customFormat="false" ht="15" hidden="false" customHeight="false" outlineLevel="0" collapsed="false">
      <c r="A96" s="21" t="str">
        <f aca="false">IF(INPUT!B92="","",INPUT!A92)</f>
        <v/>
      </c>
      <c r="B96" s="26" t="str">
        <f aca="false">IF(A96="","",INPUT!B92)</f>
        <v/>
      </c>
      <c r="C96" s="26" t="str">
        <f aca="false">IF(A96="","",INPUT!C92)</f>
        <v/>
      </c>
      <c r="D96" s="40" t="str">
        <f aca="false">IF(A96="","",INPUT!D92)</f>
        <v/>
      </c>
      <c r="E96" s="27" t="str">
        <f aca="false">IF(A96="","",N(INPUT!E92))</f>
        <v/>
      </c>
      <c r="F96" s="27" t="str">
        <f aca="false">IF(A96="","",N(INPUT!F92))</f>
        <v/>
      </c>
      <c r="G96" s="27" t="str">
        <f aca="false">IF(A96="","",COUNTIFS(vis_CGID,INPUT!J92,vis_ClientID,INPUT!K92,vis_Svc,D96,vis_Status,"Verified",vis_InWeek,"Yes"))</f>
        <v/>
      </c>
      <c r="H96" s="27" t="str">
        <f aca="false">IF(A96="","",SUMIFS(vis_Units,vis_CGID,INPUT!J92,vis_ClientID,INPUT!K92,vis_Svc,D96,vis_Status,"Verified",vis_InWeek,"Yes"))</f>
        <v/>
      </c>
      <c r="I96" s="45" t="str">
        <f aca="false">IF(A96="","",MAX(0,F96-H96))</f>
        <v/>
      </c>
      <c r="J96" s="41" t="str">
        <f aca="false">IF(A96="","",ROUND(I96*N(INPUT!L92),2))</f>
        <v/>
      </c>
      <c r="K96" s="40" t="str">
        <f aca="false">IF(A96="","",INPUT!H92)</f>
        <v/>
      </c>
      <c r="L96" s="40" t="str">
        <f aca="false">IF(A96="","",IF(G96=0,"No matching visits",IF(I96&gt;0,"Units exceed visits",IF(E96&lt;&gt;G96,"Day count differs","OK"))))</f>
        <v/>
      </c>
      <c r="M96" s="40" t="str">
        <f aca="false">IF(A96="","",IF(L96="OK","",IF(K96="Hold","On hold","Review before paying")))</f>
        <v/>
      </c>
    </row>
    <row r="97" customFormat="false" ht="15" hidden="false" customHeight="false" outlineLevel="0" collapsed="false">
      <c r="A97" s="21" t="str">
        <f aca="false">IF(INPUT!B93="","",INPUT!A93)</f>
        <v/>
      </c>
      <c r="B97" s="26" t="str">
        <f aca="false">IF(A97="","",INPUT!B93)</f>
        <v/>
      </c>
      <c r="C97" s="26" t="str">
        <f aca="false">IF(A97="","",INPUT!C93)</f>
        <v/>
      </c>
      <c r="D97" s="40" t="str">
        <f aca="false">IF(A97="","",INPUT!D93)</f>
        <v/>
      </c>
      <c r="E97" s="27" t="str">
        <f aca="false">IF(A97="","",N(INPUT!E93))</f>
        <v/>
      </c>
      <c r="F97" s="27" t="str">
        <f aca="false">IF(A97="","",N(INPUT!F93))</f>
        <v/>
      </c>
      <c r="G97" s="27" t="str">
        <f aca="false">IF(A97="","",COUNTIFS(vis_CGID,INPUT!J93,vis_ClientID,INPUT!K93,vis_Svc,D97,vis_Status,"Verified",vis_InWeek,"Yes"))</f>
        <v/>
      </c>
      <c r="H97" s="27" t="str">
        <f aca="false">IF(A97="","",SUMIFS(vis_Units,vis_CGID,INPUT!J93,vis_ClientID,INPUT!K93,vis_Svc,D97,vis_Status,"Verified",vis_InWeek,"Yes"))</f>
        <v/>
      </c>
      <c r="I97" s="45" t="str">
        <f aca="false">IF(A97="","",MAX(0,F97-H97))</f>
        <v/>
      </c>
      <c r="J97" s="41" t="str">
        <f aca="false">IF(A97="","",ROUND(I97*N(INPUT!L93),2))</f>
        <v/>
      </c>
      <c r="K97" s="40" t="str">
        <f aca="false">IF(A97="","",INPUT!H93)</f>
        <v/>
      </c>
      <c r="L97" s="40" t="str">
        <f aca="false">IF(A97="","",IF(G97=0,"No matching visits",IF(I97&gt;0,"Units exceed visits",IF(E97&lt;&gt;G97,"Day count differs","OK"))))</f>
        <v/>
      </c>
      <c r="M97" s="40" t="str">
        <f aca="false">IF(A97="","",IF(L97="OK","",IF(K97="Hold","On hold","Review before paying")))</f>
        <v/>
      </c>
    </row>
    <row r="98" customFormat="false" ht="15" hidden="false" customHeight="false" outlineLevel="0" collapsed="false">
      <c r="A98" s="21" t="str">
        <f aca="false">IF(INPUT!B94="","",INPUT!A94)</f>
        <v/>
      </c>
      <c r="B98" s="26" t="str">
        <f aca="false">IF(A98="","",INPUT!B94)</f>
        <v/>
      </c>
      <c r="C98" s="26" t="str">
        <f aca="false">IF(A98="","",INPUT!C94)</f>
        <v/>
      </c>
      <c r="D98" s="40" t="str">
        <f aca="false">IF(A98="","",INPUT!D94)</f>
        <v/>
      </c>
      <c r="E98" s="27" t="str">
        <f aca="false">IF(A98="","",N(INPUT!E94))</f>
        <v/>
      </c>
      <c r="F98" s="27" t="str">
        <f aca="false">IF(A98="","",N(INPUT!F94))</f>
        <v/>
      </c>
      <c r="G98" s="27" t="str">
        <f aca="false">IF(A98="","",COUNTIFS(vis_CGID,INPUT!J94,vis_ClientID,INPUT!K94,vis_Svc,D98,vis_Status,"Verified",vis_InWeek,"Yes"))</f>
        <v/>
      </c>
      <c r="H98" s="27" t="str">
        <f aca="false">IF(A98="","",SUMIFS(vis_Units,vis_CGID,INPUT!J94,vis_ClientID,INPUT!K94,vis_Svc,D98,vis_Status,"Verified",vis_InWeek,"Yes"))</f>
        <v/>
      </c>
      <c r="I98" s="45" t="str">
        <f aca="false">IF(A98="","",MAX(0,F98-H98))</f>
        <v/>
      </c>
      <c r="J98" s="41" t="str">
        <f aca="false">IF(A98="","",ROUND(I98*N(INPUT!L94),2))</f>
        <v/>
      </c>
      <c r="K98" s="40" t="str">
        <f aca="false">IF(A98="","",INPUT!H94)</f>
        <v/>
      </c>
      <c r="L98" s="40" t="str">
        <f aca="false">IF(A98="","",IF(G98=0,"No matching visits",IF(I98&gt;0,"Units exceed visits",IF(E98&lt;&gt;G98,"Day count differs","OK"))))</f>
        <v/>
      </c>
      <c r="M98" s="40" t="str">
        <f aca="false">IF(A98="","",IF(L98="OK","",IF(K98="Hold","On hold","Review before paying")))</f>
        <v/>
      </c>
    </row>
    <row r="99" customFormat="false" ht="15" hidden="false" customHeight="false" outlineLevel="0" collapsed="false">
      <c r="A99" s="21" t="str">
        <f aca="false">IF(INPUT!B95="","",INPUT!A95)</f>
        <v/>
      </c>
      <c r="B99" s="26" t="str">
        <f aca="false">IF(A99="","",INPUT!B95)</f>
        <v/>
      </c>
      <c r="C99" s="26" t="str">
        <f aca="false">IF(A99="","",INPUT!C95)</f>
        <v/>
      </c>
      <c r="D99" s="40" t="str">
        <f aca="false">IF(A99="","",INPUT!D95)</f>
        <v/>
      </c>
      <c r="E99" s="27" t="str">
        <f aca="false">IF(A99="","",N(INPUT!E95))</f>
        <v/>
      </c>
      <c r="F99" s="27" t="str">
        <f aca="false">IF(A99="","",N(INPUT!F95))</f>
        <v/>
      </c>
      <c r="G99" s="27" t="str">
        <f aca="false">IF(A99="","",COUNTIFS(vis_CGID,INPUT!J95,vis_ClientID,INPUT!K95,vis_Svc,D99,vis_Status,"Verified",vis_InWeek,"Yes"))</f>
        <v/>
      </c>
      <c r="H99" s="27" t="str">
        <f aca="false">IF(A99="","",SUMIFS(vis_Units,vis_CGID,INPUT!J95,vis_ClientID,INPUT!K95,vis_Svc,D99,vis_Status,"Verified",vis_InWeek,"Yes"))</f>
        <v/>
      </c>
      <c r="I99" s="45" t="str">
        <f aca="false">IF(A99="","",MAX(0,F99-H99))</f>
        <v/>
      </c>
      <c r="J99" s="41" t="str">
        <f aca="false">IF(A99="","",ROUND(I99*N(INPUT!L95),2))</f>
        <v/>
      </c>
      <c r="K99" s="40" t="str">
        <f aca="false">IF(A99="","",INPUT!H95)</f>
        <v/>
      </c>
      <c r="L99" s="40" t="str">
        <f aca="false">IF(A99="","",IF(G99=0,"No matching visits",IF(I99&gt;0,"Units exceed visits",IF(E99&lt;&gt;G99,"Day count differs","OK"))))</f>
        <v/>
      </c>
      <c r="M99" s="40" t="str">
        <f aca="false">IF(A99="","",IF(L99="OK","",IF(K99="Hold","On hold","Review before paying")))</f>
        <v/>
      </c>
    </row>
    <row r="100" customFormat="false" ht="15" hidden="false" customHeight="false" outlineLevel="0" collapsed="false">
      <c r="A100" s="21" t="str">
        <f aca="false">IF(INPUT!B96="","",INPUT!A96)</f>
        <v/>
      </c>
      <c r="B100" s="26" t="str">
        <f aca="false">IF(A100="","",INPUT!B96)</f>
        <v/>
      </c>
      <c r="C100" s="26" t="str">
        <f aca="false">IF(A100="","",INPUT!C96)</f>
        <v/>
      </c>
      <c r="D100" s="40" t="str">
        <f aca="false">IF(A100="","",INPUT!D96)</f>
        <v/>
      </c>
      <c r="E100" s="27" t="str">
        <f aca="false">IF(A100="","",N(INPUT!E96))</f>
        <v/>
      </c>
      <c r="F100" s="27" t="str">
        <f aca="false">IF(A100="","",N(INPUT!F96))</f>
        <v/>
      </c>
      <c r="G100" s="27" t="str">
        <f aca="false">IF(A100="","",COUNTIFS(vis_CGID,INPUT!J96,vis_ClientID,INPUT!K96,vis_Svc,D100,vis_Status,"Verified",vis_InWeek,"Yes"))</f>
        <v/>
      </c>
      <c r="H100" s="27" t="str">
        <f aca="false">IF(A100="","",SUMIFS(vis_Units,vis_CGID,INPUT!J96,vis_ClientID,INPUT!K96,vis_Svc,D100,vis_Status,"Verified",vis_InWeek,"Yes"))</f>
        <v/>
      </c>
      <c r="I100" s="45" t="str">
        <f aca="false">IF(A100="","",MAX(0,F100-H100))</f>
        <v/>
      </c>
      <c r="J100" s="41" t="str">
        <f aca="false">IF(A100="","",ROUND(I100*N(INPUT!L96),2))</f>
        <v/>
      </c>
      <c r="K100" s="40" t="str">
        <f aca="false">IF(A100="","",INPUT!H96)</f>
        <v/>
      </c>
      <c r="L100" s="40" t="str">
        <f aca="false">IF(A100="","",IF(G100=0,"No matching visits",IF(I100&gt;0,"Units exceed visits",IF(E100&lt;&gt;G100,"Day count differs","OK"))))</f>
        <v/>
      </c>
      <c r="M100" s="40" t="str">
        <f aca="false">IF(A100="","",IF(L100="OK","",IF(K100="Hold","On hold","Review before paying")))</f>
        <v/>
      </c>
    </row>
    <row r="101" customFormat="false" ht="15" hidden="false" customHeight="false" outlineLevel="0" collapsed="false">
      <c r="A101" s="21" t="str">
        <f aca="false">IF(INPUT!B97="","",INPUT!A97)</f>
        <v/>
      </c>
      <c r="B101" s="26" t="str">
        <f aca="false">IF(A101="","",INPUT!B97)</f>
        <v/>
      </c>
      <c r="C101" s="26" t="str">
        <f aca="false">IF(A101="","",INPUT!C97)</f>
        <v/>
      </c>
      <c r="D101" s="40" t="str">
        <f aca="false">IF(A101="","",INPUT!D97)</f>
        <v/>
      </c>
      <c r="E101" s="27" t="str">
        <f aca="false">IF(A101="","",N(INPUT!E97))</f>
        <v/>
      </c>
      <c r="F101" s="27" t="str">
        <f aca="false">IF(A101="","",N(INPUT!F97))</f>
        <v/>
      </c>
      <c r="G101" s="27" t="str">
        <f aca="false">IF(A101="","",COUNTIFS(vis_CGID,INPUT!J97,vis_ClientID,INPUT!K97,vis_Svc,D101,vis_Status,"Verified",vis_InWeek,"Yes"))</f>
        <v/>
      </c>
      <c r="H101" s="27" t="str">
        <f aca="false">IF(A101="","",SUMIFS(vis_Units,vis_CGID,INPUT!J97,vis_ClientID,INPUT!K97,vis_Svc,D101,vis_Status,"Verified",vis_InWeek,"Yes"))</f>
        <v/>
      </c>
      <c r="I101" s="45" t="str">
        <f aca="false">IF(A101="","",MAX(0,F101-H101))</f>
        <v/>
      </c>
      <c r="J101" s="41" t="str">
        <f aca="false">IF(A101="","",ROUND(I101*N(INPUT!L97),2))</f>
        <v/>
      </c>
      <c r="K101" s="40" t="str">
        <f aca="false">IF(A101="","",INPUT!H97)</f>
        <v/>
      </c>
      <c r="L101" s="40" t="str">
        <f aca="false">IF(A101="","",IF(G101=0,"No matching visits",IF(I101&gt;0,"Units exceed visits",IF(E101&lt;&gt;G101,"Day count differs","OK"))))</f>
        <v/>
      </c>
      <c r="M101" s="40" t="str">
        <f aca="false">IF(A101="","",IF(L101="OK","",IF(K101="Hold","On hold","Review before paying")))</f>
        <v/>
      </c>
    </row>
    <row r="102" customFormat="false" ht="15" hidden="false" customHeight="false" outlineLevel="0" collapsed="false">
      <c r="A102" s="21" t="str">
        <f aca="false">IF(INPUT!B98="","",INPUT!A98)</f>
        <v/>
      </c>
      <c r="B102" s="26" t="str">
        <f aca="false">IF(A102="","",INPUT!B98)</f>
        <v/>
      </c>
      <c r="C102" s="26" t="str">
        <f aca="false">IF(A102="","",INPUT!C98)</f>
        <v/>
      </c>
      <c r="D102" s="40" t="str">
        <f aca="false">IF(A102="","",INPUT!D98)</f>
        <v/>
      </c>
      <c r="E102" s="27" t="str">
        <f aca="false">IF(A102="","",N(INPUT!E98))</f>
        <v/>
      </c>
      <c r="F102" s="27" t="str">
        <f aca="false">IF(A102="","",N(INPUT!F98))</f>
        <v/>
      </c>
      <c r="G102" s="27" t="str">
        <f aca="false">IF(A102="","",COUNTIFS(vis_CGID,INPUT!J98,vis_ClientID,INPUT!K98,vis_Svc,D102,vis_Status,"Verified",vis_InWeek,"Yes"))</f>
        <v/>
      </c>
      <c r="H102" s="27" t="str">
        <f aca="false">IF(A102="","",SUMIFS(vis_Units,vis_CGID,INPUT!J98,vis_ClientID,INPUT!K98,vis_Svc,D102,vis_Status,"Verified",vis_InWeek,"Yes"))</f>
        <v/>
      </c>
      <c r="I102" s="45" t="str">
        <f aca="false">IF(A102="","",MAX(0,F102-H102))</f>
        <v/>
      </c>
      <c r="J102" s="41" t="str">
        <f aca="false">IF(A102="","",ROUND(I102*N(INPUT!L98),2))</f>
        <v/>
      </c>
      <c r="K102" s="40" t="str">
        <f aca="false">IF(A102="","",INPUT!H98)</f>
        <v/>
      </c>
      <c r="L102" s="40" t="str">
        <f aca="false">IF(A102="","",IF(G102=0,"No matching visits",IF(I102&gt;0,"Units exceed visits",IF(E102&lt;&gt;G102,"Day count differs","OK"))))</f>
        <v/>
      </c>
      <c r="M102" s="40" t="str">
        <f aca="false">IF(A102="","",IF(L102="OK","",IF(K102="Hold","On hold","Review before paying")))</f>
        <v/>
      </c>
    </row>
    <row r="103" customFormat="false" ht="15" hidden="false" customHeight="false" outlineLevel="0" collapsed="false">
      <c r="A103" s="21" t="str">
        <f aca="false">IF(INPUT!B99="","",INPUT!A99)</f>
        <v/>
      </c>
      <c r="B103" s="26" t="str">
        <f aca="false">IF(A103="","",INPUT!B99)</f>
        <v/>
      </c>
      <c r="C103" s="26" t="str">
        <f aca="false">IF(A103="","",INPUT!C99)</f>
        <v/>
      </c>
      <c r="D103" s="40" t="str">
        <f aca="false">IF(A103="","",INPUT!D99)</f>
        <v/>
      </c>
      <c r="E103" s="27" t="str">
        <f aca="false">IF(A103="","",N(INPUT!E99))</f>
        <v/>
      </c>
      <c r="F103" s="27" t="str">
        <f aca="false">IF(A103="","",N(INPUT!F99))</f>
        <v/>
      </c>
      <c r="G103" s="27" t="str">
        <f aca="false">IF(A103="","",COUNTIFS(vis_CGID,INPUT!J99,vis_ClientID,INPUT!K99,vis_Svc,D103,vis_Status,"Verified",vis_InWeek,"Yes"))</f>
        <v/>
      </c>
      <c r="H103" s="27" t="str">
        <f aca="false">IF(A103="","",SUMIFS(vis_Units,vis_CGID,INPUT!J99,vis_ClientID,INPUT!K99,vis_Svc,D103,vis_Status,"Verified",vis_InWeek,"Yes"))</f>
        <v/>
      </c>
      <c r="I103" s="45" t="str">
        <f aca="false">IF(A103="","",MAX(0,F103-H103))</f>
        <v/>
      </c>
      <c r="J103" s="41" t="str">
        <f aca="false">IF(A103="","",ROUND(I103*N(INPUT!L99),2))</f>
        <v/>
      </c>
      <c r="K103" s="40" t="str">
        <f aca="false">IF(A103="","",INPUT!H99)</f>
        <v/>
      </c>
      <c r="L103" s="40" t="str">
        <f aca="false">IF(A103="","",IF(G103=0,"No matching visits",IF(I103&gt;0,"Units exceed visits",IF(E103&lt;&gt;G103,"Day count differs","OK"))))</f>
        <v/>
      </c>
      <c r="M103" s="40" t="str">
        <f aca="false">IF(A103="","",IF(L103="OK","",IF(K103="Hold","On hold","Review before paying")))</f>
        <v/>
      </c>
    </row>
    <row r="104" customFormat="false" ht="15" hidden="false" customHeight="false" outlineLevel="0" collapsed="false">
      <c r="A104" s="21" t="str">
        <f aca="false">IF(INPUT!B100="","",INPUT!A100)</f>
        <v/>
      </c>
      <c r="B104" s="26" t="str">
        <f aca="false">IF(A104="","",INPUT!B100)</f>
        <v/>
      </c>
      <c r="C104" s="26" t="str">
        <f aca="false">IF(A104="","",INPUT!C100)</f>
        <v/>
      </c>
      <c r="D104" s="40" t="str">
        <f aca="false">IF(A104="","",INPUT!D100)</f>
        <v/>
      </c>
      <c r="E104" s="27" t="str">
        <f aca="false">IF(A104="","",N(INPUT!E100))</f>
        <v/>
      </c>
      <c r="F104" s="27" t="str">
        <f aca="false">IF(A104="","",N(INPUT!F100))</f>
        <v/>
      </c>
      <c r="G104" s="27" t="str">
        <f aca="false">IF(A104="","",COUNTIFS(vis_CGID,INPUT!J100,vis_ClientID,INPUT!K100,vis_Svc,D104,vis_Status,"Verified",vis_InWeek,"Yes"))</f>
        <v/>
      </c>
      <c r="H104" s="27" t="str">
        <f aca="false">IF(A104="","",SUMIFS(vis_Units,vis_CGID,INPUT!J100,vis_ClientID,INPUT!K100,vis_Svc,D104,vis_Status,"Verified",vis_InWeek,"Yes"))</f>
        <v/>
      </c>
      <c r="I104" s="45" t="str">
        <f aca="false">IF(A104="","",MAX(0,F104-H104))</f>
        <v/>
      </c>
      <c r="J104" s="41" t="str">
        <f aca="false">IF(A104="","",ROUND(I104*N(INPUT!L100),2))</f>
        <v/>
      </c>
      <c r="K104" s="40" t="str">
        <f aca="false">IF(A104="","",INPUT!H100)</f>
        <v/>
      </c>
      <c r="L104" s="40" t="str">
        <f aca="false">IF(A104="","",IF(G104=0,"No matching visits",IF(I104&gt;0,"Units exceed visits",IF(E104&lt;&gt;G104,"Day count differs","OK"))))</f>
        <v/>
      </c>
      <c r="M104" s="40" t="str">
        <f aca="false">IF(A104="","",IF(L104="OK","",IF(K104="Hold","On hold","Review before paying")))</f>
        <v/>
      </c>
    </row>
    <row r="105" customFormat="false" ht="15" hidden="false" customHeight="false" outlineLevel="0" collapsed="false">
      <c r="A105" s="21" t="str">
        <f aca="false">IF(INPUT!B101="","",INPUT!A101)</f>
        <v/>
      </c>
      <c r="B105" s="26" t="str">
        <f aca="false">IF(A105="","",INPUT!B101)</f>
        <v/>
      </c>
      <c r="C105" s="26" t="str">
        <f aca="false">IF(A105="","",INPUT!C101)</f>
        <v/>
      </c>
      <c r="D105" s="40" t="str">
        <f aca="false">IF(A105="","",INPUT!D101)</f>
        <v/>
      </c>
      <c r="E105" s="27" t="str">
        <f aca="false">IF(A105="","",N(INPUT!E101))</f>
        <v/>
      </c>
      <c r="F105" s="27" t="str">
        <f aca="false">IF(A105="","",N(INPUT!F101))</f>
        <v/>
      </c>
      <c r="G105" s="27" t="str">
        <f aca="false">IF(A105="","",COUNTIFS(vis_CGID,INPUT!J101,vis_ClientID,INPUT!K101,vis_Svc,D105,vis_Status,"Verified",vis_InWeek,"Yes"))</f>
        <v/>
      </c>
      <c r="H105" s="27" t="str">
        <f aca="false">IF(A105="","",SUMIFS(vis_Units,vis_CGID,INPUT!J101,vis_ClientID,INPUT!K101,vis_Svc,D105,vis_Status,"Verified",vis_InWeek,"Yes"))</f>
        <v/>
      </c>
      <c r="I105" s="45" t="str">
        <f aca="false">IF(A105="","",MAX(0,F105-H105))</f>
        <v/>
      </c>
      <c r="J105" s="41" t="str">
        <f aca="false">IF(A105="","",ROUND(I105*N(INPUT!L101),2))</f>
        <v/>
      </c>
      <c r="K105" s="40" t="str">
        <f aca="false">IF(A105="","",INPUT!H101)</f>
        <v/>
      </c>
      <c r="L105" s="40" t="str">
        <f aca="false">IF(A105="","",IF(G105=0,"No matching visits",IF(I105&gt;0,"Units exceed visits",IF(E105&lt;&gt;G105,"Day count differs","OK"))))</f>
        <v/>
      </c>
      <c r="M105" s="40" t="str">
        <f aca="false">IF(A105="","",IF(L105="OK","",IF(K105="Hold","On hold","Review before paying")))</f>
        <v/>
      </c>
    </row>
    <row r="106" customFormat="false" ht="15" hidden="false" customHeight="false" outlineLevel="0" collapsed="false">
      <c r="A106" s="21" t="str">
        <f aca="false">IF(INPUT!B102="","",INPUT!A102)</f>
        <v/>
      </c>
      <c r="B106" s="26" t="str">
        <f aca="false">IF(A106="","",INPUT!B102)</f>
        <v/>
      </c>
      <c r="C106" s="26" t="str">
        <f aca="false">IF(A106="","",INPUT!C102)</f>
        <v/>
      </c>
      <c r="D106" s="40" t="str">
        <f aca="false">IF(A106="","",INPUT!D102)</f>
        <v/>
      </c>
      <c r="E106" s="27" t="str">
        <f aca="false">IF(A106="","",N(INPUT!E102))</f>
        <v/>
      </c>
      <c r="F106" s="27" t="str">
        <f aca="false">IF(A106="","",N(INPUT!F102))</f>
        <v/>
      </c>
      <c r="G106" s="27" t="str">
        <f aca="false">IF(A106="","",COUNTIFS(vis_CGID,INPUT!J102,vis_ClientID,INPUT!K102,vis_Svc,D106,vis_Status,"Verified",vis_InWeek,"Yes"))</f>
        <v/>
      </c>
      <c r="H106" s="27" t="str">
        <f aca="false">IF(A106="","",SUMIFS(vis_Units,vis_CGID,INPUT!J102,vis_ClientID,INPUT!K102,vis_Svc,D106,vis_Status,"Verified",vis_InWeek,"Yes"))</f>
        <v/>
      </c>
      <c r="I106" s="45" t="str">
        <f aca="false">IF(A106="","",MAX(0,F106-H106))</f>
        <v/>
      </c>
      <c r="J106" s="41" t="str">
        <f aca="false">IF(A106="","",ROUND(I106*N(INPUT!L102),2))</f>
        <v/>
      </c>
      <c r="K106" s="40" t="str">
        <f aca="false">IF(A106="","",INPUT!H102)</f>
        <v/>
      </c>
      <c r="L106" s="40" t="str">
        <f aca="false">IF(A106="","",IF(G106=0,"No matching visits",IF(I106&gt;0,"Units exceed visits",IF(E106&lt;&gt;G106,"Day count differs","OK"))))</f>
        <v/>
      </c>
      <c r="M106" s="40" t="str">
        <f aca="false">IF(A106="","",IF(L106="OK","",IF(K106="Hold","On hold","Review before paying")))</f>
        <v/>
      </c>
    </row>
    <row r="107" customFormat="false" ht="15" hidden="false" customHeight="false" outlineLevel="0" collapsed="false">
      <c r="A107" s="21" t="str">
        <f aca="false">IF(INPUT!B103="","",INPUT!A103)</f>
        <v/>
      </c>
      <c r="B107" s="26" t="str">
        <f aca="false">IF(A107="","",INPUT!B103)</f>
        <v/>
      </c>
      <c r="C107" s="26" t="str">
        <f aca="false">IF(A107="","",INPUT!C103)</f>
        <v/>
      </c>
      <c r="D107" s="40" t="str">
        <f aca="false">IF(A107="","",INPUT!D103)</f>
        <v/>
      </c>
      <c r="E107" s="27" t="str">
        <f aca="false">IF(A107="","",N(INPUT!E103))</f>
        <v/>
      </c>
      <c r="F107" s="27" t="str">
        <f aca="false">IF(A107="","",N(INPUT!F103))</f>
        <v/>
      </c>
      <c r="G107" s="27" t="str">
        <f aca="false">IF(A107="","",COUNTIFS(vis_CGID,INPUT!J103,vis_ClientID,INPUT!K103,vis_Svc,D107,vis_Status,"Verified",vis_InWeek,"Yes"))</f>
        <v/>
      </c>
      <c r="H107" s="27" t="str">
        <f aca="false">IF(A107="","",SUMIFS(vis_Units,vis_CGID,INPUT!J103,vis_ClientID,INPUT!K103,vis_Svc,D107,vis_Status,"Verified",vis_InWeek,"Yes"))</f>
        <v/>
      </c>
      <c r="I107" s="45" t="str">
        <f aca="false">IF(A107="","",MAX(0,F107-H107))</f>
        <v/>
      </c>
      <c r="J107" s="41" t="str">
        <f aca="false">IF(A107="","",ROUND(I107*N(INPUT!L103),2))</f>
        <v/>
      </c>
      <c r="K107" s="40" t="str">
        <f aca="false">IF(A107="","",INPUT!H103)</f>
        <v/>
      </c>
      <c r="L107" s="40" t="str">
        <f aca="false">IF(A107="","",IF(G107=0,"No matching visits",IF(I107&gt;0,"Units exceed visits",IF(E107&lt;&gt;G107,"Day count differs","OK"))))</f>
        <v/>
      </c>
      <c r="M107" s="40" t="str">
        <f aca="false">IF(A107="","",IF(L107="OK","",IF(K107="Hold","On hold","Review before paying")))</f>
        <v/>
      </c>
    </row>
    <row r="108" customFormat="false" ht="15" hidden="false" customHeight="false" outlineLevel="0" collapsed="false">
      <c r="A108" s="21" t="str">
        <f aca="false">IF(INPUT!B104="","",INPUT!A104)</f>
        <v/>
      </c>
      <c r="B108" s="26" t="str">
        <f aca="false">IF(A108="","",INPUT!B104)</f>
        <v/>
      </c>
      <c r="C108" s="26" t="str">
        <f aca="false">IF(A108="","",INPUT!C104)</f>
        <v/>
      </c>
      <c r="D108" s="40" t="str">
        <f aca="false">IF(A108="","",INPUT!D104)</f>
        <v/>
      </c>
      <c r="E108" s="27" t="str">
        <f aca="false">IF(A108="","",N(INPUT!E104))</f>
        <v/>
      </c>
      <c r="F108" s="27" t="str">
        <f aca="false">IF(A108="","",N(INPUT!F104))</f>
        <v/>
      </c>
      <c r="G108" s="27" t="str">
        <f aca="false">IF(A108="","",COUNTIFS(vis_CGID,INPUT!J104,vis_ClientID,INPUT!K104,vis_Svc,D108,vis_Status,"Verified",vis_InWeek,"Yes"))</f>
        <v/>
      </c>
      <c r="H108" s="27" t="str">
        <f aca="false">IF(A108="","",SUMIFS(vis_Units,vis_CGID,INPUT!J104,vis_ClientID,INPUT!K104,vis_Svc,D108,vis_Status,"Verified",vis_InWeek,"Yes"))</f>
        <v/>
      </c>
      <c r="I108" s="45" t="str">
        <f aca="false">IF(A108="","",MAX(0,F108-H108))</f>
        <v/>
      </c>
      <c r="J108" s="41" t="str">
        <f aca="false">IF(A108="","",ROUND(I108*N(INPUT!L104),2))</f>
        <v/>
      </c>
      <c r="K108" s="40" t="str">
        <f aca="false">IF(A108="","",INPUT!H104)</f>
        <v/>
      </c>
      <c r="L108" s="40" t="str">
        <f aca="false">IF(A108="","",IF(G108=0,"No matching visits",IF(I108&gt;0,"Units exceed visits",IF(E108&lt;&gt;G108,"Day count differs","OK"))))</f>
        <v/>
      </c>
      <c r="M108" s="40" t="str">
        <f aca="false">IF(A108="","",IF(L108="OK","",IF(K108="Hold","On hold","Review before paying")))</f>
        <v/>
      </c>
    </row>
    <row r="109" customFormat="false" ht="15" hidden="false" customHeight="false" outlineLevel="0" collapsed="false">
      <c r="A109" s="21" t="str">
        <f aca="false">IF(INPUT!B105="","",INPUT!A105)</f>
        <v/>
      </c>
      <c r="B109" s="26" t="str">
        <f aca="false">IF(A109="","",INPUT!B105)</f>
        <v/>
      </c>
      <c r="C109" s="26" t="str">
        <f aca="false">IF(A109="","",INPUT!C105)</f>
        <v/>
      </c>
      <c r="D109" s="40" t="str">
        <f aca="false">IF(A109="","",INPUT!D105)</f>
        <v/>
      </c>
      <c r="E109" s="27" t="str">
        <f aca="false">IF(A109="","",N(INPUT!E105))</f>
        <v/>
      </c>
      <c r="F109" s="27" t="str">
        <f aca="false">IF(A109="","",N(INPUT!F105))</f>
        <v/>
      </c>
      <c r="G109" s="27" t="str">
        <f aca="false">IF(A109="","",COUNTIFS(vis_CGID,INPUT!J105,vis_ClientID,INPUT!K105,vis_Svc,D109,vis_Status,"Verified",vis_InWeek,"Yes"))</f>
        <v/>
      </c>
      <c r="H109" s="27" t="str">
        <f aca="false">IF(A109="","",SUMIFS(vis_Units,vis_CGID,INPUT!J105,vis_ClientID,INPUT!K105,vis_Svc,D109,vis_Status,"Verified",vis_InWeek,"Yes"))</f>
        <v/>
      </c>
      <c r="I109" s="45" t="str">
        <f aca="false">IF(A109="","",MAX(0,F109-H109))</f>
        <v/>
      </c>
      <c r="J109" s="41" t="str">
        <f aca="false">IF(A109="","",ROUND(I109*N(INPUT!L105),2))</f>
        <v/>
      </c>
      <c r="K109" s="40" t="str">
        <f aca="false">IF(A109="","",INPUT!H105)</f>
        <v/>
      </c>
      <c r="L109" s="40" t="str">
        <f aca="false">IF(A109="","",IF(G109=0,"No matching visits",IF(I109&gt;0,"Units exceed visits",IF(E109&lt;&gt;G109,"Day count differs","OK"))))</f>
        <v/>
      </c>
      <c r="M109" s="40" t="str">
        <f aca="false">IF(A109="","",IF(L109="OK","",IF(K109="Hold","On hold","Review before paying")))</f>
        <v/>
      </c>
    </row>
    <row r="110" customFormat="false" ht="15" hidden="false" customHeight="false" outlineLevel="0" collapsed="false">
      <c r="A110" s="21" t="str">
        <f aca="false">IF(INPUT!B106="","",INPUT!A106)</f>
        <v/>
      </c>
      <c r="B110" s="26" t="str">
        <f aca="false">IF(A110="","",INPUT!B106)</f>
        <v/>
      </c>
      <c r="C110" s="26" t="str">
        <f aca="false">IF(A110="","",INPUT!C106)</f>
        <v/>
      </c>
      <c r="D110" s="40" t="str">
        <f aca="false">IF(A110="","",INPUT!D106)</f>
        <v/>
      </c>
      <c r="E110" s="27" t="str">
        <f aca="false">IF(A110="","",N(INPUT!E106))</f>
        <v/>
      </c>
      <c r="F110" s="27" t="str">
        <f aca="false">IF(A110="","",N(INPUT!F106))</f>
        <v/>
      </c>
      <c r="G110" s="27" t="str">
        <f aca="false">IF(A110="","",COUNTIFS(vis_CGID,INPUT!J106,vis_ClientID,INPUT!K106,vis_Svc,D110,vis_Status,"Verified",vis_InWeek,"Yes"))</f>
        <v/>
      </c>
      <c r="H110" s="27" t="str">
        <f aca="false">IF(A110="","",SUMIFS(vis_Units,vis_CGID,INPUT!J106,vis_ClientID,INPUT!K106,vis_Svc,D110,vis_Status,"Verified",vis_InWeek,"Yes"))</f>
        <v/>
      </c>
      <c r="I110" s="45" t="str">
        <f aca="false">IF(A110="","",MAX(0,F110-H110))</f>
        <v/>
      </c>
      <c r="J110" s="41" t="str">
        <f aca="false">IF(A110="","",ROUND(I110*N(INPUT!L106),2))</f>
        <v/>
      </c>
      <c r="K110" s="40" t="str">
        <f aca="false">IF(A110="","",INPUT!H106)</f>
        <v/>
      </c>
      <c r="L110" s="40" t="str">
        <f aca="false">IF(A110="","",IF(G110=0,"No matching visits",IF(I110&gt;0,"Units exceed visits",IF(E110&lt;&gt;G110,"Day count differs","OK"))))</f>
        <v/>
      </c>
      <c r="M110" s="40" t="str">
        <f aca="false">IF(A110="","",IF(L110="OK","",IF(K110="Hold","On hold","Review before paying")))</f>
        <v/>
      </c>
    </row>
    <row r="111" customFormat="false" ht="15" hidden="false" customHeight="false" outlineLevel="0" collapsed="false">
      <c r="A111" s="21" t="str">
        <f aca="false">IF(INPUT!B107="","",INPUT!A107)</f>
        <v/>
      </c>
      <c r="B111" s="26" t="str">
        <f aca="false">IF(A111="","",INPUT!B107)</f>
        <v/>
      </c>
      <c r="C111" s="26" t="str">
        <f aca="false">IF(A111="","",INPUT!C107)</f>
        <v/>
      </c>
      <c r="D111" s="40" t="str">
        <f aca="false">IF(A111="","",INPUT!D107)</f>
        <v/>
      </c>
      <c r="E111" s="27" t="str">
        <f aca="false">IF(A111="","",N(INPUT!E107))</f>
        <v/>
      </c>
      <c r="F111" s="27" t="str">
        <f aca="false">IF(A111="","",N(INPUT!F107))</f>
        <v/>
      </c>
      <c r="G111" s="27" t="str">
        <f aca="false">IF(A111="","",COUNTIFS(vis_CGID,INPUT!J107,vis_ClientID,INPUT!K107,vis_Svc,D111,vis_Status,"Verified",vis_InWeek,"Yes"))</f>
        <v/>
      </c>
      <c r="H111" s="27" t="str">
        <f aca="false">IF(A111="","",SUMIFS(vis_Units,vis_CGID,INPUT!J107,vis_ClientID,INPUT!K107,vis_Svc,D111,vis_Status,"Verified",vis_InWeek,"Yes"))</f>
        <v/>
      </c>
      <c r="I111" s="45" t="str">
        <f aca="false">IF(A111="","",MAX(0,F111-H111))</f>
        <v/>
      </c>
      <c r="J111" s="41" t="str">
        <f aca="false">IF(A111="","",ROUND(I111*N(INPUT!L107),2))</f>
        <v/>
      </c>
      <c r="K111" s="40" t="str">
        <f aca="false">IF(A111="","",INPUT!H107)</f>
        <v/>
      </c>
      <c r="L111" s="40" t="str">
        <f aca="false">IF(A111="","",IF(G111=0,"No matching visits",IF(I111&gt;0,"Units exceed visits",IF(E111&lt;&gt;G111,"Day count differs","OK"))))</f>
        <v/>
      </c>
      <c r="M111" s="40" t="str">
        <f aca="false">IF(A111="","",IF(L111="OK","",IF(K111="Hold","On hold","Review before paying")))</f>
        <v/>
      </c>
    </row>
    <row r="112" customFormat="false" ht="15" hidden="false" customHeight="false" outlineLevel="0" collapsed="false">
      <c r="A112" s="21" t="str">
        <f aca="false">IF(INPUT!B108="","",INPUT!A108)</f>
        <v/>
      </c>
      <c r="B112" s="26" t="str">
        <f aca="false">IF(A112="","",INPUT!B108)</f>
        <v/>
      </c>
      <c r="C112" s="26" t="str">
        <f aca="false">IF(A112="","",INPUT!C108)</f>
        <v/>
      </c>
      <c r="D112" s="40" t="str">
        <f aca="false">IF(A112="","",INPUT!D108)</f>
        <v/>
      </c>
      <c r="E112" s="27" t="str">
        <f aca="false">IF(A112="","",N(INPUT!E108))</f>
        <v/>
      </c>
      <c r="F112" s="27" t="str">
        <f aca="false">IF(A112="","",N(INPUT!F108))</f>
        <v/>
      </c>
      <c r="G112" s="27" t="str">
        <f aca="false">IF(A112="","",COUNTIFS(vis_CGID,INPUT!J108,vis_ClientID,INPUT!K108,vis_Svc,D112,vis_Status,"Verified",vis_InWeek,"Yes"))</f>
        <v/>
      </c>
      <c r="H112" s="27" t="str">
        <f aca="false">IF(A112="","",SUMIFS(vis_Units,vis_CGID,INPUT!J108,vis_ClientID,INPUT!K108,vis_Svc,D112,vis_Status,"Verified",vis_InWeek,"Yes"))</f>
        <v/>
      </c>
      <c r="I112" s="45" t="str">
        <f aca="false">IF(A112="","",MAX(0,F112-H112))</f>
        <v/>
      </c>
      <c r="J112" s="41" t="str">
        <f aca="false">IF(A112="","",ROUND(I112*N(INPUT!L108),2))</f>
        <v/>
      </c>
      <c r="K112" s="40" t="str">
        <f aca="false">IF(A112="","",INPUT!H108)</f>
        <v/>
      </c>
      <c r="L112" s="40" t="str">
        <f aca="false">IF(A112="","",IF(G112=0,"No matching visits",IF(I112&gt;0,"Units exceed visits",IF(E112&lt;&gt;G112,"Day count differs","OK"))))</f>
        <v/>
      </c>
      <c r="M112" s="40" t="str">
        <f aca="false">IF(A112="","",IF(L112="OK","",IF(K112="Hold","On hold","Review before paying")))</f>
        <v/>
      </c>
    </row>
    <row r="113" customFormat="false" ht="15" hidden="false" customHeight="false" outlineLevel="0" collapsed="false">
      <c r="A113" s="21" t="str">
        <f aca="false">IF(INPUT!B109="","",INPUT!A109)</f>
        <v/>
      </c>
      <c r="B113" s="26" t="str">
        <f aca="false">IF(A113="","",INPUT!B109)</f>
        <v/>
      </c>
      <c r="C113" s="26" t="str">
        <f aca="false">IF(A113="","",INPUT!C109)</f>
        <v/>
      </c>
      <c r="D113" s="40" t="str">
        <f aca="false">IF(A113="","",INPUT!D109)</f>
        <v/>
      </c>
      <c r="E113" s="27" t="str">
        <f aca="false">IF(A113="","",N(INPUT!E109))</f>
        <v/>
      </c>
      <c r="F113" s="27" t="str">
        <f aca="false">IF(A113="","",N(INPUT!F109))</f>
        <v/>
      </c>
      <c r="G113" s="27" t="str">
        <f aca="false">IF(A113="","",COUNTIFS(vis_CGID,INPUT!J109,vis_ClientID,INPUT!K109,vis_Svc,D113,vis_Status,"Verified",vis_InWeek,"Yes"))</f>
        <v/>
      </c>
      <c r="H113" s="27" t="str">
        <f aca="false">IF(A113="","",SUMIFS(vis_Units,vis_CGID,INPUT!J109,vis_ClientID,INPUT!K109,vis_Svc,D113,vis_Status,"Verified",vis_InWeek,"Yes"))</f>
        <v/>
      </c>
      <c r="I113" s="45" t="str">
        <f aca="false">IF(A113="","",MAX(0,F113-H113))</f>
        <v/>
      </c>
      <c r="J113" s="41" t="str">
        <f aca="false">IF(A113="","",ROUND(I113*N(INPUT!L109),2))</f>
        <v/>
      </c>
      <c r="K113" s="40" t="str">
        <f aca="false">IF(A113="","",INPUT!H109)</f>
        <v/>
      </c>
      <c r="L113" s="40" t="str">
        <f aca="false">IF(A113="","",IF(G113=0,"No matching visits",IF(I113&gt;0,"Units exceed visits",IF(E113&lt;&gt;G113,"Day count differs","OK"))))</f>
        <v/>
      </c>
      <c r="M113" s="40" t="str">
        <f aca="false">IF(A113="","",IF(L113="OK","",IF(K113="Hold","On hold","Review before paying")))</f>
        <v/>
      </c>
    </row>
    <row r="114" customFormat="false" ht="15" hidden="false" customHeight="false" outlineLevel="0" collapsed="false">
      <c r="A114" s="21" t="str">
        <f aca="false">IF(INPUT!B110="","",INPUT!A110)</f>
        <v/>
      </c>
      <c r="B114" s="26" t="str">
        <f aca="false">IF(A114="","",INPUT!B110)</f>
        <v/>
      </c>
      <c r="C114" s="26" t="str">
        <f aca="false">IF(A114="","",INPUT!C110)</f>
        <v/>
      </c>
      <c r="D114" s="40" t="str">
        <f aca="false">IF(A114="","",INPUT!D110)</f>
        <v/>
      </c>
      <c r="E114" s="27" t="str">
        <f aca="false">IF(A114="","",N(INPUT!E110))</f>
        <v/>
      </c>
      <c r="F114" s="27" t="str">
        <f aca="false">IF(A114="","",N(INPUT!F110))</f>
        <v/>
      </c>
      <c r="G114" s="27" t="str">
        <f aca="false">IF(A114="","",COUNTIFS(vis_CGID,INPUT!J110,vis_ClientID,INPUT!K110,vis_Svc,D114,vis_Status,"Verified",vis_InWeek,"Yes"))</f>
        <v/>
      </c>
      <c r="H114" s="27" t="str">
        <f aca="false">IF(A114="","",SUMIFS(vis_Units,vis_CGID,INPUT!J110,vis_ClientID,INPUT!K110,vis_Svc,D114,vis_Status,"Verified",vis_InWeek,"Yes"))</f>
        <v/>
      </c>
      <c r="I114" s="45" t="str">
        <f aca="false">IF(A114="","",MAX(0,F114-H114))</f>
        <v/>
      </c>
      <c r="J114" s="41" t="str">
        <f aca="false">IF(A114="","",ROUND(I114*N(INPUT!L110),2))</f>
        <v/>
      </c>
      <c r="K114" s="40" t="str">
        <f aca="false">IF(A114="","",INPUT!H110)</f>
        <v/>
      </c>
      <c r="L114" s="40" t="str">
        <f aca="false">IF(A114="","",IF(G114=0,"No matching visits",IF(I114&gt;0,"Units exceed visits",IF(E114&lt;&gt;G114,"Day count differs","OK"))))</f>
        <v/>
      </c>
      <c r="M114" s="40" t="str">
        <f aca="false">IF(A114="","",IF(L114="OK","",IF(K114="Hold","On hold","Review before paying")))</f>
        <v/>
      </c>
    </row>
    <row r="115" customFormat="false" ht="15" hidden="false" customHeight="false" outlineLevel="0" collapsed="false">
      <c r="A115" s="21" t="str">
        <f aca="false">IF(INPUT!B111="","",INPUT!A111)</f>
        <v/>
      </c>
      <c r="B115" s="26" t="str">
        <f aca="false">IF(A115="","",INPUT!B111)</f>
        <v/>
      </c>
      <c r="C115" s="26" t="str">
        <f aca="false">IF(A115="","",INPUT!C111)</f>
        <v/>
      </c>
      <c r="D115" s="40" t="str">
        <f aca="false">IF(A115="","",INPUT!D111)</f>
        <v/>
      </c>
      <c r="E115" s="27" t="str">
        <f aca="false">IF(A115="","",N(INPUT!E111))</f>
        <v/>
      </c>
      <c r="F115" s="27" t="str">
        <f aca="false">IF(A115="","",N(INPUT!F111))</f>
        <v/>
      </c>
      <c r="G115" s="27" t="str">
        <f aca="false">IF(A115="","",COUNTIFS(vis_CGID,INPUT!J111,vis_ClientID,INPUT!K111,vis_Svc,D115,vis_Status,"Verified",vis_InWeek,"Yes"))</f>
        <v/>
      </c>
      <c r="H115" s="27" t="str">
        <f aca="false">IF(A115="","",SUMIFS(vis_Units,vis_CGID,INPUT!J111,vis_ClientID,INPUT!K111,vis_Svc,D115,vis_Status,"Verified",vis_InWeek,"Yes"))</f>
        <v/>
      </c>
      <c r="I115" s="45" t="str">
        <f aca="false">IF(A115="","",MAX(0,F115-H115))</f>
        <v/>
      </c>
      <c r="J115" s="41" t="str">
        <f aca="false">IF(A115="","",ROUND(I115*N(INPUT!L111),2))</f>
        <v/>
      </c>
      <c r="K115" s="40" t="str">
        <f aca="false">IF(A115="","",INPUT!H111)</f>
        <v/>
      </c>
      <c r="L115" s="40" t="str">
        <f aca="false">IF(A115="","",IF(G115=0,"No matching visits",IF(I115&gt;0,"Units exceed visits",IF(E115&lt;&gt;G115,"Day count differs","OK"))))</f>
        <v/>
      </c>
      <c r="M115" s="40" t="str">
        <f aca="false">IF(A115="","",IF(L115="OK","",IF(K115="Hold","On hold","Review before paying")))</f>
        <v/>
      </c>
    </row>
    <row r="116" customFormat="false" ht="15" hidden="false" customHeight="false" outlineLevel="0" collapsed="false">
      <c r="A116" s="21" t="str">
        <f aca="false">IF(INPUT!B112="","",INPUT!A112)</f>
        <v/>
      </c>
      <c r="B116" s="26" t="str">
        <f aca="false">IF(A116="","",INPUT!B112)</f>
        <v/>
      </c>
      <c r="C116" s="26" t="str">
        <f aca="false">IF(A116="","",INPUT!C112)</f>
        <v/>
      </c>
      <c r="D116" s="40" t="str">
        <f aca="false">IF(A116="","",INPUT!D112)</f>
        <v/>
      </c>
      <c r="E116" s="27" t="str">
        <f aca="false">IF(A116="","",N(INPUT!E112))</f>
        <v/>
      </c>
      <c r="F116" s="27" t="str">
        <f aca="false">IF(A116="","",N(INPUT!F112))</f>
        <v/>
      </c>
      <c r="G116" s="27" t="str">
        <f aca="false">IF(A116="","",COUNTIFS(vis_CGID,INPUT!J112,vis_ClientID,INPUT!K112,vis_Svc,D116,vis_Status,"Verified",vis_InWeek,"Yes"))</f>
        <v/>
      </c>
      <c r="H116" s="27" t="str">
        <f aca="false">IF(A116="","",SUMIFS(vis_Units,vis_CGID,INPUT!J112,vis_ClientID,INPUT!K112,vis_Svc,D116,vis_Status,"Verified",vis_InWeek,"Yes"))</f>
        <v/>
      </c>
      <c r="I116" s="45" t="str">
        <f aca="false">IF(A116="","",MAX(0,F116-H116))</f>
        <v/>
      </c>
      <c r="J116" s="41" t="str">
        <f aca="false">IF(A116="","",ROUND(I116*N(INPUT!L112),2))</f>
        <v/>
      </c>
      <c r="K116" s="40" t="str">
        <f aca="false">IF(A116="","",INPUT!H112)</f>
        <v/>
      </c>
      <c r="L116" s="40" t="str">
        <f aca="false">IF(A116="","",IF(G116=0,"No matching visits",IF(I116&gt;0,"Units exceed visits",IF(E116&lt;&gt;G116,"Day count differs","OK"))))</f>
        <v/>
      </c>
      <c r="M116" s="40" t="str">
        <f aca="false">IF(A116="","",IF(L116="OK","",IF(K116="Hold","On hold","Review before paying")))</f>
        <v/>
      </c>
    </row>
    <row r="117" customFormat="false" ht="15" hidden="false" customHeight="false" outlineLevel="0" collapsed="false">
      <c r="A117" s="21" t="str">
        <f aca="false">IF(INPUT!B113="","",INPUT!A113)</f>
        <v/>
      </c>
      <c r="B117" s="26" t="str">
        <f aca="false">IF(A117="","",INPUT!B113)</f>
        <v/>
      </c>
      <c r="C117" s="26" t="str">
        <f aca="false">IF(A117="","",INPUT!C113)</f>
        <v/>
      </c>
      <c r="D117" s="40" t="str">
        <f aca="false">IF(A117="","",INPUT!D113)</f>
        <v/>
      </c>
      <c r="E117" s="27" t="str">
        <f aca="false">IF(A117="","",N(INPUT!E113))</f>
        <v/>
      </c>
      <c r="F117" s="27" t="str">
        <f aca="false">IF(A117="","",N(INPUT!F113))</f>
        <v/>
      </c>
      <c r="G117" s="27" t="str">
        <f aca="false">IF(A117="","",COUNTIFS(vis_CGID,INPUT!J113,vis_ClientID,INPUT!K113,vis_Svc,D117,vis_Status,"Verified",vis_InWeek,"Yes"))</f>
        <v/>
      </c>
      <c r="H117" s="27" t="str">
        <f aca="false">IF(A117="","",SUMIFS(vis_Units,vis_CGID,INPUT!J113,vis_ClientID,INPUT!K113,vis_Svc,D117,vis_Status,"Verified",vis_InWeek,"Yes"))</f>
        <v/>
      </c>
      <c r="I117" s="45" t="str">
        <f aca="false">IF(A117="","",MAX(0,F117-H117))</f>
        <v/>
      </c>
      <c r="J117" s="41" t="str">
        <f aca="false">IF(A117="","",ROUND(I117*N(INPUT!L113),2))</f>
        <v/>
      </c>
      <c r="K117" s="40" t="str">
        <f aca="false">IF(A117="","",INPUT!H113)</f>
        <v/>
      </c>
      <c r="L117" s="40" t="str">
        <f aca="false">IF(A117="","",IF(G117=0,"No matching visits",IF(I117&gt;0,"Units exceed visits",IF(E117&lt;&gt;G117,"Day count differs","OK"))))</f>
        <v/>
      </c>
      <c r="M117" s="40" t="str">
        <f aca="false">IF(A117="","",IF(L117="OK","",IF(K117="Hold","On hold","Review before paying")))</f>
        <v/>
      </c>
    </row>
    <row r="118" customFormat="false" ht="15" hidden="false" customHeight="false" outlineLevel="0" collapsed="false">
      <c r="A118" s="21" t="str">
        <f aca="false">IF(INPUT!B114="","",INPUT!A114)</f>
        <v/>
      </c>
      <c r="B118" s="26" t="str">
        <f aca="false">IF(A118="","",INPUT!B114)</f>
        <v/>
      </c>
      <c r="C118" s="26" t="str">
        <f aca="false">IF(A118="","",INPUT!C114)</f>
        <v/>
      </c>
      <c r="D118" s="40" t="str">
        <f aca="false">IF(A118="","",INPUT!D114)</f>
        <v/>
      </c>
      <c r="E118" s="27" t="str">
        <f aca="false">IF(A118="","",N(INPUT!E114))</f>
        <v/>
      </c>
      <c r="F118" s="27" t="str">
        <f aca="false">IF(A118="","",N(INPUT!F114))</f>
        <v/>
      </c>
      <c r="G118" s="27" t="str">
        <f aca="false">IF(A118="","",COUNTIFS(vis_CGID,INPUT!J114,vis_ClientID,INPUT!K114,vis_Svc,D118,vis_Status,"Verified",vis_InWeek,"Yes"))</f>
        <v/>
      </c>
      <c r="H118" s="27" t="str">
        <f aca="false">IF(A118="","",SUMIFS(vis_Units,vis_CGID,INPUT!J114,vis_ClientID,INPUT!K114,vis_Svc,D118,vis_Status,"Verified",vis_InWeek,"Yes"))</f>
        <v/>
      </c>
      <c r="I118" s="45" t="str">
        <f aca="false">IF(A118="","",MAX(0,F118-H118))</f>
        <v/>
      </c>
      <c r="J118" s="41" t="str">
        <f aca="false">IF(A118="","",ROUND(I118*N(INPUT!L114),2))</f>
        <v/>
      </c>
      <c r="K118" s="40" t="str">
        <f aca="false">IF(A118="","",INPUT!H114)</f>
        <v/>
      </c>
      <c r="L118" s="40" t="str">
        <f aca="false">IF(A118="","",IF(G118=0,"No matching visits",IF(I118&gt;0,"Units exceed visits",IF(E118&lt;&gt;G118,"Day count differs","OK"))))</f>
        <v/>
      </c>
      <c r="M118" s="40" t="str">
        <f aca="false">IF(A118="","",IF(L118="OK","",IF(K118="Hold","On hold","Review before paying")))</f>
        <v/>
      </c>
    </row>
    <row r="119" customFormat="false" ht="15" hidden="false" customHeight="false" outlineLevel="0" collapsed="false">
      <c r="A119" s="21" t="str">
        <f aca="false">IF(INPUT!B115="","",INPUT!A115)</f>
        <v/>
      </c>
      <c r="B119" s="26" t="str">
        <f aca="false">IF(A119="","",INPUT!B115)</f>
        <v/>
      </c>
      <c r="C119" s="26" t="str">
        <f aca="false">IF(A119="","",INPUT!C115)</f>
        <v/>
      </c>
      <c r="D119" s="40" t="str">
        <f aca="false">IF(A119="","",INPUT!D115)</f>
        <v/>
      </c>
      <c r="E119" s="27" t="str">
        <f aca="false">IF(A119="","",N(INPUT!E115))</f>
        <v/>
      </c>
      <c r="F119" s="27" t="str">
        <f aca="false">IF(A119="","",N(INPUT!F115))</f>
        <v/>
      </c>
      <c r="G119" s="27" t="str">
        <f aca="false">IF(A119="","",COUNTIFS(vis_CGID,INPUT!J115,vis_ClientID,INPUT!K115,vis_Svc,D119,vis_Status,"Verified",vis_InWeek,"Yes"))</f>
        <v/>
      </c>
      <c r="H119" s="27" t="str">
        <f aca="false">IF(A119="","",SUMIFS(vis_Units,vis_CGID,INPUT!J115,vis_ClientID,INPUT!K115,vis_Svc,D119,vis_Status,"Verified",vis_InWeek,"Yes"))</f>
        <v/>
      </c>
      <c r="I119" s="45" t="str">
        <f aca="false">IF(A119="","",MAX(0,F119-H119))</f>
        <v/>
      </c>
      <c r="J119" s="41" t="str">
        <f aca="false">IF(A119="","",ROUND(I119*N(INPUT!L115),2))</f>
        <v/>
      </c>
      <c r="K119" s="40" t="str">
        <f aca="false">IF(A119="","",INPUT!H115)</f>
        <v/>
      </c>
      <c r="L119" s="40" t="str">
        <f aca="false">IF(A119="","",IF(G119=0,"No matching visits",IF(I119&gt;0,"Units exceed visits",IF(E119&lt;&gt;G119,"Day count differs","OK"))))</f>
        <v/>
      </c>
      <c r="M119" s="40" t="str">
        <f aca="false">IF(A119="","",IF(L119="OK","",IF(K119="Hold","On hold","Review before paying")))</f>
        <v/>
      </c>
    </row>
    <row r="120" customFormat="false" ht="15" hidden="false" customHeight="false" outlineLevel="0" collapsed="false">
      <c r="A120" s="21" t="str">
        <f aca="false">IF(INPUT!B116="","",INPUT!A116)</f>
        <v/>
      </c>
      <c r="B120" s="26" t="str">
        <f aca="false">IF(A120="","",INPUT!B116)</f>
        <v/>
      </c>
      <c r="C120" s="26" t="str">
        <f aca="false">IF(A120="","",INPUT!C116)</f>
        <v/>
      </c>
      <c r="D120" s="40" t="str">
        <f aca="false">IF(A120="","",INPUT!D116)</f>
        <v/>
      </c>
      <c r="E120" s="27" t="str">
        <f aca="false">IF(A120="","",N(INPUT!E116))</f>
        <v/>
      </c>
      <c r="F120" s="27" t="str">
        <f aca="false">IF(A120="","",N(INPUT!F116))</f>
        <v/>
      </c>
      <c r="G120" s="27" t="str">
        <f aca="false">IF(A120="","",COUNTIFS(vis_CGID,INPUT!J116,vis_ClientID,INPUT!K116,vis_Svc,D120,vis_Status,"Verified",vis_InWeek,"Yes"))</f>
        <v/>
      </c>
      <c r="H120" s="27" t="str">
        <f aca="false">IF(A120="","",SUMIFS(vis_Units,vis_CGID,INPUT!J116,vis_ClientID,INPUT!K116,vis_Svc,D120,vis_Status,"Verified",vis_InWeek,"Yes"))</f>
        <v/>
      </c>
      <c r="I120" s="45" t="str">
        <f aca="false">IF(A120="","",MAX(0,F120-H120))</f>
        <v/>
      </c>
      <c r="J120" s="41" t="str">
        <f aca="false">IF(A120="","",ROUND(I120*N(INPUT!L116),2))</f>
        <v/>
      </c>
      <c r="K120" s="40" t="str">
        <f aca="false">IF(A120="","",INPUT!H116)</f>
        <v/>
      </c>
      <c r="L120" s="40" t="str">
        <f aca="false">IF(A120="","",IF(G120=0,"No matching visits",IF(I120&gt;0,"Units exceed visits",IF(E120&lt;&gt;G120,"Day count differs","OK"))))</f>
        <v/>
      </c>
      <c r="M120" s="40" t="str">
        <f aca="false">IF(A120="","",IF(L120="OK","",IF(K120="Hold","On hold","Review before paying")))</f>
        <v/>
      </c>
    </row>
    <row r="121" customFormat="false" ht="15" hidden="false" customHeight="false" outlineLevel="0" collapsed="false">
      <c r="A121" s="21" t="str">
        <f aca="false">IF(INPUT!B117="","",INPUT!A117)</f>
        <v/>
      </c>
      <c r="B121" s="26" t="str">
        <f aca="false">IF(A121="","",INPUT!B117)</f>
        <v/>
      </c>
      <c r="C121" s="26" t="str">
        <f aca="false">IF(A121="","",INPUT!C117)</f>
        <v/>
      </c>
      <c r="D121" s="40" t="str">
        <f aca="false">IF(A121="","",INPUT!D117)</f>
        <v/>
      </c>
      <c r="E121" s="27" t="str">
        <f aca="false">IF(A121="","",N(INPUT!E117))</f>
        <v/>
      </c>
      <c r="F121" s="27" t="str">
        <f aca="false">IF(A121="","",N(INPUT!F117))</f>
        <v/>
      </c>
      <c r="G121" s="27" t="str">
        <f aca="false">IF(A121="","",COUNTIFS(vis_CGID,INPUT!J117,vis_ClientID,INPUT!K117,vis_Svc,D121,vis_Status,"Verified",vis_InWeek,"Yes"))</f>
        <v/>
      </c>
      <c r="H121" s="27" t="str">
        <f aca="false">IF(A121="","",SUMIFS(vis_Units,vis_CGID,INPUT!J117,vis_ClientID,INPUT!K117,vis_Svc,D121,vis_Status,"Verified",vis_InWeek,"Yes"))</f>
        <v/>
      </c>
      <c r="I121" s="45" t="str">
        <f aca="false">IF(A121="","",MAX(0,F121-H121))</f>
        <v/>
      </c>
      <c r="J121" s="41" t="str">
        <f aca="false">IF(A121="","",ROUND(I121*N(INPUT!L117),2))</f>
        <v/>
      </c>
      <c r="K121" s="40" t="str">
        <f aca="false">IF(A121="","",INPUT!H117)</f>
        <v/>
      </c>
      <c r="L121" s="40" t="str">
        <f aca="false">IF(A121="","",IF(G121=0,"No matching visits",IF(I121&gt;0,"Units exceed visits",IF(E121&lt;&gt;G121,"Day count differs","OK"))))</f>
        <v/>
      </c>
      <c r="M121" s="40" t="str">
        <f aca="false">IF(A121="","",IF(L121="OK","",IF(K121="Hold","On hold","Review before paying")))</f>
        <v/>
      </c>
    </row>
    <row r="122" customFormat="false" ht="15" hidden="false" customHeight="false" outlineLevel="0" collapsed="false">
      <c r="A122" s="21" t="str">
        <f aca="false">IF(INPUT!B118="","",INPUT!A118)</f>
        <v/>
      </c>
      <c r="B122" s="26" t="str">
        <f aca="false">IF(A122="","",INPUT!B118)</f>
        <v/>
      </c>
      <c r="C122" s="26" t="str">
        <f aca="false">IF(A122="","",INPUT!C118)</f>
        <v/>
      </c>
      <c r="D122" s="40" t="str">
        <f aca="false">IF(A122="","",INPUT!D118)</f>
        <v/>
      </c>
      <c r="E122" s="27" t="str">
        <f aca="false">IF(A122="","",N(INPUT!E118))</f>
        <v/>
      </c>
      <c r="F122" s="27" t="str">
        <f aca="false">IF(A122="","",N(INPUT!F118))</f>
        <v/>
      </c>
      <c r="G122" s="27" t="str">
        <f aca="false">IF(A122="","",COUNTIFS(vis_CGID,INPUT!J118,vis_ClientID,INPUT!K118,vis_Svc,D122,vis_Status,"Verified",vis_InWeek,"Yes"))</f>
        <v/>
      </c>
      <c r="H122" s="27" t="str">
        <f aca="false">IF(A122="","",SUMIFS(vis_Units,vis_CGID,INPUT!J118,vis_ClientID,INPUT!K118,vis_Svc,D122,vis_Status,"Verified",vis_InWeek,"Yes"))</f>
        <v/>
      </c>
      <c r="I122" s="45" t="str">
        <f aca="false">IF(A122="","",MAX(0,F122-H122))</f>
        <v/>
      </c>
      <c r="J122" s="41" t="str">
        <f aca="false">IF(A122="","",ROUND(I122*N(INPUT!L118),2))</f>
        <v/>
      </c>
      <c r="K122" s="40" t="str">
        <f aca="false">IF(A122="","",INPUT!H118)</f>
        <v/>
      </c>
      <c r="L122" s="40" t="str">
        <f aca="false">IF(A122="","",IF(G122=0,"No matching visits",IF(I122&gt;0,"Units exceed visits",IF(E122&lt;&gt;G122,"Day count differs","OK"))))</f>
        <v/>
      </c>
      <c r="M122" s="40" t="str">
        <f aca="false">IF(A122="","",IF(L122="OK","",IF(K122="Hold","On hold","Review before paying")))</f>
        <v/>
      </c>
    </row>
    <row r="123" customFormat="false" ht="15" hidden="false" customHeight="false" outlineLevel="0" collapsed="false">
      <c r="A123" s="21" t="str">
        <f aca="false">IF(INPUT!B119="","",INPUT!A119)</f>
        <v/>
      </c>
      <c r="B123" s="26" t="str">
        <f aca="false">IF(A123="","",INPUT!B119)</f>
        <v/>
      </c>
      <c r="C123" s="26" t="str">
        <f aca="false">IF(A123="","",INPUT!C119)</f>
        <v/>
      </c>
      <c r="D123" s="40" t="str">
        <f aca="false">IF(A123="","",INPUT!D119)</f>
        <v/>
      </c>
      <c r="E123" s="27" t="str">
        <f aca="false">IF(A123="","",N(INPUT!E119))</f>
        <v/>
      </c>
      <c r="F123" s="27" t="str">
        <f aca="false">IF(A123="","",N(INPUT!F119))</f>
        <v/>
      </c>
      <c r="G123" s="27" t="str">
        <f aca="false">IF(A123="","",COUNTIFS(vis_CGID,INPUT!J119,vis_ClientID,INPUT!K119,vis_Svc,D123,vis_Status,"Verified",vis_InWeek,"Yes"))</f>
        <v/>
      </c>
      <c r="H123" s="27" t="str">
        <f aca="false">IF(A123="","",SUMIFS(vis_Units,vis_CGID,INPUT!J119,vis_ClientID,INPUT!K119,vis_Svc,D123,vis_Status,"Verified",vis_InWeek,"Yes"))</f>
        <v/>
      </c>
      <c r="I123" s="45" t="str">
        <f aca="false">IF(A123="","",MAX(0,F123-H123))</f>
        <v/>
      </c>
      <c r="J123" s="41" t="str">
        <f aca="false">IF(A123="","",ROUND(I123*N(INPUT!L119),2))</f>
        <v/>
      </c>
      <c r="K123" s="40" t="str">
        <f aca="false">IF(A123="","",INPUT!H119)</f>
        <v/>
      </c>
      <c r="L123" s="40" t="str">
        <f aca="false">IF(A123="","",IF(G123=0,"No matching visits",IF(I123&gt;0,"Units exceed visits",IF(E123&lt;&gt;G123,"Day count differs","OK"))))</f>
        <v/>
      </c>
      <c r="M123" s="40" t="str">
        <f aca="false">IF(A123="","",IF(L123="OK","",IF(K123="Hold","On hold","Review before paying")))</f>
        <v/>
      </c>
    </row>
    <row r="124" customFormat="false" ht="15" hidden="false" customHeight="false" outlineLevel="0" collapsed="false">
      <c r="A124" s="21" t="str">
        <f aca="false">IF(INPUT!B120="","",INPUT!A120)</f>
        <v/>
      </c>
      <c r="B124" s="26" t="str">
        <f aca="false">IF(A124="","",INPUT!B120)</f>
        <v/>
      </c>
      <c r="C124" s="26" t="str">
        <f aca="false">IF(A124="","",INPUT!C120)</f>
        <v/>
      </c>
      <c r="D124" s="40" t="str">
        <f aca="false">IF(A124="","",INPUT!D120)</f>
        <v/>
      </c>
      <c r="E124" s="27" t="str">
        <f aca="false">IF(A124="","",N(INPUT!E120))</f>
        <v/>
      </c>
      <c r="F124" s="27" t="str">
        <f aca="false">IF(A124="","",N(INPUT!F120))</f>
        <v/>
      </c>
      <c r="G124" s="27" t="str">
        <f aca="false">IF(A124="","",COUNTIFS(vis_CGID,INPUT!J120,vis_ClientID,INPUT!K120,vis_Svc,D124,vis_Status,"Verified",vis_InWeek,"Yes"))</f>
        <v/>
      </c>
      <c r="H124" s="27" t="str">
        <f aca="false">IF(A124="","",SUMIFS(vis_Units,vis_CGID,INPUT!J120,vis_ClientID,INPUT!K120,vis_Svc,D124,vis_Status,"Verified",vis_InWeek,"Yes"))</f>
        <v/>
      </c>
      <c r="I124" s="45" t="str">
        <f aca="false">IF(A124="","",MAX(0,F124-H124))</f>
        <v/>
      </c>
      <c r="J124" s="41" t="str">
        <f aca="false">IF(A124="","",ROUND(I124*N(INPUT!L120),2))</f>
        <v/>
      </c>
      <c r="K124" s="40" t="str">
        <f aca="false">IF(A124="","",INPUT!H120)</f>
        <v/>
      </c>
      <c r="L124" s="40" t="str">
        <f aca="false">IF(A124="","",IF(G124=0,"No matching visits",IF(I124&gt;0,"Units exceed visits",IF(E124&lt;&gt;G124,"Day count differs","OK"))))</f>
        <v/>
      </c>
      <c r="M124" s="40" t="str">
        <f aca="false">IF(A124="","",IF(L124="OK","",IF(K124="Hold","On hold","Review before paying")))</f>
        <v/>
      </c>
    </row>
    <row r="125" customFormat="false" ht="15" hidden="false" customHeight="false" outlineLevel="0" collapsed="false">
      <c r="A125" s="21" t="str">
        <f aca="false">IF(INPUT!B121="","",INPUT!A121)</f>
        <v/>
      </c>
      <c r="B125" s="26" t="str">
        <f aca="false">IF(A125="","",INPUT!B121)</f>
        <v/>
      </c>
      <c r="C125" s="26" t="str">
        <f aca="false">IF(A125="","",INPUT!C121)</f>
        <v/>
      </c>
      <c r="D125" s="40" t="str">
        <f aca="false">IF(A125="","",INPUT!D121)</f>
        <v/>
      </c>
      <c r="E125" s="27" t="str">
        <f aca="false">IF(A125="","",N(INPUT!E121))</f>
        <v/>
      </c>
      <c r="F125" s="27" t="str">
        <f aca="false">IF(A125="","",N(INPUT!F121))</f>
        <v/>
      </c>
      <c r="G125" s="27" t="str">
        <f aca="false">IF(A125="","",COUNTIFS(vis_CGID,INPUT!J121,vis_ClientID,INPUT!K121,vis_Svc,D125,vis_Status,"Verified",vis_InWeek,"Yes"))</f>
        <v/>
      </c>
      <c r="H125" s="27" t="str">
        <f aca="false">IF(A125="","",SUMIFS(vis_Units,vis_CGID,INPUT!J121,vis_ClientID,INPUT!K121,vis_Svc,D125,vis_Status,"Verified",vis_InWeek,"Yes"))</f>
        <v/>
      </c>
      <c r="I125" s="45" t="str">
        <f aca="false">IF(A125="","",MAX(0,F125-H125))</f>
        <v/>
      </c>
      <c r="J125" s="41" t="str">
        <f aca="false">IF(A125="","",ROUND(I125*N(INPUT!L121),2))</f>
        <v/>
      </c>
      <c r="K125" s="40" t="str">
        <f aca="false">IF(A125="","",INPUT!H121)</f>
        <v/>
      </c>
      <c r="L125" s="40" t="str">
        <f aca="false">IF(A125="","",IF(G125=0,"No matching visits",IF(I125&gt;0,"Units exceed visits",IF(E125&lt;&gt;G125,"Day count differs","OK"))))</f>
        <v/>
      </c>
      <c r="M125" s="40" t="str">
        <f aca="false">IF(A125="","",IF(L125="OK","",IF(K125="Hold","On hold","Review before paying")))</f>
        <v/>
      </c>
    </row>
    <row r="126" customFormat="false" ht="15" hidden="false" customHeight="false" outlineLevel="0" collapsed="false">
      <c r="A126" s="21" t="str">
        <f aca="false">IF(INPUT!B122="","",INPUT!A122)</f>
        <v/>
      </c>
      <c r="B126" s="26" t="str">
        <f aca="false">IF(A126="","",INPUT!B122)</f>
        <v/>
      </c>
      <c r="C126" s="26" t="str">
        <f aca="false">IF(A126="","",INPUT!C122)</f>
        <v/>
      </c>
      <c r="D126" s="40" t="str">
        <f aca="false">IF(A126="","",INPUT!D122)</f>
        <v/>
      </c>
      <c r="E126" s="27" t="str">
        <f aca="false">IF(A126="","",N(INPUT!E122))</f>
        <v/>
      </c>
      <c r="F126" s="27" t="str">
        <f aca="false">IF(A126="","",N(INPUT!F122))</f>
        <v/>
      </c>
      <c r="G126" s="27" t="str">
        <f aca="false">IF(A126="","",COUNTIFS(vis_CGID,INPUT!J122,vis_ClientID,INPUT!K122,vis_Svc,D126,vis_Status,"Verified",vis_InWeek,"Yes"))</f>
        <v/>
      </c>
      <c r="H126" s="27" t="str">
        <f aca="false">IF(A126="","",SUMIFS(vis_Units,vis_CGID,INPUT!J122,vis_ClientID,INPUT!K122,vis_Svc,D126,vis_Status,"Verified",vis_InWeek,"Yes"))</f>
        <v/>
      </c>
      <c r="I126" s="45" t="str">
        <f aca="false">IF(A126="","",MAX(0,F126-H126))</f>
        <v/>
      </c>
      <c r="J126" s="41" t="str">
        <f aca="false">IF(A126="","",ROUND(I126*N(INPUT!L122),2))</f>
        <v/>
      </c>
      <c r="K126" s="40" t="str">
        <f aca="false">IF(A126="","",INPUT!H122)</f>
        <v/>
      </c>
      <c r="L126" s="40" t="str">
        <f aca="false">IF(A126="","",IF(G126=0,"No matching visits",IF(I126&gt;0,"Units exceed visits",IF(E126&lt;&gt;G126,"Day count differs","OK"))))</f>
        <v/>
      </c>
      <c r="M126" s="40" t="str">
        <f aca="false">IF(A126="","",IF(L126="OK","",IF(K126="Hold","On hold","Review before paying")))</f>
        <v/>
      </c>
    </row>
    <row r="127" customFormat="false" ht="15" hidden="false" customHeight="false" outlineLevel="0" collapsed="false">
      <c r="A127" s="21" t="str">
        <f aca="false">IF(INPUT!B123="","",INPUT!A123)</f>
        <v/>
      </c>
      <c r="B127" s="26" t="str">
        <f aca="false">IF(A127="","",INPUT!B123)</f>
        <v/>
      </c>
      <c r="C127" s="26" t="str">
        <f aca="false">IF(A127="","",INPUT!C123)</f>
        <v/>
      </c>
      <c r="D127" s="40" t="str">
        <f aca="false">IF(A127="","",INPUT!D123)</f>
        <v/>
      </c>
      <c r="E127" s="27" t="str">
        <f aca="false">IF(A127="","",N(INPUT!E123))</f>
        <v/>
      </c>
      <c r="F127" s="27" t="str">
        <f aca="false">IF(A127="","",N(INPUT!F123))</f>
        <v/>
      </c>
      <c r="G127" s="27" t="str">
        <f aca="false">IF(A127="","",COUNTIFS(vis_CGID,INPUT!J123,vis_ClientID,INPUT!K123,vis_Svc,D127,vis_Status,"Verified",vis_InWeek,"Yes"))</f>
        <v/>
      </c>
      <c r="H127" s="27" t="str">
        <f aca="false">IF(A127="","",SUMIFS(vis_Units,vis_CGID,INPUT!J123,vis_ClientID,INPUT!K123,vis_Svc,D127,vis_Status,"Verified",vis_InWeek,"Yes"))</f>
        <v/>
      </c>
      <c r="I127" s="45" t="str">
        <f aca="false">IF(A127="","",MAX(0,F127-H127))</f>
        <v/>
      </c>
      <c r="J127" s="41" t="str">
        <f aca="false">IF(A127="","",ROUND(I127*N(INPUT!L123),2))</f>
        <v/>
      </c>
      <c r="K127" s="40" t="str">
        <f aca="false">IF(A127="","",INPUT!H123)</f>
        <v/>
      </c>
      <c r="L127" s="40" t="str">
        <f aca="false">IF(A127="","",IF(G127=0,"No matching visits",IF(I127&gt;0,"Units exceed visits",IF(E127&lt;&gt;G127,"Day count differs","OK"))))</f>
        <v/>
      </c>
      <c r="M127" s="40" t="str">
        <f aca="false">IF(A127="","",IF(L127="OK","",IF(K127="Hold","On hold","Review before paying")))</f>
        <v/>
      </c>
    </row>
    <row r="128" customFormat="false" ht="15" hidden="false" customHeight="false" outlineLevel="0" collapsed="false">
      <c r="A128" s="21" t="str">
        <f aca="false">IF(INPUT!B124="","",INPUT!A124)</f>
        <v/>
      </c>
      <c r="B128" s="26" t="str">
        <f aca="false">IF(A128="","",INPUT!B124)</f>
        <v/>
      </c>
      <c r="C128" s="26" t="str">
        <f aca="false">IF(A128="","",INPUT!C124)</f>
        <v/>
      </c>
      <c r="D128" s="40" t="str">
        <f aca="false">IF(A128="","",INPUT!D124)</f>
        <v/>
      </c>
      <c r="E128" s="27" t="str">
        <f aca="false">IF(A128="","",N(INPUT!E124))</f>
        <v/>
      </c>
      <c r="F128" s="27" t="str">
        <f aca="false">IF(A128="","",N(INPUT!F124))</f>
        <v/>
      </c>
      <c r="G128" s="27" t="str">
        <f aca="false">IF(A128="","",COUNTIFS(vis_CGID,INPUT!J124,vis_ClientID,INPUT!K124,vis_Svc,D128,vis_Status,"Verified",vis_InWeek,"Yes"))</f>
        <v/>
      </c>
      <c r="H128" s="27" t="str">
        <f aca="false">IF(A128="","",SUMIFS(vis_Units,vis_CGID,INPUT!J124,vis_ClientID,INPUT!K124,vis_Svc,D128,vis_Status,"Verified",vis_InWeek,"Yes"))</f>
        <v/>
      </c>
      <c r="I128" s="45" t="str">
        <f aca="false">IF(A128="","",MAX(0,F128-H128))</f>
        <v/>
      </c>
      <c r="J128" s="41" t="str">
        <f aca="false">IF(A128="","",ROUND(I128*N(INPUT!L124),2))</f>
        <v/>
      </c>
      <c r="K128" s="40" t="str">
        <f aca="false">IF(A128="","",INPUT!H124)</f>
        <v/>
      </c>
      <c r="L128" s="40" t="str">
        <f aca="false">IF(A128="","",IF(G128=0,"No matching visits",IF(I128&gt;0,"Units exceed visits",IF(E128&lt;&gt;G128,"Day count differs","OK"))))</f>
        <v/>
      </c>
      <c r="M128" s="40" t="str">
        <f aca="false">IF(A128="","",IF(L128="OK","",IF(K128="Hold","On hold","Review before paying")))</f>
        <v/>
      </c>
    </row>
    <row r="129" customFormat="false" ht="15" hidden="false" customHeight="false" outlineLevel="0" collapsed="false">
      <c r="A129" s="21" t="str">
        <f aca="false">IF(INPUT!B125="","",INPUT!A125)</f>
        <v/>
      </c>
      <c r="B129" s="26" t="str">
        <f aca="false">IF(A129="","",INPUT!B125)</f>
        <v/>
      </c>
      <c r="C129" s="26" t="str">
        <f aca="false">IF(A129="","",INPUT!C125)</f>
        <v/>
      </c>
      <c r="D129" s="40" t="str">
        <f aca="false">IF(A129="","",INPUT!D125)</f>
        <v/>
      </c>
      <c r="E129" s="27" t="str">
        <f aca="false">IF(A129="","",N(INPUT!E125))</f>
        <v/>
      </c>
      <c r="F129" s="27" t="str">
        <f aca="false">IF(A129="","",N(INPUT!F125))</f>
        <v/>
      </c>
      <c r="G129" s="27" t="str">
        <f aca="false">IF(A129="","",COUNTIFS(vis_CGID,INPUT!J125,vis_ClientID,INPUT!K125,vis_Svc,D129,vis_Status,"Verified",vis_InWeek,"Yes"))</f>
        <v/>
      </c>
      <c r="H129" s="27" t="str">
        <f aca="false">IF(A129="","",SUMIFS(vis_Units,vis_CGID,INPUT!J125,vis_ClientID,INPUT!K125,vis_Svc,D129,vis_Status,"Verified",vis_InWeek,"Yes"))</f>
        <v/>
      </c>
      <c r="I129" s="45" t="str">
        <f aca="false">IF(A129="","",MAX(0,F129-H129))</f>
        <v/>
      </c>
      <c r="J129" s="41" t="str">
        <f aca="false">IF(A129="","",ROUND(I129*N(INPUT!L125),2))</f>
        <v/>
      </c>
      <c r="K129" s="40" t="str">
        <f aca="false">IF(A129="","",INPUT!H125)</f>
        <v/>
      </c>
      <c r="L129" s="40" t="str">
        <f aca="false">IF(A129="","",IF(G129=0,"No matching visits",IF(I129&gt;0,"Units exceed visits",IF(E129&lt;&gt;G129,"Day count differs","OK"))))</f>
        <v/>
      </c>
      <c r="M129" s="40" t="str">
        <f aca="false">IF(A129="","",IF(L129="OK","",IF(K129="Hold","On hold","Review before paying")))</f>
        <v/>
      </c>
    </row>
    <row r="130" customFormat="false" ht="15" hidden="false" customHeight="false" outlineLevel="0" collapsed="false">
      <c r="A130" s="21" t="str">
        <f aca="false">IF(INPUT!B126="","",INPUT!A126)</f>
        <v/>
      </c>
      <c r="B130" s="26" t="str">
        <f aca="false">IF(A130="","",INPUT!B126)</f>
        <v/>
      </c>
      <c r="C130" s="26" t="str">
        <f aca="false">IF(A130="","",INPUT!C126)</f>
        <v/>
      </c>
      <c r="D130" s="40" t="str">
        <f aca="false">IF(A130="","",INPUT!D126)</f>
        <v/>
      </c>
      <c r="E130" s="27" t="str">
        <f aca="false">IF(A130="","",N(INPUT!E126))</f>
        <v/>
      </c>
      <c r="F130" s="27" t="str">
        <f aca="false">IF(A130="","",N(INPUT!F126))</f>
        <v/>
      </c>
      <c r="G130" s="27" t="str">
        <f aca="false">IF(A130="","",COUNTIFS(vis_CGID,INPUT!J126,vis_ClientID,INPUT!K126,vis_Svc,D130,vis_Status,"Verified",vis_InWeek,"Yes"))</f>
        <v/>
      </c>
      <c r="H130" s="27" t="str">
        <f aca="false">IF(A130="","",SUMIFS(vis_Units,vis_CGID,INPUT!J126,vis_ClientID,INPUT!K126,vis_Svc,D130,vis_Status,"Verified",vis_InWeek,"Yes"))</f>
        <v/>
      </c>
      <c r="I130" s="45" t="str">
        <f aca="false">IF(A130="","",MAX(0,F130-H130))</f>
        <v/>
      </c>
      <c r="J130" s="41" t="str">
        <f aca="false">IF(A130="","",ROUND(I130*N(INPUT!L126),2))</f>
        <v/>
      </c>
      <c r="K130" s="40" t="str">
        <f aca="false">IF(A130="","",INPUT!H126)</f>
        <v/>
      </c>
      <c r="L130" s="40" t="str">
        <f aca="false">IF(A130="","",IF(G130=0,"No matching visits",IF(I130&gt;0,"Units exceed visits",IF(E130&lt;&gt;G130,"Day count differs","OK"))))</f>
        <v/>
      </c>
      <c r="M130" s="40" t="str">
        <f aca="false">IF(A130="","",IF(L130="OK","",IF(K130="Hold","On hold","Review before paying")))</f>
        <v/>
      </c>
    </row>
    <row r="131" customFormat="false" ht="15" hidden="false" customHeight="false" outlineLevel="0" collapsed="false">
      <c r="A131" s="21" t="str">
        <f aca="false">IF(INPUT!B127="","",INPUT!A127)</f>
        <v/>
      </c>
      <c r="B131" s="26" t="str">
        <f aca="false">IF(A131="","",INPUT!B127)</f>
        <v/>
      </c>
      <c r="C131" s="26" t="str">
        <f aca="false">IF(A131="","",INPUT!C127)</f>
        <v/>
      </c>
      <c r="D131" s="40" t="str">
        <f aca="false">IF(A131="","",INPUT!D127)</f>
        <v/>
      </c>
      <c r="E131" s="27" t="str">
        <f aca="false">IF(A131="","",N(INPUT!E127))</f>
        <v/>
      </c>
      <c r="F131" s="27" t="str">
        <f aca="false">IF(A131="","",N(INPUT!F127))</f>
        <v/>
      </c>
      <c r="G131" s="27" t="str">
        <f aca="false">IF(A131="","",COUNTIFS(vis_CGID,INPUT!J127,vis_ClientID,INPUT!K127,vis_Svc,D131,vis_Status,"Verified",vis_InWeek,"Yes"))</f>
        <v/>
      </c>
      <c r="H131" s="27" t="str">
        <f aca="false">IF(A131="","",SUMIFS(vis_Units,vis_CGID,INPUT!J127,vis_ClientID,INPUT!K127,vis_Svc,D131,vis_Status,"Verified",vis_InWeek,"Yes"))</f>
        <v/>
      </c>
      <c r="I131" s="45" t="str">
        <f aca="false">IF(A131="","",MAX(0,F131-H131))</f>
        <v/>
      </c>
      <c r="J131" s="41" t="str">
        <f aca="false">IF(A131="","",ROUND(I131*N(INPUT!L127),2))</f>
        <v/>
      </c>
      <c r="K131" s="40" t="str">
        <f aca="false">IF(A131="","",INPUT!H127)</f>
        <v/>
      </c>
      <c r="L131" s="40" t="str">
        <f aca="false">IF(A131="","",IF(G131=0,"No matching visits",IF(I131&gt;0,"Units exceed visits",IF(E131&lt;&gt;G131,"Day count differs","OK"))))</f>
        <v/>
      </c>
      <c r="M131" s="40" t="str">
        <f aca="false">IF(A131="","",IF(L131="OK","",IF(K131="Hold","On hold","Review before paying")))</f>
        <v/>
      </c>
    </row>
    <row r="132" customFormat="false" ht="15" hidden="false" customHeight="false" outlineLevel="0" collapsed="false">
      <c r="A132" s="21" t="str">
        <f aca="false">IF(INPUT!B128="","",INPUT!A128)</f>
        <v/>
      </c>
      <c r="B132" s="26" t="str">
        <f aca="false">IF(A132="","",INPUT!B128)</f>
        <v/>
      </c>
      <c r="C132" s="26" t="str">
        <f aca="false">IF(A132="","",INPUT!C128)</f>
        <v/>
      </c>
      <c r="D132" s="40" t="str">
        <f aca="false">IF(A132="","",INPUT!D128)</f>
        <v/>
      </c>
      <c r="E132" s="27" t="str">
        <f aca="false">IF(A132="","",N(INPUT!E128))</f>
        <v/>
      </c>
      <c r="F132" s="27" t="str">
        <f aca="false">IF(A132="","",N(INPUT!F128))</f>
        <v/>
      </c>
      <c r="G132" s="27" t="str">
        <f aca="false">IF(A132="","",COUNTIFS(vis_CGID,INPUT!J128,vis_ClientID,INPUT!K128,vis_Svc,D132,vis_Status,"Verified",vis_InWeek,"Yes"))</f>
        <v/>
      </c>
      <c r="H132" s="27" t="str">
        <f aca="false">IF(A132="","",SUMIFS(vis_Units,vis_CGID,INPUT!J128,vis_ClientID,INPUT!K128,vis_Svc,D132,vis_Status,"Verified",vis_InWeek,"Yes"))</f>
        <v/>
      </c>
      <c r="I132" s="45" t="str">
        <f aca="false">IF(A132="","",MAX(0,F132-H132))</f>
        <v/>
      </c>
      <c r="J132" s="41" t="str">
        <f aca="false">IF(A132="","",ROUND(I132*N(INPUT!L128),2))</f>
        <v/>
      </c>
      <c r="K132" s="40" t="str">
        <f aca="false">IF(A132="","",INPUT!H128)</f>
        <v/>
      </c>
      <c r="L132" s="40" t="str">
        <f aca="false">IF(A132="","",IF(G132=0,"No matching visits",IF(I132&gt;0,"Units exceed visits",IF(E132&lt;&gt;G132,"Day count differs","OK"))))</f>
        <v/>
      </c>
      <c r="M132" s="40" t="str">
        <f aca="false">IF(A132="","",IF(L132="OK","",IF(K132="Hold","On hold","Review before paying")))</f>
        <v/>
      </c>
    </row>
    <row r="133" customFormat="false" ht="15" hidden="false" customHeight="false" outlineLevel="0" collapsed="false">
      <c r="A133" s="21" t="str">
        <f aca="false">IF(INPUT!B129="","",INPUT!A129)</f>
        <v/>
      </c>
      <c r="B133" s="26" t="str">
        <f aca="false">IF(A133="","",INPUT!B129)</f>
        <v/>
      </c>
      <c r="C133" s="26" t="str">
        <f aca="false">IF(A133="","",INPUT!C129)</f>
        <v/>
      </c>
      <c r="D133" s="40" t="str">
        <f aca="false">IF(A133="","",INPUT!D129)</f>
        <v/>
      </c>
      <c r="E133" s="27" t="str">
        <f aca="false">IF(A133="","",N(INPUT!E129))</f>
        <v/>
      </c>
      <c r="F133" s="27" t="str">
        <f aca="false">IF(A133="","",N(INPUT!F129))</f>
        <v/>
      </c>
      <c r="G133" s="27" t="str">
        <f aca="false">IF(A133="","",COUNTIFS(vis_CGID,INPUT!J129,vis_ClientID,INPUT!K129,vis_Svc,D133,vis_Status,"Verified",vis_InWeek,"Yes"))</f>
        <v/>
      </c>
      <c r="H133" s="27" t="str">
        <f aca="false">IF(A133="","",SUMIFS(vis_Units,vis_CGID,INPUT!J129,vis_ClientID,INPUT!K129,vis_Svc,D133,vis_Status,"Verified",vis_InWeek,"Yes"))</f>
        <v/>
      </c>
      <c r="I133" s="45" t="str">
        <f aca="false">IF(A133="","",MAX(0,F133-H133))</f>
        <v/>
      </c>
      <c r="J133" s="41" t="str">
        <f aca="false">IF(A133="","",ROUND(I133*N(INPUT!L129),2))</f>
        <v/>
      </c>
      <c r="K133" s="40" t="str">
        <f aca="false">IF(A133="","",INPUT!H129)</f>
        <v/>
      </c>
      <c r="L133" s="40" t="str">
        <f aca="false">IF(A133="","",IF(G133=0,"No matching visits",IF(I133&gt;0,"Units exceed visits",IF(E133&lt;&gt;G133,"Day count differs","OK"))))</f>
        <v/>
      </c>
      <c r="M133" s="40" t="str">
        <f aca="false">IF(A133="","",IF(L133="OK","",IF(K133="Hold","On hold","Review before paying")))</f>
        <v/>
      </c>
    </row>
    <row r="134" customFormat="false" ht="15" hidden="false" customHeight="false" outlineLevel="0" collapsed="false">
      <c r="A134" s="21" t="str">
        <f aca="false">IF(INPUT!B130="","",INPUT!A130)</f>
        <v/>
      </c>
      <c r="B134" s="26" t="str">
        <f aca="false">IF(A134="","",INPUT!B130)</f>
        <v/>
      </c>
      <c r="C134" s="26" t="str">
        <f aca="false">IF(A134="","",INPUT!C130)</f>
        <v/>
      </c>
      <c r="D134" s="40" t="str">
        <f aca="false">IF(A134="","",INPUT!D130)</f>
        <v/>
      </c>
      <c r="E134" s="27" t="str">
        <f aca="false">IF(A134="","",N(INPUT!E130))</f>
        <v/>
      </c>
      <c r="F134" s="27" t="str">
        <f aca="false">IF(A134="","",N(INPUT!F130))</f>
        <v/>
      </c>
      <c r="G134" s="27" t="str">
        <f aca="false">IF(A134="","",COUNTIFS(vis_CGID,INPUT!J130,vis_ClientID,INPUT!K130,vis_Svc,D134,vis_Status,"Verified",vis_InWeek,"Yes"))</f>
        <v/>
      </c>
      <c r="H134" s="27" t="str">
        <f aca="false">IF(A134="","",SUMIFS(vis_Units,vis_CGID,INPUT!J130,vis_ClientID,INPUT!K130,vis_Svc,D134,vis_Status,"Verified",vis_InWeek,"Yes"))</f>
        <v/>
      </c>
      <c r="I134" s="45" t="str">
        <f aca="false">IF(A134="","",MAX(0,F134-H134))</f>
        <v/>
      </c>
      <c r="J134" s="41" t="str">
        <f aca="false">IF(A134="","",ROUND(I134*N(INPUT!L130),2))</f>
        <v/>
      </c>
      <c r="K134" s="40" t="str">
        <f aca="false">IF(A134="","",INPUT!H130)</f>
        <v/>
      </c>
      <c r="L134" s="40" t="str">
        <f aca="false">IF(A134="","",IF(G134=0,"No matching visits",IF(I134&gt;0,"Units exceed visits",IF(E134&lt;&gt;G134,"Day count differs","OK"))))</f>
        <v/>
      </c>
      <c r="M134" s="40" t="str">
        <f aca="false">IF(A134="","",IF(L134="OK","",IF(K134="Hold","On hold","Review before paying")))</f>
        <v/>
      </c>
    </row>
    <row r="135" customFormat="false" ht="15" hidden="false" customHeight="false" outlineLevel="0" collapsed="false">
      <c r="A135" s="21" t="str">
        <f aca="false">IF(INPUT!B131="","",INPUT!A131)</f>
        <v/>
      </c>
      <c r="B135" s="26" t="str">
        <f aca="false">IF(A135="","",INPUT!B131)</f>
        <v/>
      </c>
      <c r="C135" s="26" t="str">
        <f aca="false">IF(A135="","",INPUT!C131)</f>
        <v/>
      </c>
      <c r="D135" s="40" t="str">
        <f aca="false">IF(A135="","",INPUT!D131)</f>
        <v/>
      </c>
      <c r="E135" s="27" t="str">
        <f aca="false">IF(A135="","",N(INPUT!E131))</f>
        <v/>
      </c>
      <c r="F135" s="27" t="str">
        <f aca="false">IF(A135="","",N(INPUT!F131))</f>
        <v/>
      </c>
      <c r="G135" s="27" t="str">
        <f aca="false">IF(A135="","",COUNTIFS(vis_CGID,INPUT!J131,vis_ClientID,INPUT!K131,vis_Svc,D135,vis_Status,"Verified",vis_InWeek,"Yes"))</f>
        <v/>
      </c>
      <c r="H135" s="27" t="str">
        <f aca="false">IF(A135="","",SUMIFS(vis_Units,vis_CGID,INPUT!J131,vis_ClientID,INPUT!K131,vis_Svc,D135,vis_Status,"Verified",vis_InWeek,"Yes"))</f>
        <v/>
      </c>
      <c r="I135" s="45" t="str">
        <f aca="false">IF(A135="","",MAX(0,F135-H135))</f>
        <v/>
      </c>
      <c r="J135" s="41" t="str">
        <f aca="false">IF(A135="","",ROUND(I135*N(INPUT!L131),2))</f>
        <v/>
      </c>
      <c r="K135" s="40" t="str">
        <f aca="false">IF(A135="","",INPUT!H131)</f>
        <v/>
      </c>
      <c r="L135" s="40" t="str">
        <f aca="false">IF(A135="","",IF(G135=0,"No matching visits",IF(I135&gt;0,"Units exceed visits",IF(E135&lt;&gt;G135,"Day count differs","OK"))))</f>
        <v/>
      </c>
      <c r="M135" s="40" t="str">
        <f aca="false">IF(A135="","",IF(L135="OK","",IF(K135="Hold","On hold","Review before paying")))</f>
        <v/>
      </c>
    </row>
    <row r="136" customFormat="false" ht="15" hidden="false" customHeight="false" outlineLevel="0" collapsed="false">
      <c r="A136" s="21" t="str">
        <f aca="false">IF(INPUT!B132="","",INPUT!A132)</f>
        <v/>
      </c>
      <c r="B136" s="26" t="str">
        <f aca="false">IF(A136="","",INPUT!B132)</f>
        <v/>
      </c>
      <c r="C136" s="26" t="str">
        <f aca="false">IF(A136="","",INPUT!C132)</f>
        <v/>
      </c>
      <c r="D136" s="40" t="str">
        <f aca="false">IF(A136="","",INPUT!D132)</f>
        <v/>
      </c>
      <c r="E136" s="27" t="str">
        <f aca="false">IF(A136="","",N(INPUT!E132))</f>
        <v/>
      </c>
      <c r="F136" s="27" t="str">
        <f aca="false">IF(A136="","",N(INPUT!F132))</f>
        <v/>
      </c>
      <c r="G136" s="27" t="str">
        <f aca="false">IF(A136="","",COUNTIFS(vis_CGID,INPUT!J132,vis_ClientID,INPUT!K132,vis_Svc,D136,vis_Status,"Verified",vis_InWeek,"Yes"))</f>
        <v/>
      </c>
      <c r="H136" s="27" t="str">
        <f aca="false">IF(A136="","",SUMIFS(vis_Units,vis_CGID,INPUT!J132,vis_ClientID,INPUT!K132,vis_Svc,D136,vis_Status,"Verified",vis_InWeek,"Yes"))</f>
        <v/>
      </c>
      <c r="I136" s="45" t="str">
        <f aca="false">IF(A136="","",MAX(0,F136-H136))</f>
        <v/>
      </c>
      <c r="J136" s="41" t="str">
        <f aca="false">IF(A136="","",ROUND(I136*N(INPUT!L132),2))</f>
        <v/>
      </c>
      <c r="K136" s="40" t="str">
        <f aca="false">IF(A136="","",INPUT!H132)</f>
        <v/>
      </c>
      <c r="L136" s="40" t="str">
        <f aca="false">IF(A136="","",IF(G136=0,"No matching visits",IF(I136&gt;0,"Units exceed visits",IF(E136&lt;&gt;G136,"Day count differs","OK"))))</f>
        <v/>
      </c>
      <c r="M136" s="40" t="str">
        <f aca="false">IF(A136="","",IF(L136="OK","",IF(K136="Hold","On hold","Review before paying")))</f>
        <v/>
      </c>
    </row>
    <row r="137" customFormat="false" ht="15" hidden="false" customHeight="false" outlineLevel="0" collapsed="false">
      <c r="A137" s="21" t="str">
        <f aca="false">IF(INPUT!B133="","",INPUT!A133)</f>
        <v/>
      </c>
      <c r="B137" s="26" t="str">
        <f aca="false">IF(A137="","",INPUT!B133)</f>
        <v/>
      </c>
      <c r="C137" s="26" t="str">
        <f aca="false">IF(A137="","",INPUT!C133)</f>
        <v/>
      </c>
      <c r="D137" s="40" t="str">
        <f aca="false">IF(A137="","",INPUT!D133)</f>
        <v/>
      </c>
      <c r="E137" s="27" t="str">
        <f aca="false">IF(A137="","",N(INPUT!E133))</f>
        <v/>
      </c>
      <c r="F137" s="27" t="str">
        <f aca="false">IF(A137="","",N(INPUT!F133))</f>
        <v/>
      </c>
      <c r="G137" s="27" t="str">
        <f aca="false">IF(A137="","",COUNTIFS(vis_CGID,INPUT!J133,vis_ClientID,INPUT!K133,vis_Svc,D137,vis_Status,"Verified",vis_InWeek,"Yes"))</f>
        <v/>
      </c>
      <c r="H137" s="27" t="str">
        <f aca="false">IF(A137="","",SUMIFS(vis_Units,vis_CGID,INPUT!J133,vis_ClientID,INPUT!K133,vis_Svc,D137,vis_Status,"Verified",vis_InWeek,"Yes"))</f>
        <v/>
      </c>
      <c r="I137" s="45" t="str">
        <f aca="false">IF(A137="","",MAX(0,F137-H137))</f>
        <v/>
      </c>
      <c r="J137" s="41" t="str">
        <f aca="false">IF(A137="","",ROUND(I137*N(INPUT!L133),2))</f>
        <v/>
      </c>
      <c r="K137" s="40" t="str">
        <f aca="false">IF(A137="","",INPUT!H133)</f>
        <v/>
      </c>
      <c r="L137" s="40" t="str">
        <f aca="false">IF(A137="","",IF(G137=0,"No matching visits",IF(I137&gt;0,"Units exceed visits",IF(E137&lt;&gt;G137,"Day count differs","OK"))))</f>
        <v/>
      </c>
      <c r="M137" s="40" t="str">
        <f aca="false">IF(A137="","",IF(L137="OK","",IF(K137="Hold","On hold","Review before paying")))</f>
        <v/>
      </c>
    </row>
    <row r="138" customFormat="false" ht="15" hidden="false" customHeight="false" outlineLevel="0" collapsed="false">
      <c r="A138" s="21" t="str">
        <f aca="false">IF(INPUT!B134="","",INPUT!A134)</f>
        <v/>
      </c>
      <c r="B138" s="26" t="str">
        <f aca="false">IF(A138="","",INPUT!B134)</f>
        <v/>
      </c>
      <c r="C138" s="26" t="str">
        <f aca="false">IF(A138="","",INPUT!C134)</f>
        <v/>
      </c>
      <c r="D138" s="40" t="str">
        <f aca="false">IF(A138="","",INPUT!D134)</f>
        <v/>
      </c>
      <c r="E138" s="27" t="str">
        <f aca="false">IF(A138="","",N(INPUT!E134))</f>
        <v/>
      </c>
      <c r="F138" s="27" t="str">
        <f aca="false">IF(A138="","",N(INPUT!F134))</f>
        <v/>
      </c>
      <c r="G138" s="27" t="str">
        <f aca="false">IF(A138="","",COUNTIFS(vis_CGID,INPUT!J134,vis_ClientID,INPUT!K134,vis_Svc,D138,vis_Status,"Verified",vis_InWeek,"Yes"))</f>
        <v/>
      </c>
      <c r="H138" s="27" t="str">
        <f aca="false">IF(A138="","",SUMIFS(vis_Units,vis_CGID,INPUT!J134,vis_ClientID,INPUT!K134,vis_Svc,D138,vis_Status,"Verified",vis_InWeek,"Yes"))</f>
        <v/>
      </c>
      <c r="I138" s="45" t="str">
        <f aca="false">IF(A138="","",MAX(0,F138-H138))</f>
        <v/>
      </c>
      <c r="J138" s="41" t="str">
        <f aca="false">IF(A138="","",ROUND(I138*N(INPUT!L134),2))</f>
        <v/>
      </c>
      <c r="K138" s="40" t="str">
        <f aca="false">IF(A138="","",INPUT!H134)</f>
        <v/>
      </c>
      <c r="L138" s="40" t="str">
        <f aca="false">IF(A138="","",IF(G138=0,"No matching visits",IF(I138&gt;0,"Units exceed visits",IF(E138&lt;&gt;G138,"Day count differs","OK"))))</f>
        <v/>
      </c>
      <c r="M138" s="40" t="str">
        <f aca="false">IF(A138="","",IF(L138="OK","",IF(K138="Hold","On hold","Review before paying")))</f>
        <v/>
      </c>
    </row>
    <row r="139" customFormat="false" ht="15" hidden="false" customHeight="false" outlineLevel="0" collapsed="false">
      <c r="A139" s="21" t="str">
        <f aca="false">IF(INPUT!B135="","",INPUT!A135)</f>
        <v/>
      </c>
      <c r="B139" s="26" t="str">
        <f aca="false">IF(A139="","",INPUT!B135)</f>
        <v/>
      </c>
      <c r="C139" s="26" t="str">
        <f aca="false">IF(A139="","",INPUT!C135)</f>
        <v/>
      </c>
      <c r="D139" s="40" t="str">
        <f aca="false">IF(A139="","",INPUT!D135)</f>
        <v/>
      </c>
      <c r="E139" s="27" t="str">
        <f aca="false">IF(A139="","",N(INPUT!E135))</f>
        <v/>
      </c>
      <c r="F139" s="27" t="str">
        <f aca="false">IF(A139="","",N(INPUT!F135))</f>
        <v/>
      </c>
      <c r="G139" s="27" t="str">
        <f aca="false">IF(A139="","",COUNTIFS(vis_CGID,INPUT!J135,vis_ClientID,INPUT!K135,vis_Svc,D139,vis_Status,"Verified",vis_InWeek,"Yes"))</f>
        <v/>
      </c>
      <c r="H139" s="27" t="str">
        <f aca="false">IF(A139="","",SUMIFS(vis_Units,vis_CGID,INPUT!J135,vis_ClientID,INPUT!K135,vis_Svc,D139,vis_Status,"Verified",vis_InWeek,"Yes"))</f>
        <v/>
      </c>
      <c r="I139" s="45" t="str">
        <f aca="false">IF(A139="","",MAX(0,F139-H139))</f>
        <v/>
      </c>
      <c r="J139" s="41" t="str">
        <f aca="false">IF(A139="","",ROUND(I139*N(INPUT!L135),2))</f>
        <v/>
      </c>
      <c r="K139" s="40" t="str">
        <f aca="false">IF(A139="","",INPUT!H135)</f>
        <v/>
      </c>
      <c r="L139" s="40" t="str">
        <f aca="false">IF(A139="","",IF(G139=0,"No matching visits",IF(I139&gt;0,"Units exceed visits",IF(E139&lt;&gt;G139,"Day count differs","OK"))))</f>
        <v/>
      </c>
      <c r="M139" s="40" t="str">
        <f aca="false">IF(A139="","",IF(L139="OK","",IF(K139="Hold","On hold","Review before paying")))</f>
        <v/>
      </c>
    </row>
    <row r="140" customFormat="false" ht="15" hidden="false" customHeight="false" outlineLevel="0" collapsed="false">
      <c r="A140" s="21" t="str">
        <f aca="false">IF(INPUT!B136="","",INPUT!A136)</f>
        <v/>
      </c>
      <c r="B140" s="26" t="str">
        <f aca="false">IF(A140="","",INPUT!B136)</f>
        <v/>
      </c>
      <c r="C140" s="26" t="str">
        <f aca="false">IF(A140="","",INPUT!C136)</f>
        <v/>
      </c>
      <c r="D140" s="40" t="str">
        <f aca="false">IF(A140="","",INPUT!D136)</f>
        <v/>
      </c>
      <c r="E140" s="27" t="str">
        <f aca="false">IF(A140="","",N(INPUT!E136))</f>
        <v/>
      </c>
      <c r="F140" s="27" t="str">
        <f aca="false">IF(A140="","",N(INPUT!F136))</f>
        <v/>
      </c>
      <c r="G140" s="27" t="str">
        <f aca="false">IF(A140="","",COUNTIFS(vis_CGID,INPUT!J136,vis_ClientID,INPUT!K136,vis_Svc,D140,vis_Status,"Verified",vis_InWeek,"Yes"))</f>
        <v/>
      </c>
      <c r="H140" s="27" t="str">
        <f aca="false">IF(A140="","",SUMIFS(vis_Units,vis_CGID,INPUT!J136,vis_ClientID,INPUT!K136,vis_Svc,D140,vis_Status,"Verified",vis_InWeek,"Yes"))</f>
        <v/>
      </c>
      <c r="I140" s="45" t="str">
        <f aca="false">IF(A140="","",MAX(0,F140-H140))</f>
        <v/>
      </c>
      <c r="J140" s="41" t="str">
        <f aca="false">IF(A140="","",ROUND(I140*N(INPUT!L136),2))</f>
        <v/>
      </c>
      <c r="K140" s="40" t="str">
        <f aca="false">IF(A140="","",INPUT!H136)</f>
        <v/>
      </c>
      <c r="L140" s="40" t="str">
        <f aca="false">IF(A140="","",IF(G140=0,"No matching visits",IF(I140&gt;0,"Units exceed visits",IF(E140&lt;&gt;G140,"Day count differs","OK"))))</f>
        <v/>
      </c>
      <c r="M140" s="40" t="str">
        <f aca="false">IF(A140="","",IF(L140="OK","",IF(K140="Hold","On hold","Review before paying")))</f>
        <v/>
      </c>
    </row>
    <row r="141" customFormat="false" ht="15" hidden="false" customHeight="false" outlineLevel="0" collapsed="false">
      <c r="A141" s="21" t="str">
        <f aca="false">IF(INPUT!B137="","",INPUT!A137)</f>
        <v/>
      </c>
      <c r="B141" s="26" t="str">
        <f aca="false">IF(A141="","",INPUT!B137)</f>
        <v/>
      </c>
      <c r="C141" s="26" t="str">
        <f aca="false">IF(A141="","",INPUT!C137)</f>
        <v/>
      </c>
      <c r="D141" s="40" t="str">
        <f aca="false">IF(A141="","",INPUT!D137)</f>
        <v/>
      </c>
      <c r="E141" s="27" t="str">
        <f aca="false">IF(A141="","",N(INPUT!E137))</f>
        <v/>
      </c>
      <c r="F141" s="27" t="str">
        <f aca="false">IF(A141="","",N(INPUT!F137))</f>
        <v/>
      </c>
      <c r="G141" s="27" t="str">
        <f aca="false">IF(A141="","",COUNTIFS(vis_CGID,INPUT!J137,vis_ClientID,INPUT!K137,vis_Svc,D141,vis_Status,"Verified",vis_InWeek,"Yes"))</f>
        <v/>
      </c>
      <c r="H141" s="27" t="str">
        <f aca="false">IF(A141="","",SUMIFS(vis_Units,vis_CGID,INPUT!J137,vis_ClientID,INPUT!K137,vis_Svc,D141,vis_Status,"Verified",vis_InWeek,"Yes"))</f>
        <v/>
      </c>
      <c r="I141" s="45" t="str">
        <f aca="false">IF(A141="","",MAX(0,F141-H141))</f>
        <v/>
      </c>
      <c r="J141" s="41" t="str">
        <f aca="false">IF(A141="","",ROUND(I141*N(INPUT!L137),2))</f>
        <v/>
      </c>
      <c r="K141" s="40" t="str">
        <f aca="false">IF(A141="","",INPUT!H137)</f>
        <v/>
      </c>
      <c r="L141" s="40" t="str">
        <f aca="false">IF(A141="","",IF(G141=0,"No matching visits",IF(I141&gt;0,"Units exceed visits",IF(E141&lt;&gt;G141,"Day count differs","OK"))))</f>
        <v/>
      </c>
      <c r="M141" s="40" t="str">
        <f aca="false">IF(A141="","",IF(L141="OK","",IF(K141="Hold","On hold","Review before paying")))</f>
        <v/>
      </c>
    </row>
    <row r="142" customFormat="false" ht="15" hidden="false" customHeight="false" outlineLevel="0" collapsed="false">
      <c r="A142" s="21" t="str">
        <f aca="false">IF(INPUT!B138="","",INPUT!A138)</f>
        <v/>
      </c>
      <c r="B142" s="26" t="str">
        <f aca="false">IF(A142="","",INPUT!B138)</f>
        <v/>
      </c>
      <c r="C142" s="26" t="str">
        <f aca="false">IF(A142="","",INPUT!C138)</f>
        <v/>
      </c>
      <c r="D142" s="40" t="str">
        <f aca="false">IF(A142="","",INPUT!D138)</f>
        <v/>
      </c>
      <c r="E142" s="27" t="str">
        <f aca="false">IF(A142="","",N(INPUT!E138))</f>
        <v/>
      </c>
      <c r="F142" s="27" t="str">
        <f aca="false">IF(A142="","",N(INPUT!F138))</f>
        <v/>
      </c>
      <c r="G142" s="27" t="str">
        <f aca="false">IF(A142="","",COUNTIFS(vis_CGID,INPUT!J138,vis_ClientID,INPUT!K138,vis_Svc,D142,vis_Status,"Verified",vis_InWeek,"Yes"))</f>
        <v/>
      </c>
      <c r="H142" s="27" t="str">
        <f aca="false">IF(A142="","",SUMIFS(vis_Units,vis_CGID,INPUT!J138,vis_ClientID,INPUT!K138,vis_Svc,D142,vis_Status,"Verified",vis_InWeek,"Yes"))</f>
        <v/>
      </c>
      <c r="I142" s="45" t="str">
        <f aca="false">IF(A142="","",MAX(0,F142-H142))</f>
        <v/>
      </c>
      <c r="J142" s="41" t="str">
        <f aca="false">IF(A142="","",ROUND(I142*N(INPUT!L138),2))</f>
        <v/>
      </c>
      <c r="K142" s="40" t="str">
        <f aca="false">IF(A142="","",INPUT!H138)</f>
        <v/>
      </c>
      <c r="L142" s="40" t="str">
        <f aca="false">IF(A142="","",IF(G142=0,"No matching visits",IF(I142&gt;0,"Units exceed visits",IF(E142&lt;&gt;G142,"Day count differs","OK"))))</f>
        <v/>
      </c>
      <c r="M142" s="40" t="str">
        <f aca="false">IF(A142="","",IF(L142="OK","",IF(K142="Hold","On hold","Review before paying")))</f>
        <v/>
      </c>
    </row>
    <row r="143" customFormat="false" ht="15" hidden="false" customHeight="false" outlineLevel="0" collapsed="false">
      <c r="A143" s="21" t="str">
        <f aca="false">IF(INPUT!B139="","",INPUT!A139)</f>
        <v/>
      </c>
      <c r="B143" s="26" t="str">
        <f aca="false">IF(A143="","",INPUT!B139)</f>
        <v/>
      </c>
      <c r="C143" s="26" t="str">
        <f aca="false">IF(A143="","",INPUT!C139)</f>
        <v/>
      </c>
      <c r="D143" s="40" t="str">
        <f aca="false">IF(A143="","",INPUT!D139)</f>
        <v/>
      </c>
      <c r="E143" s="27" t="str">
        <f aca="false">IF(A143="","",N(INPUT!E139))</f>
        <v/>
      </c>
      <c r="F143" s="27" t="str">
        <f aca="false">IF(A143="","",N(INPUT!F139))</f>
        <v/>
      </c>
      <c r="G143" s="27" t="str">
        <f aca="false">IF(A143="","",COUNTIFS(vis_CGID,INPUT!J139,vis_ClientID,INPUT!K139,vis_Svc,D143,vis_Status,"Verified",vis_InWeek,"Yes"))</f>
        <v/>
      </c>
      <c r="H143" s="27" t="str">
        <f aca="false">IF(A143="","",SUMIFS(vis_Units,vis_CGID,INPUT!J139,vis_ClientID,INPUT!K139,vis_Svc,D143,vis_Status,"Verified",vis_InWeek,"Yes"))</f>
        <v/>
      </c>
      <c r="I143" s="45" t="str">
        <f aca="false">IF(A143="","",MAX(0,F143-H143))</f>
        <v/>
      </c>
      <c r="J143" s="41" t="str">
        <f aca="false">IF(A143="","",ROUND(I143*N(INPUT!L139),2))</f>
        <v/>
      </c>
      <c r="K143" s="40" t="str">
        <f aca="false">IF(A143="","",INPUT!H139)</f>
        <v/>
      </c>
      <c r="L143" s="40" t="str">
        <f aca="false">IF(A143="","",IF(G143=0,"No matching visits",IF(I143&gt;0,"Units exceed visits",IF(E143&lt;&gt;G143,"Day count differs","OK"))))</f>
        <v/>
      </c>
      <c r="M143" s="40" t="str">
        <f aca="false">IF(A143="","",IF(L143="OK","",IF(K143="Hold","On hold","Review before paying")))</f>
        <v/>
      </c>
    </row>
    <row r="144" customFormat="false" ht="15" hidden="false" customHeight="false" outlineLevel="0" collapsed="false">
      <c r="A144" s="21" t="str">
        <f aca="false">IF(INPUT!B140="","",INPUT!A140)</f>
        <v/>
      </c>
      <c r="B144" s="26" t="str">
        <f aca="false">IF(A144="","",INPUT!B140)</f>
        <v/>
      </c>
      <c r="C144" s="26" t="str">
        <f aca="false">IF(A144="","",INPUT!C140)</f>
        <v/>
      </c>
      <c r="D144" s="40" t="str">
        <f aca="false">IF(A144="","",INPUT!D140)</f>
        <v/>
      </c>
      <c r="E144" s="27" t="str">
        <f aca="false">IF(A144="","",N(INPUT!E140))</f>
        <v/>
      </c>
      <c r="F144" s="27" t="str">
        <f aca="false">IF(A144="","",N(INPUT!F140))</f>
        <v/>
      </c>
      <c r="G144" s="27" t="str">
        <f aca="false">IF(A144="","",COUNTIFS(vis_CGID,INPUT!J140,vis_ClientID,INPUT!K140,vis_Svc,D144,vis_Status,"Verified",vis_InWeek,"Yes"))</f>
        <v/>
      </c>
      <c r="H144" s="27" t="str">
        <f aca="false">IF(A144="","",SUMIFS(vis_Units,vis_CGID,INPUT!J140,vis_ClientID,INPUT!K140,vis_Svc,D144,vis_Status,"Verified",vis_InWeek,"Yes"))</f>
        <v/>
      </c>
      <c r="I144" s="45" t="str">
        <f aca="false">IF(A144="","",MAX(0,F144-H144))</f>
        <v/>
      </c>
      <c r="J144" s="41" t="str">
        <f aca="false">IF(A144="","",ROUND(I144*N(INPUT!L140),2))</f>
        <v/>
      </c>
      <c r="K144" s="40" t="str">
        <f aca="false">IF(A144="","",INPUT!H140)</f>
        <v/>
      </c>
      <c r="L144" s="40" t="str">
        <f aca="false">IF(A144="","",IF(G144=0,"No matching visits",IF(I144&gt;0,"Units exceed visits",IF(E144&lt;&gt;G144,"Day count differs","OK"))))</f>
        <v/>
      </c>
      <c r="M144" s="40" t="str">
        <f aca="false">IF(A144="","",IF(L144="OK","",IF(K144="Hold","On hold","Review before paying")))</f>
        <v/>
      </c>
    </row>
    <row r="145" customFormat="false" ht="15" hidden="false" customHeight="false" outlineLevel="0" collapsed="false">
      <c r="A145" s="21" t="str">
        <f aca="false">IF(INPUT!B141="","",INPUT!A141)</f>
        <v/>
      </c>
      <c r="B145" s="26" t="str">
        <f aca="false">IF(A145="","",INPUT!B141)</f>
        <v/>
      </c>
      <c r="C145" s="26" t="str">
        <f aca="false">IF(A145="","",INPUT!C141)</f>
        <v/>
      </c>
      <c r="D145" s="40" t="str">
        <f aca="false">IF(A145="","",INPUT!D141)</f>
        <v/>
      </c>
      <c r="E145" s="27" t="str">
        <f aca="false">IF(A145="","",N(INPUT!E141))</f>
        <v/>
      </c>
      <c r="F145" s="27" t="str">
        <f aca="false">IF(A145="","",N(INPUT!F141))</f>
        <v/>
      </c>
      <c r="G145" s="27" t="str">
        <f aca="false">IF(A145="","",COUNTIFS(vis_CGID,INPUT!J141,vis_ClientID,INPUT!K141,vis_Svc,D145,vis_Status,"Verified",vis_InWeek,"Yes"))</f>
        <v/>
      </c>
      <c r="H145" s="27" t="str">
        <f aca="false">IF(A145="","",SUMIFS(vis_Units,vis_CGID,INPUT!J141,vis_ClientID,INPUT!K141,vis_Svc,D145,vis_Status,"Verified",vis_InWeek,"Yes"))</f>
        <v/>
      </c>
      <c r="I145" s="45" t="str">
        <f aca="false">IF(A145="","",MAX(0,F145-H145))</f>
        <v/>
      </c>
      <c r="J145" s="41" t="str">
        <f aca="false">IF(A145="","",ROUND(I145*N(INPUT!L141),2))</f>
        <v/>
      </c>
      <c r="K145" s="40" t="str">
        <f aca="false">IF(A145="","",INPUT!H141)</f>
        <v/>
      </c>
      <c r="L145" s="40" t="str">
        <f aca="false">IF(A145="","",IF(G145=0,"No matching visits",IF(I145&gt;0,"Units exceed visits",IF(E145&lt;&gt;G145,"Day count differs","OK"))))</f>
        <v/>
      </c>
      <c r="M145" s="40" t="str">
        <f aca="false">IF(A145="","",IF(L145="OK","",IF(K145="Hold","On hold","Review before paying")))</f>
        <v/>
      </c>
    </row>
    <row r="146" customFormat="false" ht="15" hidden="false" customHeight="false" outlineLevel="0" collapsed="false">
      <c r="A146" s="21" t="str">
        <f aca="false">IF(INPUT!B142="","",INPUT!A142)</f>
        <v/>
      </c>
      <c r="B146" s="26" t="str">
        <f aca="false">IF(A146="","",INPUT!B142)</f>
        <v/>
      </c>
      <c r="C146" s="26" t="str">
        <f aca="false">IF(A146="","",INPUT!C142)</f>
        <v/>
      </c>
      <c r="D146" s="40" t="str">
        <f aca="false">IF(A146="","",INPUT!D142)</f>
        <v/>
      </c>
      <c r="E146" s="27" t="str">
        <f aca="false">IF(A146="","",N(INPUT!E142))</f>
        <v/>
      </c>
      <c r="F146" s="27" t="str">
        <f aca="false">IF(A146="","",N(INPUT!F142))</f>
        <v/>
      </c>
      <c r="G146" s="27" t="str">
        <f aca="false">IF(A146="","",COUNTIFS(vis_CGID,INPUT!J142,vis_ClientID,INPUT!K142,vis_Svc,D146,vis_Status,"Verified",vis_InWeek,"Yes"))</f>
        <v/>
      </c>
      <c r="H146" s="27" t="str">
        <f aca="false">IF(A146="","",SUMIFS(vis_Units,vis_CGID,INPUT!J142,vis_ClientID,INPUT!K142,vis_Svc,D146,vis_Status,"Verified",vis_InWeek,"Yes"))</f>
        <v/>
      </c>
      <c r="I146" s="45" t="str">
        <f aca="false">IF(A146="","",MAX(0,F146-H146))</f>
        <v/>
      </c>
      <c r="J146" s="41" t="str">
        <f aca="false">IF(A146="","",ROUND(I146*N(INPUT!L142),2))</f>
        <v/>
      </c>
      <c r="K146" s="40" t="str">
        <f aca="false">IF(A146="","",INPUT!H142)</f>
        <v/>
      </c>
      <c r="L146" s="40" t="str">
        <f aca="false">IF(A146="","",IF(G146=0,"No matching visits",IF(I146&gt;0,"Units exceed visits",IF(E146&lt;&gt;G146,"Day count differs","OK"))))</f>
        <v/>
      </c>
      <c r="M146" s="40" t="str">
        <f aca="false">IF(A146="","",IF(L146="OK","",IF(K146="Hold","On hold","Review before paying")))</f>
        <v/>
      </c>
    </row>
    <row r="147" customFormat="false" ht="15" hidden="false" customHeight="false" outlineLevel="0" collapsed="false">
      <c r="A147" s="21" t="str">
        <f aca="false">IF(INPUT!B143="","",INPUT!A143)</f>
        <v/>
      </c>
      <c r="B147" s="26" t="str">
        <f aca="false">IF(A147="","",INPUT!B143)</f>
        <v/>
      </c>
      <c r="C147" s="26" t="str">
        <f aca="false">IF(A147="","",INPUT!C143)</f>
        <v/>
      </c>
      <c r="D147" s="40" t="str">
        <f aca="false">IF(A147="","",INPUT!D143)</f>
        <v/>
      </c>
      <c r="E147" s="27" t="str">
        <f aca="false">IF(A147="","",N(INPUT!E143))</f>
        <v/>
      </c>
      <c r="F147" s="27" t="str">
        <f aca="false">IF(A147="","",N(INPUT!F143))</f>
        <v/>
      </c>
      <c r="G147" s="27" t="str">
        <f aca="false">IF(A147="","",COUNTIFS(vis_CGID,INPUT!J143,vis_ClientID,INPUT!K143,vis_Svc,D147,vis_Status,"Verified",vis_InWeek,"Yes"))</f>
        <v/>
      </c>
      <c r="H147" s="27" t="str">
        <f aca="false">IF(A147="","",SUMIFS(vis_Units,vis_CGID,INPUT!J143,vis_ClientID,INPUT!K143,vis_Svc,D147,vis_Status,"Verified",vis_InWeek,"Yes"))</f>
        <v/>
      </c>
      <c r="I147" s="45" t="str">
        <f aca="false">IF(A147="","",MAX(0,F147-H147))</f>
        <v/>
      </c>
      <c r="J147" s="41" t="str">
        <f aca="false">IF(A147="","",ROUND(I147*N(INPUT!L143),2))</f>
        <v/>
      </c>
      <c r="K147" s="40" t="str">
        <f aca="false">IF(A147="","",INPUT!H143)</f>
        <v/>
      </c>
      <c r="L147" s="40" t="str">
        <f aca="false">IF(A147="","",IF(G147=0,"No matching visits",IF(I147&gt;0,"Units exceed visits",IF(E147&lt;&gt;G147,"Day count differs","OK"))))</f>
        <v/>
      </c>
      <c r="M147" s="40" t="str">
        <f aca="false">IF(A147="","",IF(L147="OK","",IF(K147="Hold","On hold","Review before paying")))</f>
        <v/>
      </c>
    </row>
    <row r="148" customFormat="false" ht="15" hidden="false" customHeight="false" outlineLevel="0" collapsed="false">
      <c r="A148" s="21" t="str">
        <f aca="false">IF(INPUT!B144="","",INPUT!A144)</f>
        <v/>
      </c>
      <c r="B148" s="26" t="str">
        <f aca="false">IF(A148="","",INPUT!B144)</f>
        <v/>
      </c>
      <c r="C148" s="26" t="str">
        <f aca="false">IF(A148="","",INPUT!C144)</f>
        <v/>
      </c>
      <c r="D148" s="40" t="str">
        <f aca="false">IF(A148="","",INPUT!D144)</f>
        <v/>
      </c>
      <c r="E148" s="27" t="str">
        <f aca="false">IF(A148="","",N(INPUT!E144))</f>
        <v/>
      </c>
      <c r="F148" s="27" t="str">
        <f aca="false">IF(A148="","",N(INPUT!F144))</f>
        <v/>
      </c>
      <c r="G148" s="27" t="str">
        <f aca="false">IF(A148="","",COUNTIFS(vis_CGID,INPUT!J144,vis_ClientID,INPUT!K144,vis_Svc,D148,vis_Status,"Verified",vis_InWeek,"Yes"))</f>
        <v/>
      </c>
      <c r="H148" s="27" t="str">
        <f aca="false">IF(A148="","",SUMIFS(vis_Units,vis_CGID,INPUT!J144,vis_ClientID,INPUT!K144,vis_Svc,D148,vis_Status,"Verified",vis_InWeek,"Yes"))</f>
        <v/>
      </c>
      <c r="I148" s="45" t="str">
        <f aca="false">IF(A148="","",MAX(0,F148-H148))</f>
        <v/>
      </c>
      <c r="J148" s="41" t="str">
        <f aca="false">IF(A148="","",ROUND(I148*N(INPUT!L144),2))</f>
        <v/>
      </c>
      <c r="K148" s="40" t="str">
        <f aca="false">IF(A148="","",INPUT!H144)</f>
        <v/>
      </c>
      <c r="L148" s="40" t="str">
        <f aca="false">IF(A148="","",IF(G148=0,"No matching visits",IF(I148&gt;0,"Units exceed visits",IF(E148&lt;&gt;G148,"Day count differs","OK"))))</f>
        <v/>
      </c>
      <c r="M148" s="40" t="str">
        <f aca="false">IF(A148="","",IF(L148="OK","",IF(K148="Hold","On hold","Review before paying")))</f>
        <v/>
      </c>
    </row>
    <row r="149" customFormat="false" ht="15" hidden="false" customHeight="false" outlineLevel="0" collapsed="false">
      <c r="A149" s="21" t="str">
        <f aca="false">IF(INPUT!B145="","",INPUT!A145)</f>
        <v/>
      </c>
      <c r="B149" s="26" t="str">
        <f aca="false">IF(A149="","",INPUT!B145)</f>
        <v/>
      </c>
      <c r="C149" s="26" t="str">
        <f aca="false">IF(A149="","",INPUT!C145)</f>
        <v/>
      </c>
      <c r="D149" s="40" t="str">
        <f aca="false">IF(A149="","",INPUT!D145)</f>
        <v/>
      </c>
      <c r="E149" s="27" t="str">
        <f aca="false">IF(A149="","",N(INPUT!E145))</f>
        <v/>
      </c>
      <c r="F149" s="27" t="str">
        <f aca="false">IF(A149="","",N(INPUT!F145))</f>
        <v/>
      </c>
      <c r="G149" s="27" t="str">
        <f aca="false">IF(A149="","",COUNTIFS(vis_CGID,INPUT!J145,vis_ClientID,INPUT!K145,vis_Svc,D149,vis_Status,"Verified",vis_InWeek,"Yes"))</f>
        <v/>
      </c>
      <c r="H149" s="27" t="str">
        <f aca="false">IF(A149="","",SUMIFS(vis_Units,vis_CGID,INPUT!J145,vis_ClientID,INPUT!K145,vis_Svc,D149,vis_Status,"Verified",vis_InWeek,"Yes"))</f>
        <v/>
      </c>
      <c r="I149" s="45" t="str">
        <f aca="false">IF(A149="","",MAX(0,F149-H149))</f>
        <v/>
      </c>
      <c r="J149" s="41" t="str">
        <f aca="false">IF(A149="","",ROUND(I149*N(INPUT!L145),2))</f>
        <v/>
      </c>
      <c r="K149" s="40" t="str">
        <f aca="false">IF(A149="","",INPUT!H145)</f>
        <v/>
      </c>
      <c r="L149" s="40" t="str">
        <f aca="false">IF(A149="","",IF(G149=0,"No matching visits",IF(I149&gt;0,"Units exceed visits",IF(E149&lt;&gt;G149,"Day count differs","OK"))))</f>
        <v/>
      </c>
      <c r="M149" s="40" t="str">
        <f aca="false">IF(A149="","",IF(L149="OK","",IF(K149="Hold","On hold","Review before paying")))</f>
        <v/>
      </c>
    </row>
    <row r="150" customFormat="false" ht="15" hidden="false" customHeight="false" outlineLevel="0" collapsed="false">
      <c r="A150" s="21" t="str">
        <f aca="false">IF(INPUT!B146="","",INPUT!A146)</f>
        <v/>
      </c>
      <c r="B150" s="26" t="str">
        <f aca="false">IF(A150="","",INPUT!B146)</f>
        <v/>
      </c>
      <c r="C150" s="26" t="str">
        <f aca="false">IF(A150="","",INPUT!C146)</f>
        <v/>
      </c>
      <c r="D150" s="40" t="str">
        <f aca="false">IF(A150="","",INPUT!D146)</f>
        <v/>
      </c>
      <c r="E150" s="27" t="str">
        <f aca="false">IF(A150="","",N(INPUT!E146))</f>
        <v/>
      </c>
      <c r="F150" s="27" t="str">
        <f aca="false">IF(A150="","",N(INPUT!F146))</f>
        <v/>
      </c>
      <c r="G150" s="27" t="str">
        <f aca="false">IF(A150="","",COUNTIFS(vis_CGID,INPUT!J146,vis_ClientID,INPUT!K146,vis_Svc,D150,vis_Status,"Verified",vis_InWeek,"Yes"))</f>
        <v/>
      </c>
      <c r="H150" s="27" t="str">
        <f aca="false">IF(A150="","",SUMIFS(vis_Units,vis_CGID,INPUT!J146,vis_ClientID,INPUT!K146,vis_Svc,D150,vis_Status,"Verified",vis_InWeek,"Yes"))</f>
        <v/>
      </c>
      <c r="I150" s="45" t="str">
        <f aca="false">IF(A150="","",MAX(0,F150-H150))</f>
        <v/>
      </c>
      <c r="J150" s="41" t="str">
        <f aca="false">IF(A150="","",ROUND(I150*N(INPUT!L146),2))</f>
        <v/>
      </c>
      <c r="K150" s="40" t="str">
        <f aca="false">IF(A150="","",INPUT!H146)</f>
        <v/>
      </c>
      <c r="L150" s="40" t="str">
        <f aca="false">IF(A150="","",IF(G150=0,"No matching visits",IF(I150&gt;0,"Units exceed visits",IF(E150&lt;&gt;G150,"Day count differs","OK"))))</f>
        <v/>
      </c>
      <c r="M150" s="40" t="str">
        <f aca="false">IF(A150="","",IF(L150="OK","",IF(K150="Hold","On hold","Review before paying")))</f>
        <v/>
      </c>
    </row>
    <row r="151" customFormat="false" ht="15" hidden="false" customHeight="false" outlineLevel="0" collapsed="false">
      <c r="A151" s="21" t="str">
        <f aca="false">IF(INPUT!B147="","",INPUT!A147)</f>
        <v/>
      </c>
      <c r="B151" s="26" t="str">
        <f aca="false">IF(A151="","",INPUT!B147)</f>
        <v/>
      </c>
      <c r="C151" s="26" t="str">
        <f aca="false">IF(A151="","",INPUT!C147)</f>
        <v/>
      </c>
      <c r="D151" s="40" t="str">
        <f aca="false">IF(A151="","",INPUT!D147)</f>
        <v/>
      </c>
      <c r="E151" s="27" t="str">
        <f aca="false">IF(A151="","",N(INPUT!E147))</f>
        <v/>
      </c>
      <c r="F151" s="27" t="str">
        <f aca="false">IF(A151="","",N(INPUT!F147))</f>
        <v/>
      </c>
      <c r="G151" s="27" t="str">
        <f aca="false">IF(A151="","",COUNTIFS(vis_CGID,INPUT!J147,vis_ClientID,INPUT!K147,vis_Svc,D151,vis_Status,"Verified",vis_InWeek,"Yes"))</f>
        <v/>
      </c>
      <c r="H151" s="27" t="str">
        <f aca="false">IF(A151="","",SUMIFS(vis_Units,vis_CGID,INPUT!J147,vis_ClientID,INPUT!K147,vis_Svc,D151,vis_Status,"Verified",vis_InWeek,"Yes"))</f>
        <v/>
      </c>
      <c r="I151" s="45" t="str">
        <f aca="false">IF(A151="","",MAX(0,F151-H151))</f>
        <v/>
      </c>
      <c r="J151" s="41" t="str">
        <f aca="false">IF(A151="","",ROUND(I151*N(INPUT!L147),2))</f>
        <v/>
      </c>
      <c r="K151" s="40" t="str">
        <f aca="false">IF(A151="","",INPUT!H147)</f>
        <v/>
      </c>
      <c r="L151" s="40" t="str">
        <f aca="false">IF(A151="","",IF(G151=0,"No matching visits",IF(I151&gt;0,"Units exceed visits",IF(E151&lt;&gt;G151,"Day count differs","OK"))))</f>
        <v/>
      </c>
      <c r="M151" s="40" t="str">
        <f aca="false">IF(A151="","",IF(L151="OK","",IF(K151="Hold","On hold","Review before paying")))</f>
        <v/>
      </c>
    </row>
    <row r="152" customFormat="false" ht="15" hidden="false" customHeight="false" outlineLevel="0" collapsed="false">
      <c r="A152" s="21" t="str">
        <f aca="false">IF(INPUT!B148="","",INPUT!A148)</f>
        <v/>
      </c>
      <c r="B152" s="26" t="str">
        <f aca="false">IF(A152="","",INPUT!B148)</f>
        <v/>
      </c>
      <c r="C152" s="26" t="str">
        <f aca="false">IF(A152="","",INPUT!C148)</f>
        <v/>
      </c>
      <c r="D152" s="40" t="str">
        <f aca="false">IF(A152="","",INPUT!D148)</f>
        <v/>
      </c>
      <c r="E152" s="27" t="str">
        <f aca="false">IF(A152="","",N(INPUT!E148))</f>
        <v/>
      </c>
      <c r="F152" s="27" t="str">
        <f aca="false">IF(A152="","",N(INPUT!F148))</f>
        <v/>
      </c>
      <c r="G152" s="27" t="str">
        <f aca="false">IF(A152="","",COUNTIFS(vis_CGID,INPUT!J148,vis_ClientID,INPUT!K148,vis_Svc,D152,vis_Status,"Verified",vis_InWeek,"Yes"))</f>
        <v/>
      </c>
      <c r="H152" s="27" t="str">
        <f aca="false">IF(A152="","",SUMIFS(vis_Units,vis_CGID,INPUT!J148,vis_ClientID,INPUT!K148,vis_Svc,D152,vis_Status,"Verified",vis_InWeek,"Yes"))</f>
        <v/>
      </c>
      <c r="I152" s="45" t="str">
        <f aca="false">IF(A152="","",MAX(0,F152-H152))</f>
        <v/>
      </c>
      <c r="J152" s="41" t="str">
        <f aca="false">IF(A152="","",ROUND(I152*N(INPUT!L148),2))</f>
        <v/>
      </c>
      <c r="K152" s="40" t="str">
        <f aca="false">IF(A152="","",INPUT!H148)</f>
        <v/>
      </c>
      <c r="L152" s="40" t="str">
        <f aca="false">IF(A152="","",IF(G152=0,"No matching visits",IF(I152&gt;0,"Units exceed visits",IF(E152&lt;&gt;G152,"Day count differs","OK"))))</f>
        <v/>
      </c>
      <c r="M152" s="40" t="str">
        <f aca="false">IF(A152="","",IF(L152="OK","",IF(K152="Hold","On hold","Review before paying")))</f>
        <v/>
      </c>
    </row>
    <row r="153" customFormat="false" ht="15" hidden="false" customHeight="false" outlineLevel="0" collapsed="false">
      <c r="A153" s="21" t="str">
        <f aca="false">IF(INPUT!B149="","",INPUT!A149)</f>
        <v/>
      </c>
      <c r="B153" s="26" t="str">
        <f aca="false">IF(A153="","",INPUT!B149)</f>
        <v/>
      </c>
      <c r="C153" s="26" t="str">
        <f aca="false">IF(A153="","",INPUT!C149)</f>
        <v/>
      </c>
      <c r="D153" s="40" t="str">
        <f aca="false">IF(A153="","",INPUT!D149)</f>
        <v/>
      </c>
      <c r="E153" s="27" t="str">
        <f aca="false">IF(A153="","",N(INPUT!E149))</f>
        <v/>
      </c>
      <c r="F153" s="27" t="str">
        <f aca="false">IF(A153="","",N(INPUT!F149))</f>
        <v/>
      </c>
      <c r="G153" s="27" t="str">
        <f aca="false">IF(A153="","",COUNTIFS(vis_CGID,INPUT!J149,vis_ClientID,INPUT!K149,vis_Svc,D153,vis_Status,"Verified",vis_InWeek,"Yes"))</f>
        <v/>
      </c>
      <c r="H153" s="27" t="str">
        <f aca="false">IF(A153="","",SUMIFS(vis_Units,vis_CGID,INPUT!J149,vis_ClientID,INPUT!K149,vis_Svc,D153,vis_Status,"Verified",vis_InWeek,"Yes"))</f>
        <v/>
      </c>
      <c r="I153" s="45" t="str">
        <f aca="false">IF(A153="","",MAX(0,F153-H153))</f>
        <v/>
      </c>
      <c r="J153" s="41" t="str">
        <f aca="false">IF(A153="","",ROUND(I153*N(INPUT!L149),2))</f>
        <v/>
      </c>
      <c r="K153" s="40" t="str">
        <f aca="false">IF(A153="","",INPUT!H149)</f>
        <v/>
      </c>
      <c r="L153" s="40" t="str">
        <f aca="false">IF(A153="","",IF(G153=0,"No matching visits",IF(I153&gt;0,"Units exceed visits",IF(E153&lt;&gt;G153,"Day count differs","OK"))))</f>
        <v/>
      </c>
      <c r="M153" s="40" t="str">
        <f aca="false">IF(A153="","",IF(L153="OK","",IF(K153="Hold","On hold","Review before paying")))</f>
        <v/>
      </c>
    </row>
    <row r="154" customFormat="false" ht="15" hidden="false" customHeight="false" outlineLevel="0" collapsed="false">
      <c r="A154" s="21" t="str">
        <f aca="false">IF(INPUT!B150="","",INPUT!A150)</f>
        <v/>
      </c>
      <c r="B154" s="26" t="str">
        <f aca="false">IF(A154="","",INPUT!B150)</f>
        <v/>
      </c>
      <c r="C154" s="26" t="str">
        <f aca="false">IF(A154="","",INPUT!C150)</f>
        <v/>
      </c>
      <c r="D154" s="40" t="str">
        <f aca="false">IF(A154="","",INPUT!D150)</f>
        <v/>
      </c>
      <c r="E154" s="27" t="str">
        <f aca="false">IF(A154="","",N(INPUT!E150))</f>
        <v/>
      </c>
      <c r="F154" s="27" t="str">
        <f aca="false">IF(A154="","",N(INPUT!F150))</f>
        <v/>
      </c>
      <c r="G154" s="27" t="str">
        <f aca="false">IF(A154="","",COUNTIFS(vis_CGID,INPUT!J150,vis_ClientID,INPUT!K150,vis_Svc,D154,vis_Status,"Verified",vis_InWeek,"Yes"))</f>
        <v/>
      </c>
      <c r="H154" s="27" t="str">
        <f aca="false">IF(A154="","",SUMIFS(vis_Units,vis_CGID,INPUT!J150,vis_ClientID,INPUT!K150,vis_Svc,D154,vis_Status,"Verified",vis_InWeek,"Yes"))</f>
        <v/>
      </c>
      <c r="I154" s="45" t="str">
        <f aca="false">IF(A154="","",MAX(0,F154-H154))</f>
        <v/>
      </c>
      <c r="J154" s="41" t="str">
        <f aca="false">IF(A154="","",ROUND(I154*N(INPUT!L150),2))</f>
        <v/>
      </c>
      <c r="K154" s="40" t="str">
        <f aca="false">IF(A154="","",INPUT!H150)</f>
        <v/>
      </c>
      <c r="L154" s="40" t="str">
        <f aca="false">IF(A154="","",IF(G154=0,"No matching visits",IF(I154&gt;0,"Units exceed visits",IF(E154&lt;&gt;G154,"Day count differs","OK"))))</f>
        <v/>
      </c>
      <c r="M154" s="40" t="str">
        <f aca="false">IF(A154="","",IF(L154="OK","",IF(K154="Hold","On hold","Review before paying")))</f>
        <v/>
      </c>
    </row>
    <row r="155" customFormat="false" ht="15" hidden="false" customHeight="false" outlineLevel="0" collapsed="false">
      <c r="A155" s="21" t="str">
        <f aca="false">IF(INPUT!B151="","",INPUT!A151)</f>
        <v/>
      </c>
      <c r="B155" s="26" t="str">
        <f aca="false">IF(A155="","",INPUT!B151)</f>
        <v/>
      </c>
      <c r="C155" s="26" t="str">
        <f aca="false">IF(A155="","",INPUT!C151)</f>
        <v/>
      </c>
      <c r="D155" s="40" t="str">
        <f aca="false">IF(A155="","",INPUT!D151)</f>
        <v/>
      </c>
      <c r="E155" s="27" t="str">
        <f aca="false">IF(A155="","",N(INPUT!E151))</f>
        <v/>
      </c>
      <c r="F155" s="27" t="str">
        <f aca="false">IF(A155="","",N(INPUT!F151))</f>
        <v/>
      </c>
      <c r="G155" s="27" t="str">
        <f aca="false">IF(A155="","",COUNTIFS(vis_CGID,INPUT!J151,vis_ClientID,INPUT!K151,vis_Svc,D155,vis_Status,"Verified",vis_InWeek,"Yes"))</f>
        <v/>
      </c>
      <c r="H155" s="27" t="str">
        <f aca="false">IF(A155="","",SUMIFS(vis_Units,vis_CGID,INPUT!J151,vis_ClientID,INPUT!K151,vis_Svc,D155,vis_Status,"Verified",vis_InWeek,"Yes"))</f>
        <v/>
      </c>
      <c r="I155" s="45" t="str">
        <f aca="false">IF(A155="","",MAX(0,F155-H155))</f>
        <v/>
      </c>
      <c r="J155" s="41" t="str">
        <f aca="false">IF(A155="","",ROUND(I155*N(INPUT!L151),2))</f>
        <v/>
      </c>
      <c r="K155" s="40" t="str">
        <f aca="false">IF(A155="","",INPUT!H151)</f>
        <v/>
      </c>
      <c r="L155" s="40" t="str">
        <f aca="false">IF(A155="","",IF(G155=0,"No matching visits",IF(I155&gt;0,"Units exceed visits",IF(E155&lt;&gt;G155,"Day count differs","OK"))))</f>
        <v/>
      </c>
      <c r="M155" s="40" t="str">
        <f aca="false">IF(A155="","",IF(L155="OK","",IF(K155="Hold","On hold","Review before paying")))</f>
        <v/>
      </c>
    </row>
    <row r="156" customFormat="false" ht="15" hidden="false" customHeight="false" outlineLevel="0" collapsed="false">
      <c r="A156" s="21" t="str">
        <f aca="false">IF(INPUT!B152="","",INPUT!A152)</f>
        <v/>
      </c>
      <c r="B156" s="26" t="str">
        <f aca="false">IF(A156="","",INPUT!B152)</f>
        <v/>
      </c>
      <c r="C156" s="26" t="str">
        <f aca="false">IF(A156="","",INPUT!C152)</f>
        <v/>
      </c>
      <c r="D156" s="40" t="str">
        <f aca="false">IF(A156="","",INPUT!D152)</f>
        <v/>
      </c>
      <c r="E156" s="27" t="str">
        <f aca="false">IF(A156="","",N(INPUT!E152))</f>
        <v/>
      </c>
      <c r="F156" s="27" t="str">
        <f aca="false">IF(A156="","",N(INPUT!F152))</f>
        <v/>
      </c>
      <c r="G156" s="27" t="str">
        <f aca="false">IF(A156="","",COUNTIFS(vis_CGID,INPUT!J152,vis_ClientID,INPUT!K152,vis_Svc,D156,vis_Status,"Verified",vis_InWeek,"Yes"))</f>
        <v/>
      </c>
      <c r="H156" s="27" t="str">
        <f aca="false">IF(A156="","",SUMIFS(vis_Units,vis_CGID,INPUT!J152,vis_ClientID,INPUT!K152,vis_Svc,D156,vis_Status,"Verified",vis_InWeek,"Yes"))</f>
        <v/>
      </c>
      <c r="I156" s="45" t="str">
        <f aca="false">IF(A156="","",MAX(0,F156-H156))</f>
        <v/>
      </c>
      <c r="J156" s="41" t="str">
        <f aca="false">IF(A156="","",ROUND(I156*N(INPUT!L152),2))</f>
        <v/>
      </c>
      <c r="K156" s="40" t="str">
        <f aca="false">IF(A156="","",INPUT!H152)</f>
        <v/>
      </c>
      <c r="L156" s="40" t="str">
        <f aca="false">IF(A156="","",IF(G156=0,"No matching visits",IF(I156&gt;0,"Units exceed visits",IF(E156&lt;&gt;G156,"Day count differs","OK"))))</f>
        <v/>
      </c>
      <c r="M156" s="40" t="str">
        <f aca="false">IF(A156="","",IF(L156="OK","",IF(K156="Hold","On hold","Review before paying")))</f>
        <v/>
      </c>
    </row>
    <row r="157" customFormat="false" ht="15" hidden="false" customHeight="false" outlineLevel="0" collapsed="false">
      <c r="A157" s="21" t="str">
        <f aca="false">IF(INPUT!B153="","",INPUT!A153)</f>
        <v/>
      </c>
      <c r="B157" s="26" t="str">
        <f aca="false">IF(A157="","",INPUT!B153)</f>
        <v/>
      </c>
      <c r="C157" s="26" t="str">
        <f aca="false">IF(A157="","",INPUT!C153)</f>
        <v/>
      </c>
      <c r="D157" s="40" t="str">
        <f aca="false">IF(A157="","",INPUT!D153)</f>
        <v/>
      </c>
      <c r="E157" s="27" t="str">
        <f aca="false">IF(A157="","",N(INPUT!E153))</f>
        <v/>
      </c>
      <c r="F157" s="27" t="str">
        <f aca="false">IF(A157="","",N(INPUT!F153))</f>
        <v/>
      </c>
      <c r="G157" s="27" t="str">
        <f aca="false">IF(A157="","",COUNTIFS(vis_CGID,INPUT!J153,vis_ClientID,INPUT!K153,vis_Svc,D157,vis_Status,"Verified",vis_InWeek,"Yes"))</f>
        <v/>
      </c>
      <c r="H157" s="27" t="str">
        <f aca="false">IF(A157="","",SUMIFS(vis_Units,vis_CGID,INPUT!J153,vis_ClientID,INPUT!K153,vis_Svc,D157,vis_Status,"Verified",vis_InWeek,"Yes"))</f>
        <v/>
      </c>
      <c r="I157" s="45" t="str">
        <f aca="false">IF(A157="","",MAX(0,F157-H157))</f>
        <v/>
      </c>
      <c r="J157" s="41" t="str">
        <f aca="false">IF(A157="","",ROUND(I157*N(INPUT!L153),2))</f>
        <v/>
      </c>
      <c r="K157" s="40" t="str">
        <f aca="false">IF(A157="","",INPUT!H153)</f>
        <v/>
      </c>
      <c r="L157" s="40" t="str">
        <f aca="false">IF(A157="","",IF(G157=0,"No matching visits",IF(I157&gt;0,"Units exceed visits",IF(E157&lt;&gt;G157,"Day count differs","OK"))))</f>
        <v/>
      </c>
      <c r="M157" s="40" t="str">
        <f aca="false">IF(A157="","",IF(L157="OK","",IF(K157="Hold","On hold","Review before paying")))</f>
        <v/>
      </c>
    </row>
    <row r="158" customFormat="false" ht="15" hidden="false" customHeight="false" outlineLevel="0" collapsed="false">
      <c r="A158" s="21" t="str">
        <f aca="false">IF(INPUT!B154="","",INPUT!A154)</f>
        <v/>
      </c>
      <c r="B158" s="26" t="str">
        <f aca="false">IF(A158="","",INPUT!B154)</f>
        <v/>
      </c>
      <c r="C158" s="26" t="str">
        <f aca="false">IF(A158="","",INPUT!C154)</f>
        <v/>
      </c>
      <c r="D158" s="40" t="str">
        <f aca="false">IF(A158="","",INPUT!D154)</f>
        <v/>
      </c>
      <c r="E158" s="27" t="str">
        <f aca="false">IF(A158="","",N(INPUT!E154))</f>
        <v/>
      </c>
      <c r="F158" s="27" t="str">
        <f aca="false">IF(A158="","",N(INPUT!F154))</f>
        <v/>
      </c>
      <c r="G158" s="27" t="str">
        <f aca="false">IF(A158="","",COUNTIFS(vis_CGID,INPUT!J154,vis_ClientID,INPUT!K154,vis_Svc,D158,vis_Status,"Verified",vis_InWeek,"Yes"))</f>
        <v/>
      </c>
      <c r="H158" s="27" t="str">
        <f aca="false">IF(A158="","",SUMIFS(vis_Units,vis_CGID,INPUT!J154,vis_ClientID,INPUT!K154,vis_Svc,D158,vis_Status,"Verified",vis_InWeek,"Yes"))</f>
        <v/>
      </c>
      <c r="I158" s="45" t="str">
        <f aca="false">IF(A158="","",MAX(0,F158-H158))</f>
        <v/>
      </c>
      <c r="J158" s="41" t="str">
        <f aca="false">IF(A158="","",ROUND(I158*N(INPUT!L154),2))</f>
        <v/>
      </c>
      <c r="K158" s="40" t="str">
        <f aca="false">IF(A158="","",INPUT!H154)</f>
        <v/>
      </c>
      <c r="L158" s="40" t="str">
        <f aca="false">IF(A158="","",IF(G158=0,"No matching visits",IF(I158&gt;0,"Units exceed visits",IF(E158&lt;&gt;G158,"Day count differs","OK"))))</f>
        <v/>
      </c>
      <c r="M158" s="40" t="str">
        <f aca="false">IF(A158="","",IF(L158="OK","",IF(K158="Hold","On hold","Review before paying")))</f>
        <v/>
      </c>
    </row>
    <row r="159" customFormat="false" ht="15" hidden="false" customHeight="false" outlineLevel="0" collapsed="false">
      <c r="A159" s="21" t="str">
        <f aca="false">IF(INPUT!B155="","",INPUT!A155)</f>
        <v/>
      </c>
      <c r="B159" s="26" t="str">
        <f aca="false">IF(A159="","",INPUT!B155)</f>
        <v/>
      </c>
      <c r="C159" s="26" t="str">
        <f aca="false">IF(A159="","",INPUT!C155)</f>
        <v/>
      </c>
      <c r="D159" s="40" t="str">
        <f aca="false">IF(A159="","",INPUT!D155)</f>
        <v/>
      </c>
      <c r="E159" s="27" t="str">
        <f aca="false">IF(A159="","",N(INPUT!E155))</f>
        <v/>
      </c>
      <c r="F159" s="27" t="str">
        <f aca="false">IF(A159="","",N(INPUT!F155))</f>
        <v/>
      </c>
      <c r="G159" s="27" t="str">
        <f aca="false">IF(A159="","",COUNTIFS(vis_CGID,INPUT!J155,vis_ClientID,INPUT!K155,vis_Svc,D159,vis_Status,"Verified",vis_InWeek,"Yes"))</f>
        <v/>
      </c>
      <c r="H159" s="27" t="str">
        <f aca="false">IF(A159="","",SUMIFS(vis_Units,vis_CGID,INPUT!J155,vis_ClientID,INPUT!K155,vis_Svc,D159,vis_Status,"Verified",vis_InWeek,"Yes"))</f>
        <v/>
      </c>
      <c r="I159" s="45" t="str">
        <f aca="false">IF(A159="","",MAX(0,F159-H159))</f>
        <v/>
      </c>
      <c r="J159" s="41" t="str">
        <f aca="false">IF(A159="","",ROUND(I159*N(INPUT!L155),2))</f>
        <v/>
      </c>
      <c r="K159" s="40" t="str">
        <f aca="false">IF(A159="","",INPUT!H155)</f>
        <v/>
      </c>
      <c r="L159" s="40" t="str">
        <f aca="false">IF(A159="","",IF(G159=0,"No matching visits",IF(I159&gt;0,"Units exceed visits",IF(E159&lt;&gt;G159,"Day count differs","OK"))))</f>
        <v/>
      </c>
      <c r="M159" s="40" t="str">
        <f aca="false">IF(A159="","",IF(L159="OK","",IF(K159="Hold","On hold","Review before paying")))</f>
        <v/>
      </c>
    </row>
    <row r="160" customFormat="false" ht="15" hidden="false" customHeight="false" outlineLevel="0" collapsed="false">
      <c r="A160" s="21" t="str">
        <f aca="false">IF(INPUT!B156="","",INPUT!A156)</f>
        <v/>
      </c>
      <c r="B160" s="26" t="str">
        <f aca="false">IF(A160="","",INPUT!B156)</f>
        <v/>
      </c>
      <c r="C160" s="26" t="str">
        <f aca="false">IF(A160="","",INPUT!C156)</f>
        <v/>
      </c>
      <c r="D160" s="40" t="str">
        <f aca="false">IF(A160="","",INPUT!D156)</f>
        <v/>
      </c>
      <c r="E160" s="27" t="str">
        <f aca="false">IF(A160="","",N(INPUT!E156))</f>
        <v/>
      </c>
      <c r="F160" s="27" t="str">
        <f aca="false">IF(A160="","",N(INPUT!F156))</f>
        <v/>
      </c>
      <c r="G160" s="27" t="str">
        <f aca="false">IF(A160="","",COUNTIFS(vis_CGID,INPUT!J156,vis_ClientID,INPUT!K156,vis_Svc,D160,vis_Status,"Verified",vis_InWeek,"Yes"))</f>
        <v/>
      </c>
      <c r="H160" s="27" t="str">
        <f aca="false">IF(A160="","",SUMIFS(vis_Units,vis_CGID,INPUT!J156,vis_ClientID,INPUT!K156,vis_Svc,D160,vis_Status,"Verified",vis_InWeek,"Yes"))</f>
        <v/>
      </c>
      <c r="I160" s="45" t="str">
        <f aca="false">IF(A160="","",MAX(0,F160-H160))</f>
        <v/>
      </c>
      <c r="J160" s="41" t="str">
        <f aca="false">IF(A160="","",ROUND(I160*N(INPUT!L156),2))</f>
        <v/>
      </c>
      <c r="K160" s="40" t="str">
        <f aca="false">IF(A160="","",INPUT!H156)</f>
        <v/>
      </c>
      <c r="L160" s="40" t="str">
        <f aca="false">IF(A160="","",IF(G160=0,"No matching visits",IF(I160&gt;0,"Units exceed visits",IF(E160&lt;&gt;G160,"Day count differs","OK"))))</f>
        <v/>
      </c>
      <c r="M160" s="40" t="str">
        <f aca="false">IF(A160="","",IF(L160="OK","",IF(K160="Hold","On hold","Review before paying")))</f>
        <v/>
      </c>
    </row>
    <row r="161" customFormat="false" ht="15" hidden="false" customHeight="false" outlineLevel="0" collapsed="false">
      <c r="A161" s="21" t="str">
        <f aca="false">IF(INPUT!B157="","",INPUT!A157)</f>
        <v/>
      </c>
      <c r="B161" s="26" t="str">
        <f aca="false">IF(A161="","",INPUT!B157)</f>
        <v/>
      </c>
      <c r="C161" s="26" t="str">
        <f aca="false">IF(A161="","",INPUT!C157)</f>
        <v/>
      </c>
      <c r="D161" s="40" t="str">
        <f aca="false">IF(A161="","",INPUT!D157)</f>
        <v/>
      </c>
      <c r="E161" s="27" t="str">
        <f aca="false">IF(A161="","",N(INPUT!E157))</f>
        <v/>
      </c>
      <c r="F161" s="27" t="str">
        <f aca="false">IF(A161="","",N(INPUT!F157))</f>
        <v/>
      </c>
      <c r="G161" s="27" t="str">
        <f aca="false">IF(A161="","",COUNTIFS(vis_CGID,INPUT!J157,vis_ClientID,INPUT!K157,vis_Svc,D161,vis_Status,"Verified",vis_InWeek,"Yes"))</f>
        <v/>
      </c>
      <c r="H161" s="27" t="str">
        <f aca="false">IF(A161="","",SUMIFS(vis_Units,vis_CGID,INPUT!J157,vis_ClientID,INPUT!K157,vis_Svc,D161,vis_Status,"Verified",vis_InWeek,"Yes"))</f>
        <v/>
      </c>
      <c r="I161" s="45" t="str">
        <f aca="false">IF(A161="","",MAX(0,F161-H161))</f>
        <v/>
      </c>
      <c r="J161" s="41" t="str">
        <f aca="false">IF(A161="","",ROUND(I161*N(INPUT!L157),2))</f>
        <v/>
      </c>
      <c r="K161" s="40" t="str">
        <f aca="false">IF(A161="","",INPUT!H157)</f>
        <v/>
      </c>
      <c r="L161" s="40" t="str">
        <f aca="false">IF(A161="","",IF(G161=0,"No matching visits",IF(I161&gt;0,"Units exceed visits",IF(E161&lt;&gt;G161,"Day count differs","OK"))))</f>
        <v/>
      </c>
      <c r="M161" s="40" t="str">
        <f aca="false">IF(A161="","",IF(L161="OK","",IF(K161="Hold","On hold","Review before paying")))</f>
        <v/>
      </c>
    </row>
    <row r="162" customFormat="false" ht="15" hidden="false" customHeight="false" outlineLevel="0" collapsed="false">
      <c r="A162" s="21" t="str">
        <f aca="false">IF(INPUT!B158="","",INPUT!A158)</f>
        <v/>
      </c>
      <c r="B162" s="26" t="str">
        <f aca="false">IF(A162="","",INPUT!B158)</f>
        <v/>
      </c>
      <c r="C162" s="26" t="str">
        <f aca="false">IF(A162="","",INPUT!C158)</f>
        <v/>
      </c>
      <c r="D162" s="40" t="str">
        <f aca="false">IF(A162="","",INPUT!D158)</f>
        <v/>
      </c>
      <c r="E162" s="27" t="str">
        <f aca="false">IF(A162="","",N(INPUT!E158))</f>
        <v/>
      </c>
      <c r="F162" s="27" t="str">
        <f aca="false">IF(A162="","",N(INPUT!F158))</f>
        <v/>
      </c>
      <c r="G162" s="27" t="str">
        <f aca="false">IF(A162="","",COUNTIFS(vis_CGID,INPUT!J158,vis_ClientID,INPUT!K158,vis_Svc,D162,vis_Status,"Verified",vis_InWeek,"Yes"))</f>
        <v/>
      </c>
      <c r="H162" s="27" t="str">
        <f aca="false">IF(A162="","",SUMIFS(vis_Units,vis_CGID,INPUT!J158,vis_ClientID,INPUT!K158,vis_Svc,D162,vis_Status,"Verified",vis_InWeek,"Yes"))</f>
        <v/>
      </c>
      <c r="I162" s="45" t="str">
        <f aca="false">IF(A162="","",MAX(0,F162-H162))</f>
        <v/>
      </c>
      <c r="J162" s="41" t="str">
        <f aca="false">IF(A162="","",ROUND(I162*N(INPUT!L158),2))</f>
        <v/>
      </c>
      <c r="K162" s="40" t="str">
        <f aca="false">IF(A162="","",INPUT!H158)</f>
        <v/>
      </c>
      <c r="L162" s="40" t="str">
        <f aca="false">IF(A162="","",IF(G162=0,"No matching visits",IF(I162&gt;0,"Units exceed visits",IF(E162&lt;&gt;G162,"Day count differs","OK"))))</f>
        <v/>
      </c>
      <c r="M162" s="40" t="str">
        <f aca="false">IF(A162="","",IF(L162="OK","",IF(K162="Hold","On hold","Review before paying")))</f>
        <v/>
      </c>
    </row>
    <row r="163" customFormat="false" ht="15" hidden="false" customHeight="false" outlineLevel="0" collapsed="false">
      <c r="A163" s="21" t="str">
        <f aca="false">IF(INPUT!B159="","",INPUT!A159)</f>
        <v/>
      </c>
      <c r="B163" s="26" t="str">
        <f aca="false">IF(A163="","",INPUT!B159)</f>
        <v/>
      </c>
      <c r="C163" s="26" t="str">
        <f aca="false">IF(A163="","",INPUT!C159)</f>
        <v/>
      </c>
      <c r="D163" s="40" t="str">
        <f aca="false">IF(A163="","",INPUT!D159)</f>
        <v/>
      </c>
      <c r="E163" s="27" t="str">
        <f aca="false">IF(A163="","",N(INPUT!E159))</f>
        <v/>
      </c>
      <c r="F163" s="27" t="str">
        <f aca="false">IF(A163="","",N(INPUT!F159))</f>
        <v/>
      </c>
      <c r="G163" s="27" t="str">
        <f aca="false">IF(A163="","",COUNTIFS(vis_CGID,INPUT!J159,vis_ClientID,INPUT!K159,vis_Svc,D163,vis_Status,"Verified",vis_InWeek,"Yes"))</f>
        <v/>
      </c>
      <c r="H163" s="27" t="str">
        <f aca="false">IF(A163="","",SUMIFS(vis_Units,vis_CGID,INPUT!J159,vis_ClientID,INPUT!K159,vis_Svc,D163,vis_Status,"Verified",vis_InWeek,"Yes"))</f>
        <v/>
      </c>
      <c r="I163" s="45" t="str">
        <f aca="false">IF(A163="","",MAX(0,F163-H163))</f>
        <v/>
      </c>
      <c r="J163" s="41" t="str">
        <f aca="false">IF(A163="","",ROUND(I163*N(INPUT!L159),2))</f>
        <v/>
      </c>
      <c r="K163" s="40" t="str">
        <f aca="false">IF(A163="","",INPUT!H159)</f>
        <v/>
      </c>
      <c r="L163" s="40" t="str">
        <f aca="false">IF(A163="","",IF(G163=0,"No matching visits",IF(I163&gt;0,"Units exceed visits",IF(E163&lt;&gt;G163,"Day count differs","OK"))))</f>
        <v/>
      </c>
      <c r="M163" s="40" t="str">
        <f aca="false">IF(A163="","",IF(L163="OK","",IF(K163="Hold","On hold","Review before paying")))</f>
        <v/>
      </c>
    </row>
    <row r="164" customFormat="false" ht="15" hidden="false" customHeight="false" outlineLevel="0" collapsed="false">
      <c r="A164" s="21" t="str">
        <f aca="false">IF(INPUT!B160="","",INPUT!A160)</f>
        <v/>
      </c>
      <c r="B164" s="26" t="str">
        <f aca="false">IF(A164="","",INPUT!B160)</f>
        <v/>
      </c>
      <c r="C164" s="26" t="str">
        <f aca="false">IF(A164="","",INPUT!C160)</f>
        <v/>
      </c>
      <c r="D164" s="40" t="str">
        <f aca="false">IF(A164="","",INPUT!D160)</f>
        <v/>
      </c>
      <c r="E164" s="27" t="str">
        <f aca="false">IF(A164="","",N(INPUT!E160))</f>
        <v/>
      </c>
      <c r="F164" s="27" t="str">
        <f aca="false">IF(A164="","",N(INPUT!F160))</f>
        <v/>
      </c>
      <c r="G164" s="27" t="str">
        <f aca="false">IF(A164="","",COUNTIFS(vis_CGID,INPUT!J160,vis_ClientID,INPUT!K160,vis_Svc,D164,vis_Status,"Verified",vis_InWeek,"Yes"))</f>
        <v/>
      </c>
      <c r="H164" s="27" t="str">
        <f aca="false">IF(A164="","",SUMIFS(vis_Units,vis_CGID,INPUT!J160,vis_ClientID,INPUT!K160,vis_Svc,D164,vis_Status,"Verified",vis_InWeek,"Yes"))</f>
        <v/>
      </c>
      <c r="I164" s="45" t="str">
        <f aca="false">IF(A164="","",MAX(0,F164-H164))</f>
        <v/>
      </c>
      <c r="J164" s="41" t="str">
        <f aca="false">IF(A164="","",ROUND(I164*N(INPUT!L160),2))</f>
        <v/>
      </c>
      <c r="K164" s="40" t="str">
        <f aca="false">IF(A164="","",INPUT!H160)</f>
        <v/>
      </c>
      <c r="L164" s="40" t="str">
        <f aca="false">IF(A164="","",IF(G164=0,"No matching visits",IF(I164&gt;0,"Units exceed visits",IF(E164&lt;&gt;G164,"Day count differs","OK"))))</f>
        <v/>
      </c>
      <c r="M164" s="40" t="str">
        <f aca="false">IF(A164="","",IF(L164="OK","",IF(K164="Hold","On hold","Review before paying")))</f>
        <v/>
      </c>
    </row>
    <row r="165" customFormat="false" ht="15" hidden="false" customHeight="false" outlineLevel="0" collapsed="false">
      <c r="A165" s="21" t="str">
        <f aca="false">IF(INPUT!B161="","",INPUT!A161)</f>
        <v/>
      </c>
      <c r="B165" s="26" t="str">
        <f aca="false">IF(A165="","",INPUT!B161)</f>
        <v/>
      </c>
      <c r="C165" s="26" t="str">
        <f aca="false">IF(A165="","",INPUT!C161)</f>
        <v/>
      </c>
      <c r="D165" s="40" t="str">
        <f aca="false">IF(A165="","",INPUT!D161)</f>
        <v/>
      </c>
      <c r="E165" s="27" t="str">
        <f aca="false">IF(A165="","",N(INPUT!E161))</f>
        <v/>
      </c>
      <c r="F165" s="27" t="str">
        <f aca="false">IF(A165="","",N(INPUT!F161))</f>
        <v/>
      </c>
      <c r="G165" s="27" t="str">
        <f aca="false">IF(A165="","",COUNTIFS(vis_CGID,INPUT!J161,vis_ClientID,INPUT!K161,vis_Svc,D165,vis_Status,"Verified",vis_InWeek,"Yes"))</f>
        <v/>
      </c>
      <c r="H165" s="27" t="str">
        <f aca="false">IF(A165="","",SUMIFS(vis_Units,vis_CGID,INPUT!J161,vis_ClientID,INPUT!K161,vis_Svc,D165,vis_Status,"Verified",vis_InWeek,"Yes"))</f>
        <v/>
      </c>
      <c r="I165" s="45" t="str">
        <f aca="false">IF(A165="","",MAX(0,F165-H165))</f>
        <v/>
      </c>
      <c r="J165" s="41" t="str">
        <f aca="false">IF(A165="","",ROUND(I165*N(INPUT!L161),2))</f>
        <v/>
      </c>
      <c r="K165" s="40" t="str">
        <f aca="false">IF(A165="","",INPUT!H161)</f>
        <v/>
      </c>
      <c r="L165" s="40" t="str">
        <f aca="false">IF(A165="","",IF(G165=0,"No matching visits",IF(I165&gt;0,"Units exceed visits",IF(E165&lt;&gt;G165,"Day count differs","OK"))))</f>
        <v/>
      </c>
      <c r="M165" s="40" t="str">
        <f aca="false">IF(A165="","",IF(L165="OK","",IF(K165="Hold","On hold","Review before paying")))</f>
        <v/>
      </c>
    </row>
    <row r="166" customFormat="false" ht="15" hidden="false" customHeight="false" outlineLevel="0" collapsed="false">
      <c r="A166" s="21" t="str">
        <f aca="false">IF(INPUT!B162="","",INPUT!A162)</f>
        <v/>
      </c>
      <c r="B166" s="26" t="str">
        <f aca="false">IF(A166="","",INPUT!B162)</f>
        <v/>
      </c>
      <c r="C166" s="26" t="str">
        <f aca="false">IF(A166="","",INPUT!C162)</f>
        <v/>
      </c>
      <c r="D166" s="40" t="str">
        <f aca="false">IF(A166="","",INPUT!D162)</f>
        <v/>
      </c>
      <c r="E166" s="27" t="str">
        <f aca="false">IF(A166="","",N(INPUT!E162))</f>
        <v/>
      </c>
      <c r="F166" s="27" t="str">
        <f aca="false">IF(A166="","",N(INPUT!F162))</f>
        <v/>
      </c>
      <c r="G166" s="27" t="str">
        <f aca="false">IF(A166="","",COUNTIFS(vis_CGID,INPUT!J162,vis_ClientID,INPUT!K162,vis_Svc,D166,vis_Status,"Verified",vis_InWeek,"Yes"))</f>
        <v/>
      </c>
      <c r="H166" s="27" t="str">
        <f aca="false">IF(A166="","",SUMIFS(vis_Units,vis_CGID,INPUT!J162,vis_ClientID,INPUT!K162,vis_Svc,D166,vis_Status,"Verified",vis_InWeek,"Yes"))</f>
        <v/>
      </c>
      <c r="I166" s="45" t="str">
        <f aca="false">IF(A166="","",MAX(0,F166-H166))</f>
        <v/>
      </c>
      <c r="J166" s="41" t="str">
        <f aca="false">IF(A166="","",ROUND(I166*N(INPUT!L162),2))</f>
        <v/>
      </c>
      <c r="K166" s="40" t="str">
        <f aca="false">IF(A166="","",INPUT!H162)</f>
        <v/>
      </c>
      <c r="L166" s="40" t="str">
        <f aca="false">IF(A166="","",IF(G166=0,"No matching visits",IF(I166&gt;0,"Units exceed visits",IF(E166&lt;&gt;G166,"Day count differs","OK"))))</f>
        <v/>
      </c>
      <c r="M166" s="40" t="str">
        <f aca="false">IF(A166="","",IF(L166="OK","",IF(K166="Hold","On hold","Review before paying")))</f>
        <v/>
      </c>
    </row>
    <row r="167" customFormat="false" ht="15" hidden="false" customHeight="false" outlineLevel="0" collapsed="false">
      <c r="A167" s="21" t="str">
        <f aca="false">IF(INPUT!B163="","",INPUT!A163)</f>
        <v/>
      </c>
      <c r="B167" s="26" t="str">
        <f aca="false">IF(A167="","",INPUT!B163)</f>
        <v/>
      </c>
      <c r="C167" s="26" t="str">
        <f aca="false">IF(A167="","",INPUT!C163)</f>
        <v/>
      </c>
      <c r="D167" s="40" t="str">
        <f aca="false">IF(A167="","",INPUT!D163)</f>
        <v/>
      </c>
      <c r="E167" s="27" t="str">
        <f aca="false">IF(A167="","",N(INPUT!E163))</f>
        <v/>
      </c>
      <c r="F167" s="27" t="str">
        <f aca="false">IF(A167="","",N(INPUT!F163))</f>
        <v/>
      </c>
      <c r="G167" s="27" t="str">
        <f aca="false">IF(A167="","",COUNTIFS(vis_CGID,INPUT!J163,vis_ClientID,INPUT!K163,vis_Svc,D167,vis_Status,"Verified",vis_InWeek,"Yes"))</f>
        <v/>
      </c>
      <c r="H167" s="27" t="str">
        <f aca="false">IF(A167="","",SUMIFS(vis_Units,vis_CGID,INPUT!J163,vis_ClientID,INPUT!K163,vis_Svc,D167,vis_Status,"Verified",vis_InWeek,"Yes"))</f>
        <v/>
      </c>
      <c r="I167" s="45" t="str">
        <f aca="false">IF(A167="","",MAX(0,F167-H167))</f>
        <v/>
      </c>
      <c r="J167" s="41" t="str">
        <f aca="false">IF(A167="","",ROUND(I167*N(INPUT!L163),2))</f>
        <v/>
      </c>
      <c r="K167" s="40" t="str">
        <f aca="false">IF(A167="","",INPUT!H163)</f>
        <v/>
      </c>
      <c r="L167" s="40" t="str">
        <f aca="false">IF(A167="","",IF(G167=0,"No matching visits",IF(I167&gt;0,"Units exceed visits",IF(E167&lt;&gt;G167,"Day count differs","OK"))))</f>
        <v/>
      </c>
      <c r="M167" s="40" t="str">
        <f aca="false">IF(A167="","",IF(L167="OK","",IF(K167="Hold","On hold","Review before paying")))</f>
        <v/>
      </c>
    </row>
    <row r="168" customFormat="false" ht="15" hidden="false" customHeight="false" outlineLevel="0" collapsed="false">
      <c r="A168" s="21" t="str">
        <f aca="false">IF(INPUT!B164="","",INPUT!A164)</f>
        <v/>
      </c>
      <c r="B168" s="26" t="str">
        <f aca="false">IF(A168="","",INPUT!B164)</f>
        <v/>
      </c>
      <c r="C168" s="26" t="str">
        <f aca="false">IF(A168="","",INPUT!C164)</f>
        <v/>
      </c>
      <c r="D168" s="40" t="str">
        <f aca="false">IF(A168="","",INPUT!D164)</f>
        <v/>
      </c>
      <c r="E168" s="27" t="str">
        <f aca="false">IF(A168="","",N(INPUT!E164))</f>
        <v/>
      </c>
      <c r="F168" s="27" t="str">
        <f aca="false">IF(A168="","",N(INPUT!F164))</f>
        <v/>
      </c>
      <c r="G168" s="27" t="str">
        <f aca="false">IF(A168="","",COUNTIFS(vis_CGID,INPUT!J164,vis_ClientID,INPUT!K164,vis_Svc,D168,vis_Status,"Verified",vis_InWeek,"Yes"))</f>
        <v/>
      </c>
      <c r="H168" s="27" t="str">
        <f aca="false">IF(A168="","",SUMIFS(vis_Units,vis_CGID,INPUT!J164,vis_ClientID,INPUT!K164,vis_Svc,D168,vis_Status,"Verified",vis_InWeek,"Yes"))</f>
        <v/>
      </c>
      <c r="I168" s="45" t="str">
        <f aca="false">IF(A168="","",MAX(0,F168-H168))</f>
        <v/>
      </c>
      <c r="J168" s="41" t="str">
        <f aca="false">IF(A168="","",ROUND(I168*N(INPUT!L164),2))</f>
        <v/>
      </c>
      <c r="K168" s="40" t="str">
        <f aca="false">IF(A168="","",INPUT!H164)</f>
        <v/>
      </c>
      <c r="L168" s="40" t="str">
        <f aca="false">IF(A168="","",IF(G168=0,"No matching visits",IF(I168&gt;0,"Units exceed visits",IF(E168&lt;&gt;G168,"Day count differs","OK"))))</f>
        <v/>
      </c>
      <c r="M168" s="40" t="str">
        <f aca="false">IF(A168="","",IF(L168="OK","",IF(K168="Hold","On hold","Review before paying")))</f>
        <v/>
      </c>
    </row>
    <row r="169" customFormat="false" ht="15" hidden="false" customHeight="false" outlineLevel="0" collapsed="false">
      <c r="A169" s="21" t="str">
        <f aca="false">IF(INPUT!B165="","",INPUT!A165)</f>
        <v/>
      </c>
      <c r="B169" s="26" t="str">
        <f aca="false">IF(A169="","",INPUT!B165)</f>
        <v/>
      </c>
      <c r="C169" s="26" t="str">
        <f aca="false">IF(A169="","",INPUT!C165)</f>
        <v/>
      </c>
      <c r="D169" s="40" t="str">
        <f aca="false">IF(A169="","",INPUT!D165)</f>
        <v/>
      </c>
      <c r="E169" s="27" t="str">
        <f aca="false">IF(A169="","",N(INPUT!E165))</f>
        <v/>
      </c>
      <c r="F169" s="27" t="str">
        <f aca="false">IF(A169="","",N(INPUT!F165))</f>
        <v/>
      </c>
      <c r="G169" s="27" t="str">
        <f aca="false">IF(A169="","",COUNTIFS(vis_CGID,INPUT!J165,vis_ClientID,INPUT!K165,vis_Svc,D169,vis_Status,"Verified",vis_InWeek,"Yes"))</f>
        <v/>
      </c>
      <c r="H169" s="27" t="str">
        <f aca="false">IF(A169="","",SUMIFS(vis_Units,vis_CGID,INPUT!J165,vis_ClientID,INPUT!K165,vis_Svc,D169,vis_Status,"Verified",vis_InWeek,"Yes"))</f>
        <v/>
      </c>
      <c r="I169" s="45" t="str">
        <f aca="false">IF(A169="","",MAX(0,F169-H169))</f>
        <v/>
      </c>
      <c r="J169" s="41" t="str">
        <f aca="false">IF(A169="","",ROUND(I169*N(INPUT!L165),2))</f>
        <v/>
      </c>
      <c r="K169" s="40" t="str">
        <f aca="false">IF(A169="","",INPUT!H165)</f>
        <v/>
      </c>
      <c r="L169" s="40" t="str">
        <f aca="false">IF(A169="","",IF(G169=0,"No matching visits",IF(I169&gt;0,"Units exceed visits",IF(E169&lt;&gt;G169,"Day count differs","OK"))))</f>
        <v/>
      </c>
      <c r="M169" s="40" t="str">
        <f aca="false">IF(A169="","",IF(L169="OK","",IF(K169="Hold","On hold","Review before paying")))</f>
        <v/>
      </c>
    </row>
    <row r="170" customFormat="false" ht="15" hidden="false" customHeight="false" outlineLevel="0" collapsed="false">
      <c r="A170" s="21" t="str">
        <f aca="false">IF(INPUT!B166="","",INPUT!A166)</f>
        <v/>
      </c>
      <c r="B170" s="26" t="str">
        <f aca="false">IF(A170="","",INPUT!B166)</f>
        <v/>
      </c>
      <c r="C170" s="26" t="str">
        <f aca="false">IF(A170="","",INPUT!C166)</f>
        <v/>
      </c>
      <c r="D170" s="40" t="str">
        <f aca="false">IF(A170="","",INPUT!D166)</f>
        <v/>
      </c>
      <c r="E170" s="27" t="str">
        <f aca="false">IF(A170="","",N(INPUT!E166))</f>
        <v/>
      </c>
      <c r="F170" s="27" t="str">
        <f aca="false">IF(A170="","",N(INPUT!F166))</f>
        <v/>
      </c>
      <c r="G170" s="27" t="str">
        <f aca="false">IF(A170="","",COUNTIFS(vis_CGID,INPUT!J166,vis_ClientID,INPUT!K166,vis_Svc,D170,vis_Status,"Verified",vis_InWeek,"Yes"))</f>
        <v/>
      </c>
      <c r="H170" s="27" t="str">
        <f aca="false">IF(A170="","",SUMIFS(vis_Units,vis_CGID,INPUT!J166,vis_ClientID,INPUT!K166,vis_Svc,D170,vis_Status,"Verified",vis_InWeek,"Yes"))</f>
        <v/>
      </c>
      <c r="I170" s="45" t="str">
        <f aca="false">IF(A170="","",MAX(0,F170-H170))</f>
        <v/>
      </c>
      <c r="J170" s="41" t="str">
        <f aca="false">IF(A170="","",ROUND(I170*N(INPUT!L166),2))</f>
        <v/>
      </c>
      <c r="K170" s="40" t="str">
        <f aca="false">IF(A170="","",INPUT!H166)</f>
        <v/>
      </c>
      <c r="L170" s="40" t="str">
        <f aca="false">IF(A170="","",IF(G170=0,"No matching visits",IF(I170&gt;0,"Units exceed visits",IF(E170&lt;&gt;G170,"Day count differs","OK"))))</f>
        <v/>
      </c>
      <c r="M170" s="40" t="str">
        <f aca="false">IF(A170="","",IF(L170="OK","",IF(K170="Hold","On hold","Review before paying")))</f>
        <v/>
      </c>
    </row>
    <row r="171" customFormat="false" ht="15" hidden="false" customHeight="false" outlineLevel="0" collapsed="false">
      <c r="A171" s="21" t="str">
        <f aca="false">IF(INPUT!B167="","",INPUT!A167)</f>
        <v/>
      </c>
      <c r="B171" s="26" t="str">
        <f aca="false">IF(A171="","",INPUT!B167)</f>
        <v/>
      </c>
      <c r="C171" s="26" t="str">
        <f aca="false">IF(A171="","",INPUT!C167)</f>
        <v/>
      </c>
      <c r="D171" s="40" t="str">
        <f aca="false">IF(A171="","",INPUT!D167)</f>
        <v/>
      </c>
      <c r="E171" s="27" t="str">
        <f aca="false">IF(A171="","",N(INPUT!E167))</f>
        <v/>
      </c>
      <c r="F171" s="27" t="str">
        <f aca="false">IF(A171="","",N(INPUT!F167))</f>
        <v/>
      </c>
      <c r="G171" s="27" t="str">
        <f aca="false">IF(A171="","",COUNTIFS(vis_CGID,INPUT!J167,vis_ClientID,INPUT!K167,vis_Svc,D171,vis_Status,"Verified",vis_InWeek,"Yes"))</f>
        <v/>
      </c>
      <c r="H171" s="27" t="str">
        <f aca="false">IF(A171="","",SUMIFS(vis_Units,vis_CGID,INPUT!J167,vis_ClientID,INPUT!K167,vis_Svc,D171,vis_Status,"Verified",vis_InWeek,"Yes"))</f>
        <v/>
      </c>
      <c r="I171" s="45" t="str">
        <f aca="false">IF(A171="","",MAX(0,F171-H171))</f>
        <v/>
      </c>
      <c r="J171" s="41" t="str">
        <f aca="false">IF(A171="","",ROUND(I171*N(INPUT!L167),2))</f>
        <v/>
      </c>
      <c r="K171" s="40" t="str">
        <f aca="false">IF(A171="","",INPUT!H167)</f>
        <v/>
      </c>
      <c r="L171" s="40" t="str">
        <f aca="false">IF(A171="","",IF(G171=0,"No matching visits",IF(I171&gt;0,"Units exceed visits",IF(E171&lt;&gt;G171,"Day count differs","OK"))))</f>
        <v/>
      </c>
      <c r="M171" s="40" t="str">
        <f aca="false">IF(A171="","",IF(L171="OK","",IF(K171="Hold","On hold","Review before paying")))</f>
        <v/>
      </c>
    </row>
    <row r="172" customFormat="false" ht="15" hidden="false" customHeight="false" outlineLevel="0" collapsed="false">
      <c r="A172" s="21" t="str">
        <f aca="false">IF(INPUT!B168="","",INPUT!A168)</f>
        <v/>
      </c>
      <c r="B172" s="26" t="str">
        <f aca="false">IF(A172="","",INPUT!B168)</f>
        <v/>
      </c>
      <c r="C172" s="26" t="str">
        <f aca="false">IF(A172="","",INPUT!C168)</f>
        <v/>
      </c>
      <c r="D172" s="40" t="str">
        <f aca="false">IF(A172="","",INPUT!D168)</f>
        <v/>
      </c>
      <c r="E172" s="27" t="str">
        <f aca="false">IF(A172="","",N(INPUT!E168))</f>
        <v/>
      </c>
      <c r="F172" s="27" t="str">
        <f aca="false">IF(A172="","",N(INPUT!F168))</f>
        <v/>
      </c>
      <c r="G172" s="27" t="str">
        <f aca="false">IF(A172="","",COUNTIFS(vis_CGID,INPUT!J168,vis_ClientID,INPUT!K168,vis_Svc,D172,vis_Status,"Verified",vis_InWeek,"Yes"))</f>
        <v/>
      </c>
      <c r="H172" s="27" t="str">
        <f aca="false">IF(A172="","",SUMIFS(vis_Units,vis_CGID,INPUT!J168,vis_ClientID,INPUT!K168,vis_Svc,D172,vis_Status,"Verified",vis_InWeek,"Yes"))</f>
        <v/>
      </c>
      <c r="I172" s="45" t="str">
        <f aca="false">IF(A172="","",MAX(0,F172-H172))</f>
        <v/>
      </c>
      <c r="J172" s="41" t="str">
        <f aca="false">IF(A172="","",ROUND(I172*N(INPUT!L168),2))</f>
        <v/>
      </c>
      <c r="K172" s="40" t="str">
        <f aca="false">IF(A172="","",INPUT!H168)</f>
        <v/>
      </c>
      <c r="L172" s="40" t="str">
        <f aca="false">IF(A172="","",IF(G172=0,"No matching visits",IF(I172&gt;0,"Units exceed visits",IF(E172&lt;&gt;G172,"Day count differs","OK"))))</f>
        <v/>
      </c>
      <c r="M172" s="40" t="str">
        <f aca="false">IF(A172="","",IF(L172="OK","",IF(K172="Hold","On hold","Review before paying")))</f>
        <v/>
      </c>
    </row>
    <row r="173" customFormat="false" ht="15" hidden="false" customHeight="false" outlineLevel="0" collapsed="false">
      <c r="A173" s="21" t="str">
        <f aca="false">IF(INPUT!B169="","",INPUT!A169)</f>
        <v/>
      </c>
      <c r="B173" s="26" t="str">
        <f aca="false">IF(A173="","",INPUT!B169)</f>
        <v/>
      </c>
      <c r="C173" s="26" t="str">
        <f aca="false">IF(A173="","",INPUT!C169)</f>
        <v/>
      </c>
      <c r="D173" s="40" t="str">
        <f aca="false">IF(A173="","",INPUT!D169)</f>
        <v/>
      </c>
      <c r="E173" s="27" t="str">
        <f aca="false">IF(A173="","",N(INPUT!E169))</f>
        <v/>
      </c>
      <c r="F173" s="27" t="str">
        <f aca="false">IF(A173="","",N(INPUT!F169))</f>
        <v/>
      </c>
      <c r="G173" s="27" t="str">
        <f aca="false">IF(A173="","",COUNTIFS(vis_CGID,INPUT!J169,vis_ClientID,INPUT!K169,vis_Svc,D173,vis_Status,"Verified",vis_InWeek,"Yes"))</f>
        <v/>
      </c>
      <c r="H173" s="27" t="str">
        <f aca="false">IF(A173="","",SUMIFS(vis_Units,vis_CGID,INPUT!J169,vis_ClientID,INPUT!K169,vis_Svc,D173,vis_Status,"Verified",vis_InWeek,"Yes"))</f>
        <v/>
      </c>
      <c r="I173" s="45" t="str">
        <f aca="false">IF(A173="","",MAX(0,F173-H173))</f>
        <v/>
      </c>
      <c r="J173" s="41" t="str">
        <f aca="false">IF(A173="","",ROUND(I173*N(INPUT!L169),2))</f>
        <v/>
      </c>
      <c r="K173" s="40" t="str">
        <f aca="false">IF(A173="","",INPUT!H169)</f>
        <v/>
      </c>
      <c r="L173" s="40" t="str">
        <f aca="false">IF(A173="","",IF(G173=0,"No matching visits",IF(I173&gt;0,"Units exceed visits",IF(E173&lt;&gt;G173,"Day count differs","OK"))))</f>
        <v/>
      </c>
      <c r="M173" s="40" t="str">
        <f aca="false">IF(A173="","",IF(L173="OK","",IF(K173="Hold","On hold","Review before paying")))</f>
        <v/>
      </c>
    </row>
    <row r="174" customFormat="false" ht="15" hidden="false" customHeight="false" outlineLevel="0" collapsed="false">
      <c r="A174" s="21" t="str">
        <f aca="false">IF(INPUT!B170="","",INPUT!A170)</f>
        <v/>
      </c>
      <c r="B174" s="26" t="str">
        <f aca="false">IF(A174="","",INPUT!B170)</f>
        <v/>
      </c>
      <c r="C174" s="26" t="str">
        <f aca="false">IF(A174="","",INPUT!C170)</f>
        <v/>
      </c>
      <c r="D174" s="40" t="str">
        <f aca="false">IF(A174="","",INPUT!D170)</f>
        <v/>
      </c>
      <c r="E174" s="27" t="str">
        <f aca="false">IF(A174="","",N(INPUT!E170))</f>
        <v/>
      </c>
      <c r="F174" s="27" t="str">
        <f aca="false">IF(A174="","",N(INPUT!F170))</f>
        <v/>
      </c>
      <c r="G174" s="27" t="str">
        <f aca="false">IF(A174="","",COUNTIFS(vis_CGID,INPUT!J170,vis_ClientID,INPUT!K170,vis_Svc,D174,vis_Status,"Verified",vis_InWeek,"Yes"))</f>
        <v/>
      </c>
      <c r="H174" s="27" t="str">
        <f aca="false">IF(A174="","",SUMIFS(vis_Units,vis_CGID,INPUT!J170,vis_ClientID,INPUT!K170,vis_Svc,D174,vis_Status,"Verified",vis_InWeek,"Yes"))</f>
        <v/>
      </c>
      <c r="I174" s="45" t="str">
        <f aca="false">IF(A174="","",MAX(0,F174-H174))</f>
        <v/>
      </c>
      <c r="J174" s="41" t="str">
        <f aca="false">IF(A174="","",ROUND(I174*N(INPUT!L170),2))</f>
        <v/>
      </c>
      <c r="K174" s="40" t="str">
        <f aca="false">IF(A174="","",INPUT!H170)</f>
        <v/>
      </c>
      <c r="L174" s="40" t="str">
        <f aca="false">IF(A174="","",IF(G174=0,"No matching visits",IF(I174&gt;0,"Units exceed visits",IF(E174&lt;&gt;G174,"Day count differs","OK"))))</f>
        <v/>
      </c>
      <c r="M174" s="40" t="str">
        <f aca="false">IF(A174="","",IF(L174="OK","",IF(K174="Hold","On hold","Review before paying")))</f>
        <v/>
      </c>
    </row>
    <row r="175" customFormat="false" ht="15" hidden="false" customHeight="false" outlineLevel="0" collapsed="false">
      <c r="A175" s="21" t="str">
        <f aca="false">IF(INPUT!B171="","",INPUT!A171)</f>
        <v/>
      </c>
      <c r="B175" s="26" t="str">
        <f aca="false">IF(A175="","",INPUT!B171)</f>
        <v/>
      </c>
      <c r="C175" s="26" t="str">
        <f aca="false">IF(A175="","",INPUT!C171)</f>
        <v/>
      </c>
      <c r="D175" s="40" t="str">
        <f aca="false">IF(A175="","",INPUT!D171)</f>
        <v/>
      </c>
      <c r="E175" s="27" t="str">
        <f aca="false">IF(A175="","",N(INPUT!E171))</f>
        <v/>
      </c>
      <c r="F175" s="27" t="str">
        <f aca="false">IF(A175="","",N(INPUT!F171))</f>
        <v/>
      </c>
      <c r="G175" s="27" t="str">
        <f aca="false">IF(A175="","",COUNTIFS(vis_CGID,INPUT!J171,vis_ClientID,INPUT!K171,vis_Svc,D175,vis_Status,"Verified",vis_InWeek,"Yes"))</f>
        <v/>
      </c>
      <c r="H175" s="27" t="str">
        <f aca="false">IF(A175="","",SUMIFS(vis_Units,vis_CGID,INPUT!J171,vis_ClientID,INPUT!K171,vis_Svc,D175,vis_Status,"Verified",vis_InWeek,"Yes"))</f>
        <v/>
      </c>
      <c r="I175" s="45" t="str">
        <f aca="false">IF(A175="","",MAX(0,F175-H175))</f>
        <v/>
      </c>
      <c r="J175" s="41" t="str">
        <f aca="false">IF(A175="","",ROUND(I175*N(INPUT!L171),2))</f>
        <v/>
      </c>
      <c r="K175" s="40" t="str">
        <f aca="false">IF(A175="","",INPUT!H171)</f>
        <v/>
      </c>
      <c r="L175" s="40" t="str">
        <f aca="false">IF(A175="","",IF(G175=0,"No matching visits",IF(I175&gt;0,"Units exceed visits",IF(E175&lt;&gt;G175,"Day count differs","OK"))))</f>
        <v/>
      </c>
      <c r="M175" s="40" t="str">
        <f aca="false">IF(A175="","",IF(L175="OK","",IF(K175="Hold","On hold","Review before paying")))</f>
        <v/>
      </c>
    </row>
    <row r="176" customFormat="false" ht="15" hidden="false" customHeight="false" outlineLevel="0" collapsed="false">
      <c r="A176" s="21" t="str">
        <f aca="false">IF(INPUT!B172="","",INPUT!A172)</f>
        <v/>
      </c>
      <c r="B176" s="26" t="str">
        <f aca="false">IF(A176="","",INPUT!B172)</f>
        <v/>
      </c>
      <c r="C176" s="26" t="str">
        <f aca="false">IF(A176="","",INPUT!C172)</f>
        <v/>
      </c>
      <c r="D176" s="40" t="str">
        <f aca="false">IF(A176="","",INPUT!D172)</f>
        <v/>
      </c>
      <c r="E176" s="27" t="str">
        <f aca="false">IF(A176="","",N(INPUT!E172))</f>
        <v/>
      </c>
      <c r="F176" s="27" t="str">
        <f aca="false">IF(A176="","",N(INPUT!F172))</f>
        <v/>
      </c>
      <c r="G176" s="27" t="str">
        <f aca="false">IF(A176="","",COUNTIFS(vis_CGID,INPUT!J172,vis_ClientID,INPUT!K172,vis_Svc,D176,vis_Status,"Verified",vis_InWeek,"Yes"))</f>
        <v/>
      </c>
      <c r="H176" s="27" t="str">
        <f aca="false">IF(A176="","",SUMIFS(vis_Units,vis_CGID,INPUT!J172,vis_ClientID,INPUT!K172,vis_Svc,D176,vis_Status,"Verified",vis_InWeek,"Yes"))</f>
        <v/>
      </c>
      <c r="I176" s="45" t="str">
        <f aca="false">IF(A176="","",MAX(0,F176-H176))</f>
        <v/>
      </c>
      <c r="J176" s="41" t="str">
        <f aca="false">IF(A176="","",ROUND(I176*N(INPUT!L172),2))</f>
        <v/>
      </c>
      <c r="K176" s="40" t="str">
        <f aca="false">IF(A176="","",INPUT!H172)</f>
        <v/>
      </c>
      <c r="L176" s="40" t="str">
        <f aca="false">IF(A176="","",IF(G176=0,"No matching visits",IF(I176&gt;0,"Units exceed visits",IF(E176&lt;&gt;G176,"Day count differs","OK"))))</f>
        <v/>
      </c>
      <c r="M176" s="40" t="str">
        <f aca="false">IF(A176="","",IF(L176="OK","",IF(K176="Hold","On hold","Review before paying")))</f>
        <v/>
      </c>
    </row>
    <row r="177" customFormat="false" ht="15" hidden="false" customHeight="false" outlineLevel="0" collapsed="false">
      <c r="A177" s="21" t="str">
        <f aca="false">IF(INPUT!B173="","",INPUT!A173)</f>
        <v/>
      </c>
      <c r="B177" s="26" t="str">
        <f aca="false">IF(A177="","",INPUT!B173)</f>
        <v/>
      </c>
      <c r="C177" s="26" t="str">
        <f aca="false">IF(A177="","",INPUT!C173)</f>
        <v/>
      </c>
      <c r="D177" s="40" t="str">
        <f aca="false">IF(A177="","",INPUT!D173)</f>
        <v/>
      </c>
      <c r="E177" s="27" t="str">
        <f aca="false">IF(A177="","",N(INPUT!E173))</f>
        <v/>
      </c>
      <c r="F177" s="27" t="str">
        <f aca="false">IF(A177="","",N(INPUT!F173))</f>
        <v/>
      </c>
      <c r="G177" s="27" t="str">
        <f aca="false">IF(A177="","",COUNTIFS(vis_CGID,INPUT!J173,vis_ClientID,INPUT!K173,vis_Svc,D177,vis_Status,"Verified",vis_InWeek,"Yes"))</f>
        <v/>
      </c>
      <c r="H177" s="27" t="str">
        <f aca="false">IF(A177="","",SUMIFS(vis_Units,vis_CGID,INPUT!J173,vis_ClientID,INPUT!K173,vis_Svc,D177,vis_Status,"Verified",vis_InWeek,"Yes"))</f>
        <v/>
      </c>
      <c r="I177" s="45" t="str">
        <f aca="false">IF(A177="","",MAX(0,F177-H177))</f>
        <v/>
      </c>
      <c r="J177" s="41" t="str">
        <f aca="false">IF(A177="","",ROUND(I177*N(INPUT!L173),2))</f>
        <v/>
      </c>
      <c r="K177" s="40" t="str">
        <f aca="false">IF(A177="","",INPUT!H173)</f>
        <v/>
      </c>
      <c r="L177" s="40" t="str">
        <f aca="false">IF(A177="","",IF(G177=0,"No matching visits",IF(I177&gt;0,"Units exceed visits",IF(E177&lt;&gt;G177,"Day count differs","OK"))))</f>
        <v/>
      </c>
      <c r="M177" s="40" t="str">
        <f aca="false">IF(A177="","",IF(L177="OK","",IF(K177="Hold","On hold","Review before paying")))</f>
        <v/>
      </c>
    </row>
    <row r="178" customFormat="false" ht="15" hidden="false" customHeight="false" outlineLevel="0" collapsed="false">
      <c r="A178" s="21" t="str">
        <f aca="false">IF(INPUT!B174="","",INPUT!A174)</f>
        <v/>
      </c>
      <c r="B178" s="26" t="str">
        <f aca="false">IF(A178="","",INPUT!B174)</f>
        <v/>
      </c>
      <c r="C178" s="26" t="str">
        <f aca="false">IF(A178="","",INPUT!C174)</f>
        <v/>
      </c>
      <c r="D178" s="40" t="str">
        <f aca="false">IF(A178="","",INPUT!D174)</f>
        <v/>
      </c>
      <c r="E178" s="27" t="str">
        <f aca="false">IF(A178="","",N(INPUT!E174))</f>
        <v/>
      </c>
      <c r="F178" s="27" t="str">
        <f aca="false">IF(A178="","",N(INPUT!F174))</f>
        <v/>
      </c>
      <c r="G178" s="27" t="str">
        <f aca="false">IF(A178="","",COUNTIFS(vis_CGID,INPUT!J174,vis_ClientID,INPUT!K174,vis_Svc,D178,vis_Status,"Verified",vis_InWeek,"Yes"))</f>
        <v/>
      </c>
      <c r="H178" s="27" t="str">
        <f aca="false">IF(A178="","",SUMIFS(vis_Units,vis_CGID,INPUT!J174,vis_ClientID,INPUT!K174,vis_Svc,D178,vis_Status,"Verified",vis_InWeek,"Yes"))</f>
        <v/>
      </c>
      <c r="I178" s="45" t="str">
        <f aca="false">IF(A178="","",MAX(0,F178-H178))</f>
        <v/>
      </c>
      <c r="J178" s="41" t="str">
        <f aca="false">IF(A178="","",ROUND(I178*N(INPUT!L174),2))</f>
        <v/>
      </c>
      <c r="K178" s="40" t="str">
        <f aca="false">IF(A178="","",INPUT!H174)</f>
        <v/>
      </c>
      <c r="L178" s="40" t="str">
        <f aca="false">IF(A178="","",IF(G178=0,"No matching visits",IF(I178&gt;0,"Units exceed visits",IF(E178&lt;&gt;G178,"Day count differs","OK"))))</f>
        <v/>
      </c>
      <c r="M178" s="40" t="str">
        <f aca="false">IF(A178="","",IF(L178="OK","",IF(K178="Hold","On hold","Review before paying")))</f>
        <v/>
      </c>
    </row>
    <row r="179" customFormat="false" ht="15" hidden="false" customHeight="false" outlineLevel="0" collapsed="false">
      <c r="A179" s="21" t="str">
        <f aca="false">IF(INPUT!B175="","",INPUT!A175)</f>
        <v/>
      </c>
      <c r="B179" s="26" t="str">
        <f aca="false">IF(A179="","",INPUT!B175)</f>
        <v/>
      </c>
      <c r="C179" s="26" t="str">
        <f aca="false">IF(A179="","",INPUT!C175)</f>
        <v/>
      </c>
      <c r="D179" s="40" t="str">
        <f aca="false">IF(A179="","",INPUT!D175)</f>
        <v/>
      </c>
      <c r="E179" s="27" t="str">
        <f aca="false">IF(A179="","",N(INPUT!E175))</f>
        <v/>
      </c>
      <c r="F179" s="27" t="str">
        <f aca="false">IF(A179="","",N(INPUT!F175))</f>
        <v/>
      </c>
      <c r="G179" s="27" t="str">
        <f aca="false">IF(A179="","",COUNTIFS(vis_CGID,INPUT!J175,vis_ClientID,INPUT!K175,vis_Svc,D179,vis_Status,"Verified",vis_InWeek,"Yes"))</f>
        <v/>
      </c>
      <c r="H179" s="27" t="str">
        <f aca="false">IF(A179="","",SUMIFS(vis_Units,vis_CGID,INPUT!J175,vis_ClientID,INPUT!K175,vis_Svc,D179,vis_Status,"Verified",vis_InWeek,"Yes"))</f>
        <v/>
      </c>
      <c r="I179" s="45" t="str">
        <f aca="false">IF(A179="","",MAX(0,F179-H179))</f>
        <v/>
      </c>
      <c r="J179" s="41" t="str">
        <f aca="false">IF(A179="","",ROUND(I179*N(INPUT!L175),2))</f>
        <v/>
      </c>
      <c r="K179" s="40" t="str">
        <f aca="false">IF(A179="","",INPUT!H175)</f>
        <v/>
      </c>
      <c r="L179" s="40" t="str">
        <f aca="false">IF(A179="","",IF(G179=0,"No matching visits",IF(I179&gt;0,"Units exceed visits",IF(E179&lt;&gt;G179,"Day count differs","OK"))))</f>
        <v/>
      </c>
      <c r="M179" s="40" t="str">
        <f aca="false">IF(A179="","",IF(L179="OK","",IF(K179="Hold","On hold","Review before paying")))</f>
        <v/>
      </c>
    </row>
    <row r="180" customFormat="false" ht="15" hidden="false" customHeight="false" outlineLevel="0" collapsed="false">
      <c r="A180" s="21" t="str">
        <f aca="false">IF(INPUT!B176="","",INPUT!A176)</f>
        <v/>
      </c>
      <c r="B180" s="26" t="str">
        <f aca="false">IF(A180="","",INPUT!B176)</f>
        <v/>
      </c>
      <c r="C180" s="26" t="str">
        <f aca="false">IF(A180="","",INPUT!C176)</f>
        <v/>
      </c>
      <c r="D180" s="40" t="str">
        <f aca="false">IF(A180="","",INPUT!D176)</f>
        <v/>
      </c>
      <c r="E180" s="27" t="str">
        <f aca="false">IF(A180="","",N(INPUT!E176))</f>
        <v/>
      </c>
      <c r="F180" s="27" t="str">
        <f aca="false">IF(A180="","",N(INPUT!F176))</f>
        <v/>
      </c>
      <c r="G180" s="27" t="str">
        <f aca="false">IF(A180="","",COUNTIFS(vis_CGID,INPUT!J176,vis_ClientID,INPUT!K176,vis_Svc,D180,vis_Status,"Verified",vis_InWeek,"Yes"))</f>
        <v/>
      </c>
      <c r="H180" s="27" t="str">
        <f aca="false">IF(A180="","",SUMIFS(vis_Units,vis_CGID,INPUT!J176,vis_ClientID,INPUT!K176,vis_Svc,D180,vis_Status,"Verified",vis_InWeek,"Yes"))</f>
        <v/>
      </c>
      <c r="I180" s="45" t="str">
        <f aca="false">IF(A180="","",MAX(0,F180-H180))</f>
        <v/>
      </c>
      <c r="J180" s="41" t="str">
        <f aca="false">IF(A180="","",ROUND(I180*N(INPUT!L176),2))</f>
        <v/>
      </c>
      <c r="K180" s="40" t="str">
        <f aca="false">IF(A180="","",INPUT!H176)</f>
        <v/>
      </c>
      <c r="L180" s="40" t="str">
        <f aca="false">IF(A180="","",IF(G180=0,"No matching visits",IF(I180&gt;0,"Units exceed visits",IF(E180&lt;&gt;G180,"Day count differs","OK"))))</f>
        <v/>
      </c>
      <c r="M180" s="40" t="str">
        <f aca="false">IF(A180="","",IF(L180="OK","",IF(K180="Hold","On hold","Review before paying")))</f>
        <v/>
      </c>
    </row>
    <row r="181" customFormat="false" ht="15" hidden="false" customHeight="false" outlineLevel="0" collapsed="false">
      <c r="A181" s="21" t="str">
        <f aca="false">IF(INPUT!B177="","",INPUT!A177)</f>
        <v/>
      </c>
      <c r="B181" s="26" t="str">
        <f aca="false">IF(A181="","",INPUT!B177)</f>
        <v/>
      </c>
      <c r="C181" s="26" t="str">
        <f aca="false">IF(A181="","",INPUT!C177)</f>
        <v/>
      </c>
      <c r="D181" s="40" t="str">
        <f aca="false">IF(A181="","",INPUT!D177)</f>
        <v/>
      </c>
      <c r="E181" s="27" t="str">
        <f aca="false">IF(A181="","",N(INPUT!E177))</f>
        <v/>
      </c>
      <c r="F181" s="27" t="str">
        <f aca="false">IF(A181="","",N(INPUT!F177))</f>
        <v/>
      </c>
      <c r="G181" s="27" t="str">
        <f aca="false">IF(A181="","",COUNTIFS(vis_CGID,INPUT!J177,vis_ClientID,INPUT!K177,vis_Svc,D181,vis_Status,"Verified",vis_InWeek,"Yes"))</f>
        <v/>
      </c>
      <c r="H181" s="27" t="str">
        <f aca="false">IF(A181="","",SUMIFS(vis_Units,vis_CGID,INPUT!J177,vis_ClientID,INPUT!K177,vis_Svc,D181,vis_Status,"Verified",vis_InWeek,"Yes"))</f>
        <v/>
      </c>
      <c r="I181" s="45" t="str">
        <f aca="false">IF(A181="","",MAX(0,F181-H181))</f>
        <v/>
      </c>
      <c r="J181" s="41" t="str">
        <f aca="false">IF(A181="","",ROUND(I181*N(INPUT!L177),2))</f>
        <v/>
      </c>
      <c r="K181" s="40" t="str">
        <f aca="false">IF(A181="","",INPUT!H177)</f>
        <v/>
      </c>
      <c r="L181" s="40" t="str">
        <f aca="false">IF(A181="","",IF(G181=0,"No matching visits",IF(I181&gt;0,"Units exceed visits",IF(E181&lt;&gt;G181,"Day count differs","OK"))))</f>
        <v/>
      </c>
      <c r="M181" s="40" t="str">
        <f aca="false">IF(A181="","",IF(L181="OK","",IF(K181="Hold","On hold","Review before paying")))</f>
        <v/>
      </c>
    </row>
    <row r="182" customFormat="false" ht="15" hidden="false" customHeight="false" outlineLevel="0" collapsed="false">
      <c r="A182" s="21" t="str">
        <f aca="false">IF(INPUT!B178="","",INPUT!A178)</f>
        <v/>
      </c>
      <c r="B182" s="26" t="str">
        <f aca="false">IF(A182="","",INPUT!B178)</f>
        <v/>
      </c>
      <c r="C182" s="26" t="str">
        <f aca="false">IF(A182="","",INPUT!C178)</f>
        <v/>
      </c>
      <c r="D182" s="40" t="str">
        <f aca="false">IF(A182="","",INPUT!D178)</f>
        <v/>
      </c>
      <c r="E182" s="27" t="str">
        <f aca="false">IF(A182="","",N(INPUT!E178))</f>
        <v/>
      </c>
      <c r="F182" s="27" t="str">
        <f aca="false">IF(A182="","",N(INPUT!F178))</f>
        <v/>
      </c>
      <c r="G182" s="27" t="str">
        <f aca="false">IF(A182="","",COUNTIFS(vis_CGID,INPUT!J178,vis_ClientID,INPUT!K178,vis_Svc,D182,vis_Status,"Verified",vis_InWeek,"Yes"))</f>
        <v/>
      </c>
      <c r="H182" s="27" t="str">
        <f aca="false">IF(A182="","",SUMIFS(vis_Units,vis_CGID,INPUT!J178,vis_ClientID,INPUT!K178,vis_Svc,D182,vis_Status,"Verified",vis_InWeek,"Yes"))</f>
        <v/>
      </c>
      <c r="I182" s="45" t="str">
        <f aca="false">IF(A182="","",MAX(0,F182-H182))</f>
        <v/>
      </c>
      <c r="J182" s="41" t="str">
        <f aca="false">IF(A182="","",ROUND(I182*N(INPUT!L178),2))</f>
        <v/>
      </c>
      <c r="K182" s="40" t="str">
        <f aca="false">IF(A182="","",INPUT!H178)</f>
        <v/>
      </c>
      <c r="L182" s="40" t="str">
        <f aca="false">IF(A182="","",IF(G182=0,"No matching visits",IF(I182&gt;0,"Units exceed visits",IF(E182&lt;&gt;G182,"Day count differs","OK"))))</f>
        <v/>
      </c>
      <c r="M182" s="40" t="str">
        <f aca="false">IF(A182="","",IF(L182="OK","",IF(K182="Hold","On hold","Review before paying")))</f>
        <v/>
      </c>
    </row>
    <row r="183" customFormat="false" ht="15" hidden="false" customHeight="false" outlineLevel="0" collapsed="false">
      <c r="A183" s="21" t="str">
        <f aca="false">IF(INPUT!B179="","",INPUT!A179)</f>
        <v/>
      </c>
      <c r="B183" s="26" t="str">
        <f aca="false">IF(A183="","",INPUT!B179)</f>
        <v/>
      </c>
      <c r="C183" s="26" t="str">
        <f aca="false">IF(A183="","",INPUT!C179)</f>
        <v/>
      </c>
      <c r="D183" s="40" t="str">
        <f aca="false">IF(A183="","",INPUT!D179)</f>
        <v/>
      </c>
      <c r="E183" s="27" t="str">
        <f aca="false">IF(A183="","",N(INPUT!E179))</f>
        <v/>
      </c>
      <c r="F183" s="27" t="str">
        <f aca="false">IF(A183="","",N(INPUT!F179))</f>
        <v/>
      </c>
      <c r="G183" s="27" t="str">
        <f aca="false">IF(A183="","",COUNTIFS(vis_CGID,INPUT!J179,vis_ClientID,INPUT!K179,vis_Svc,D183,vis_Status,"Verified",vis_InWeek,"Yes"))</f>
        <v/>
      </c>
      <c r="H183" s="27" t="str">
        <f aca="false">IF(A183="","",SUMIFS(vis_Units,vis_CGID,INPUT!J179,vis_ClientID,INPUT!K179,vis_Svc,D183,vis_Status,"Verified",vis_InWeek,"Yes"))</f>
        <v/>
      </c>
      <c r="I183" s="45" t="str">
        <f aca="false">IF(A183="","",MAX(0,F183-H183))</f>
        <v/>
      </c>
      <c r="J183" s="41" t="str">
        <f aca="false">IF(A183="","",ROUND(I183*N(INPUT!L179),2))</f>
        <v/>
      </c>
      <c r="K183" s="40" t="str">
        <f aca="false">IF(A183="","",INPUT!H179)</f>
        <v/>
      </c>
      <c r="L183" s="40" t="str">
        <f aca="false">IF(A183="","",IF(G183=0,"No matching visits",IF(I183&gt;0,"Units exceed visits",IF(E183&lt;&gt;G183,"Day count differs","OK"))))</f>
        <v/>
      </c>
      <c r="M183" s="40" t="str">
        <f aca="false">IF(A183="","",IF(L183="OK","",IF(K183="Hold","On hold","Review before paying")))</f>
        <v/>
      </c>
    </row>
    <row r="184" customFormat="false" ht="15" hidden="false" customHeight="false" outlineLevel="0" collapsed="false">
      <c r="A184" s="21" t="str">
        <f aca="false">IF(INPUT!B180="","",INPUT!A180)</f>
        <v/>
      </c>
      <c r="B184" s="26" t="str">
        <f aca="false">IF(A184="","",INPUT!B180)</f>
        <v/>
      </c>
      <c r="C184" s="26" t="str">
        <f aca="false">IF(A184="","",INPUT!C180)</f>
        <v/>
      </c>
      <c r="D184" s="40" t="str">
        <f aca="false">IF(A184="","",INPUT!D180)</f>
        <v/>
      </c>
      <c r="E184" s="27" t="str">
        <f aca="false">IF(A184="","",N(INPUT!E180))</f>
        <v/>
      </c>
      <c r="F184" s="27" t="str">
        <f aca="false">IF(A184="","",N(INPUT!F180))</f>
        <v/>
      </c>
      <c r="G184" s="27" t="str">
        <f aca="false">IF(A184="","",COUNTIFS(vis_CGID,INPUT!J180,vis_ClientID,INPUT!K180,vis_Svc,D184,vis_Status,"Verified",vis_InWeek,"Yes"))</f>
        <v/>
      </c>
      <c r="H184" s="27" t="str">
        <f aca="false">IF(A184="","",SUMIFS(vis_Units,vis_CGID,INPUT!J180,vis_ClientID,INPUT!K180,vis_Svc,D184,vis_Status,"Verified",vis_InWeek,"Yes"))</f>
        <v/>
      </c>
      <c r="I184" s="45" t="str">
        <f aca="false">IF(A184="","",MAX(0,F184-H184))</f>
        <v/>
      </c>
      <c r="J184" s="41" t="str">
        <f aca="false">IF(A184="","",ROUND(I184*N(INPUT!L180),2))</f>
        <v/>
      </c>
      <c r="K184" s="40" t="str">
        <f aca="false">IF(A184="","",INPUT!H180)</f>
        <v/>
      </c>
      <c r="L184" s="40" t="str">
        <f aca="false">IF(A184="","",IF(G184=0,"No matching visits",IF(I184&gt;0,"Units exceed visits",IF(E184&lt;&gt;G184,"Day count differs","OK"))))</f>
        <v/>
      </c>
      <c r="M184" s="40" t="str">
        <f aca="false">IF(A184="","",IF(L184="OK","",IF(K184="Hold","On hold","Review before paying")))</f>
        <v/>
      </c>
    </row>
    <row r="185" customFormat="false" ht="15" hidden="false" customHeight="false" outlineLevel="0" collapsed="false">
      <c r="A185" s="21" t="str">
        <f aca="false">IF(INPUT!B181="","",INPUT!A181)</f>
        <v/>
      </c>
      <c r="B185" s="26" t="str">
        <f aca="false">IF(A185="","",INPUT!B181)</f>
        <v/>
      </c>
      <c r="C185" s="26" t="str">
        <f aca="false">IF(A185="","",INPUT!C181)</f>
        <v/>
      </c>
      <c r="D185" s="40" t="str">
        <f aca="false">IF(A185="","",INPUT!D181)</f>
        <v/>
      </c>
      <c r="E185" s="27" t="str">
        <f aca="false">IF(A185="","",N(INPUT!E181))</f>
        <v/>
      </c>
      <c r="F185" s="27" t="str">
        <f aca="false">IF(A185="","",N(INPUT!F181))</f>
        <v/>
      </c>
      <c r="G185" s="27" t="str">
        <f aca="false">IF(A185="","",COUNTIFS(vis_CGID,INPUT!J181,vis_ClientID,INPUT!K181,vis_Svc,D185,vis_Status,"Verified",vis_InWeek,"Yes"))</f>
        <v/>
      </c>
      <c r="H185" s="27" t="str">
        <f aca="false">IF(A185="","",SUMIFS(vis_Units,vis_CGID,INPUT!J181,vis_ClientID,INPUT!K181,vis_Svc,D185,vis_Status,"Verified",vis_InWeek,"Yes"))</f>
        <v/>
      </c>
      <c r="I185" s="45" t="str">
        <f aca="false">IF(A185="","",MAX(0,F185-H185))</f>
        <v/>
      </c>
      <c r="J185" s="41" t="str">
        <f aca="false">IF(A185="","",ROUND(I185*N(INPUT!L181),2))</f>
        <v/>
      </c>
      <c r="K185" s="40" t="str">
        <f aca="false">IF(A185="","",INPUT!H181)</f>
        <v/>
      </c>
      <c r="L185" s="40" t="str">
        <f aca="false">IF(A185="","",IF(G185=0,"No matching visits",IF(I185&gt;0,"Units exceed visits",IF(E185&lt;&gt;G185,"Day count differs","OK"))))</f>
        <v/>
      </c>
      <c r="M185" s="40" t="str">
        <f aca="false">IF(A185="","",IF(L185="OK","",IF(K185="Hold","On hold","Review before paying")))</f>
        <v/>
      </c>
    </row>
    <row r="186" customFormat="false" ht="15" hidden="false" customHeight="false" outlineLevel="0" collapsed="false">
      <c r="A186" s="21" t="str">
        <f aca="false">IF(INPUT!B182="","",INPUT!A182)</f>
        <v/>
      </c>
      <c r="B186" s="26" t="str">
        <f aca="false">IF(A186="","",INPUT!B182)</f>
        <v/>
      </c>
      <c r="C186" s="26" t="str">
        <f aca="false">IF(A186="","",INPUT!C182)</f>
        <v/>
      </c>
      <c r="D186" s="40" t="str">
        <f aca="false">IF(A186="","",INPUT!D182)</f>
        <v/>
      </c>
      <c r="E186" s="27" t="str">
        <f aca="false">IF(A186="","",N(INPUT!E182))</f>
        <v/>
      </c>
      <c r="F186" s="27" t="str">
        <f aca="false">IF(A186="","",N(INPUT!F182))</f>
        <v/>
      </c>
      <c r="G186" s="27" t="str">
        <f aca="false">IF(A186="","",COUNTIFS(vis_CGID,INPUT!J182,vis_ClientID,INPUT!K182,vis_Svc,D186,vis_Status,"Verified",vis_InWeek,"Yes"))</f>
        <v/>
      </c>
      <c r="H186" s="27" t="str">
        <f aca="false">IF(A186="","",SUMIFS(vis_Units,vis_CGID,INPUT!J182,vis_ClientID,INPUT!K182,vis_Svc,D186,vis_Status,"Verified",vis_InWeek,"Yes"))</f>
        <v/>
      </c>
      <c r="I186" s="45" t="str">
        <f aca="false">IF(A186="","",MAX(0,F186-H186))</f>
        <v/>
      </c>
      <c r="J186" s="41" t="str">
        <f aca="false">IF(A186="","",ROUND(I186*N(INPUT!L182),2))</f>
        <v/>
      </c>
      <c r="K186" s="40" t="str">
        <f aca="false">IF(A186="","",INPUT!H182)</f>
        <v/>
      </c>
      <c r="L186" s="40" t="str">
        <f aca="false">IF(A186="","",IF(G186=0,"No matching visits",IF(I186&gt;0,"Units exceed visits",IF(E186&lt;&gt;G186,"Day count differs","OK"))))</f>
        <v/>
      </c>
      <c r="M186" s="40" t="str">
        <f aca="false">IF(A186="","",IF(L186="OK","",IF(K186="Hold","On hold","Review before paying")))</f>
        <v/>
      </c>
    </row>
    <row r="187" customFormat="false" ht="15" hidden="false" customHeight="false" outlineLevel="0" collapsed="false">
      <c r="A187" s="21" t="str">
        <f aca="false">IF(INPUT!B183="","",INPUT!A183)</f>
        <v/>
      </c>
      <c r="B187" s="26" t="str">
        <f aca="false">IF(A187="","",INPUT!B183)</f>
        <v/>
      </c>
      <c r="C187" s="26" t="str">
        <f aca="false">IF(A187="","",INPUT!C183)</f>
        <v/>
      </c>
      <c r="D187" s="40" t="str">
        <f aca="false">IF(A187="","",INPUT!D183)</f>
        <v/>
      </c>
      <c r="E187" s="27" t="str">
        <f aca="false">IF(A187="","",N(INPUT!E183))</f>
        <v/>
      </c>
      <c r="F187" s="27" t="str">
        <f aca="false">IF(A187="","",N(INPUT!F183))</f>
        <v/>
      </c>
      <c r="G187" s="27" t="str">
        <f aca="false">IF(A187="","",COUNTIFS(vis_CGID,INPUT!J183,vis_ClientID,INPUT!K183,vis_Svc,D187,vis_Status,"Verified",vis_InWeek,"Yes"))</f>
        <v/>
      </c>
      <c r="H187" s="27" t="str">
        <f aca="false">IF(A187="","",SUMIFS(vis_Units,vis_CGID,INPUT!J183,vis_ClientID,INPUT!K183,vis_Svc,D187,vis_Status,"Verified",vis_InWeek,"Yes"))</f>
        <v/>
      </c>
      <c r="I187" s="45" t="str">
        <f aca="false">IF(A187="","",MAX(0,F187-H187))</f>
        <v/>
      </c>
      <c r="J187" s="41" t="str">
        <f aca="false">IF(A187="","",ROUND(I187*N(INPUT!L183),2))</f>
        <v/>
      </c>
      <c r="K187" s="40" t="str">
        <f aca="false">IF(A187="","",INPUT!H183)</f>
        <v/>
      </c>
      <c r="L187" s="40" t="str">
        <f aca="false">IF(A187="","",IF(G187=0,"No matching visits",IF(I187&gt;0,"Units exceed visits",IF(E187&lt;&gt;G187,"Day count differs","OK"))))</f>
        <v/>
      </c>
      <c r="M187" s="40" t="str">
        <f aca="false">IF(A187="","",IF(L187="OK","",IF(K187="Hold","On hold","Review before paying")))</f>
        <v/>
      </c>
    </row>
    <row r="188" customFormat="false" ht="15" hidden="false" customHeight="false" outlineLevel="0" collapsed="false">
      <c r="A188" s="21" t="str">
        <f aca="false">IF(INPUT!B184="","",INPUT!A184)</f>
        <v/>
      </c>
      <c r="B188" s="26" t="str">
        <f aca="false">IF(A188="","",INPUT!B184)</f>
        <v/>
      </c>
      <c r="C188" s="26" t="str">
        <f aca="false">IF(A188="","",INPUT!C184)</f>
        <v/>
      </c>
      <c r="D188" s="40" t="str">
        <f aca="false">IF(A188="","",INPUT!D184)</f>
        <v/>
      </c>
      <c r="E188" s="27" t="str">
        <f aca="false">IF(A188="","",N(INPUT!E184))</f>
        <v/>
      </c>
      <c r="F188" s="27" t="str">
        <f aca="false">IF(A188="","",N(INPUT!F184))</f>
        <v/>
      </c>
      <c r="G188" s="27" t="str">
        <f aca="false">IF(A188="","",COUNTIFS(vis_CGID,INPUT!J184,vis_ClientID,INPUT!K184,vis_Svc,D188,vis_Status,"Verified",vis_InWeek,"Yes"))</f>
        <v/>
      </c>
      <c r="H188" s="27" t="str">
        <f aca="false">IF(A188="","",SUMIFS(vis_Units,vis_CGID,INPUT!J184,vis_ClientID,INPUT!K184,vis_Svc,D188,vis_Status,"Verified",vis_InWeek,"Yes"))</f>
        <v/>
      </c>
      <c r="I188" s="45" t="str">
        <f aca="false">IF(A188="","",MAX(0,F188-H188))</f>
        <v/>
      </c>
      <c r="J188" s="41" t="str">
        <f aca="false">IF(A188="","",ROUND(I188*N(INPUT!L184),2))</f>
        <v/>
      </c>
      <c r="K188" s="40" t="str">
        <f aca="false">IF(A188="","",INPUT!H184)</f>
        <v/>
      </c>
      <c r="L188" s="40" t="str">
        <f aca="false">IF(A188="","",IF(G188=0,"No matching visits",IF(I188&gt;0,"Units exceed visits",IF(E188&lt;&gt;G188,"Day count differs","OK"))))</f>
        <v/>
      </c>
      <c r="M188" s="40" t="str">
        <f aca="false">IF(A188="","",IF(L188="OK","",IF(K188="Hold","On hold","Review before paying")))</f>
        <v/>
      </c>
    </row>
    <row r="189" customFormat="false" ht="15" hidden="false" customHeight="false" outlineLevel="0" collapsed="false">
      <c r="A189" s="21" t="str">
        <f aca="false">IF(INPUT!B185="","",INPUT!A185)</f>
        <v/>
      </c>
      <c r="B189" s="26" t="str">
        <f aca="false">IF(A189="","",INPUT!B185)</f>
        <v/>
      </c>
      <c r="C189" s="26" t="str">
        <f aca="false">IF(A189="","",INPUT!C185)</f>
        <v/>
      </c>
      <c r="D189" s="40" t="str">
        <f aca="false">IF(A189="","",INPUT!D185)</f>
        <v/>
      </c>
      <c r="E189" s="27" t="str">
        <f aca="false">IF(A189="","",N(INPUT!E185))</f>
        <v/>
      </c>
      <c r="F189" s="27" t="str">
        <f aca="false">IF(A189="","",N(INPUT!F185))</f>
        <v/>
      </c>
      <c r="G189" s="27" t="str">
        <f aca="false">IF(A189="","",COUNTIFS(vis_CGID,INPUT!J185,vis_ClientID,INPUT!K185,vis_Svc,D189,vis_Status,"Verified",vis_InWeek,"Yes"))</f>
        <v/>
      </c>
      <c r="H189" s="27" t="str">
        <f aca="false">IF(A189="","",SUMIFS(vis_Units,vis_CGID,INPUT!J185,vis_ClientID,INPUT!K185,vis_Svc,D189,vis_Status,"Verified",vis_InWeek,"Yes"))</f>
        <v/>
      </c>
      <c r="I189" s="45" t="str">
        <f aca="false">IF(A189="","",MAX(0,F189-H189))</f>
        <v/>
      </c>
      <c r="J189" s="41" t="str">
        <f aca="false">IF(A189="","",ROUND(I189*N(INPUT!L185),2))</f>
        <v/>
      </c>
      <c r="K189" s="40" t="str">
        <f aca="false">IF(A189="","",INPUT!H185)</f>
        <v/>
      </c>
      <c r="L189" s="40" t="str">
        <f aca="false">IF(A189="","",IF(G189=0,"No matching visits",IF(I189&gt;0,"Units exceed visits",IF(E189&lt;&gt;G189,"Day count differs","OK"))))</f>
        <v/>
      </c>
      <c r="M189" s="40" t="str">
        <f aca="false">IF(A189="","",IF(L189="OK","",IF(K189="Hold","On hold","Review before paying")))</f>
        <v/>
      </c>
    </row>
    <row r="190" customFormat="false" ht="15" hidden="false" customHeight="false" outlineLevel="0" collapsed="false">
      <c r="A190" s="21" t="str">
        <f aca="false">IF(INPUT!B186="","",INPUT!A186)</f>
        <v/>
      </c>
      <c r="B190" s="26" t="str">
        <f aca="false">IF(A190="","",INPUT!B186)</f>
        <v/>
      </c>
      <c r="C190" s="26" t="str">
        <f aca="false">IF(A190="","",INPUT!C186)</f>
        <v/>
      </c>
      <c r="D190" s="40" t="str">
        <f aca="false">IF(A190="","",INPUT!D186)</f>
        <v/>
      </c>
      <c r="E190" s="27" t="str">
        <f aca="false">IF(A190="","",N(INPUT!E186))</f>
        <v/>
      </c>
      <c r="F190" s="27" t="str">
        <f aca="false">IF(A190="","",N(INPUT!F186))</f>
        <v/>
      </c>
      <c r="G190" s="27" t="str">
        <f aca="false">IF(A190="","",COUNTIFS(vis_CGID,INPUT!J186,vis_ClientID,INPUT!K186,vis_Svc,D190,vis_Status,"Verified",vis_InWeek,"Yes"))</f>
        <v/>
      </c>
      <c r="H190" s="27" t="str">
        <f aca="false">IF(A190="","",SUMIFS(vis_Units,vis_CGID,INPUT!J186,vis_ClientID,INPUT!K186,vis_Svc,D190,vis_Status,"Verified",vis_InWeek,"Yes"))</f>
        <v/>
      </c>
      <c r="I190" s="45" t="str">
        <f aca="false">IF(A190="","",MAX(0,F190-H190))</f>
        <v/>
      </c>
      <c r="J190" s="41" t="str">
        <f aca="false">IF(A190="","",ROUND(I190*N(INPUT!L186),2))</f>
        <v/>
      </c>
      <c r="K190" s="40" t="str">
        <f aca="false">IF(A190="","",INPUT!H186)</f>
        <v/>
      </c>
      <c r="L190" s="40" t="str">
        <f aca="false">IF(A190="","",IF(G190=0,"No matching visits",IF(I190&gt;0,"Units exceed visits",IF(E190&lt;&gt;G190,"Day count differs","OK"))))</f>
        <v/>
      </c>
      <c r="M190" s="40" t="str">
        <f aca="false">IF(A190="","",IF(L190="OK","",IF(K190="Hold","On hold","Review before paying")))</f>
        <v/>
      </c>
    </row>
    <row r="191" customFormat="false" ht="15" hidden="false" customHeight="false" outlineLevel="0" collapsed="false">
      <c r="A191" s="21" t="str">
        <f aca="false">IF(INPUT!B187="","",INPUT!A187)</f>
        <v/>
      </c>
      <c r="B191" s="26" t="str">
        <f aca="false">IF(A191="","",INPUT!B187)</f>
        <v/>
      </c>
      <c r="C191" s="26" t="str">
        <f aca="false">IF(A191="","",INPUT!C187)</f>
        <v/>
      </c>
      <c r="D191" s="40" t="str">
        <f aca="false">IF(A191="","",INPUT!D187)</f>
        <v/>
      </c>
      <c r="E191" s="27" t="str">
        <f aca="false">IF(A191="","",N(INPUT!E187))</f>
        <v/>
      </c>
      <c r="F191" s="27" t="str">
        <f aca="false">IF(A191="","",N(INPUT!F187))</f>
        <v/>
      </c>
      <c r="G191" s="27" t="str">
        <f aca="false">IF(A191="","",COUNTIFS(vis_CGID,INPUT!J187,vis_ClientID,INPUT!K187,vis_Svc,D191,vis_Status,"Verified",vis_InWeek,"Yes"))</f>
        <v/>
      </c>
      <c r="H191" s="27" t="str">
        <f aca="false">IF(A191="","",SUMIFS(vis_Units,vis_CGID,INPUT!J187,vis_ClientID,INPUT!K187,vis_Svc,D191,vis_Status,"Verified",vis_InWeek,"Yes"))</f>
        <v/>
      </c>
      <c r="I191" s="45" t="str">
        <f aca="false">IF(A191="","",MAX(0,F191-H191))</f>
        <v/>
      </c>
      <c r="J191" s="41" t="str">
        <f aca="false">IF(A191="","",ROUND(I191*N(INPUT!L187),2))</f>
        <v/>
      </c>
      <c r="K191" s="40" t="str">
        <f aca="false">IF(A191="","",INPUT!H187)</f>
        <v/>
      </c>
      <c r="L191" s="40" t="str">
        <f aca="false">IF(A191="","",IF(G191=0,"No matching visits",IF(I191&gt;0,"Units exceed visits",IF(E191&lt;&gt;G191,"Day count differs","OK"))))</f>
        <v/>
      </c>
      <c r="M191" s="40" t="str">
        <f aca="false">IF(A191="","",IF(L191="OK","",IF(K191="Hold","On hold","Review before paying")))</f>
        <v/>
      </c>
    </row>
    <row r="192" customFormat="false" ht="15" hidden="false" customHeight="false" outlineLevel="0" collapsed="false">
      <c r="A192" s="21" t="str">
        <f aca="false">IF(INPUT!B188="","",INPUT!A188)</f>
        <v/>
      </c>
      <c r="B192" s="26" t="str">
        <f aca="false">IF(A192="","",INPUT!B188)</f>
        <v/>
      </c>
      <c r="C192" s="26" t="str">
        <f aca="false">IF(A192="","",INPUT!C188)</f>
        <v/>
      </c>
      <c r="D192" s="40" t="str">
        <f aca="false">IF(A192="","",INPUT!D188)</f>
        <v/>
      </c>
      <c r="E192" s="27" t="str">
        <f aca="false">IF(A192="","",N(INPUT!E188))</f>
        <v/>
      </c>
      <c r="F192" s="27" t="str">
        <f aca="false">IF(A192="","",N(INPUT!F188))</f>
        <v/>
      </c>
      <c r="G192" s="27" t="str">
        <f aca="false">IF(A192="","",COUNTIFS(vis_CGID,INPUT!J188,vis_ClientID,INPUT!K188,vis_Svc,D192,vis_Status,"Verified",vis_InWeek,"Yes"))</f>
        <v/>
      </c>
      <c r="H192" s="27" t="str">
        <f aca="false">IF(A192="","",SUMIFS(vis_Units,vis_CGID,INPUT!J188,vis_ClientID,INPUT!K188,vis_Svc,D192,vis_Status,"Verified",vis_InWeek,"Yes"))</f>
        <v/>
      </c>
      <c r="I192" s="45" t="str">
        <f aca="false">IF(A192="","",MAX(0,F192-H192))</f>
        <v/>
      </c>
      <c r="J192" s="41" t="str">
        <f aca="false">IF(A192="","",ROUND(I192*N(INPUT!L188),2))</f>
        <v/>
      </c>
      <c r="K192" s="40" t="str">
        <f aca="false">IF(A192="","",INPUT!H188)</f>
        <v/>
      </c>
      <c r="L192" s="40" t="str">
        <f aca="false">IF(A192="","",IF(G192=0,"No matching visits",IF(I192&gt;0,"Units exceed visits",IF(E192&lt;&gt;G192,"Day count differs","OK"))))</f>
        <v/>
      </c>
      <c r="M192" s="40" t="str">
        <f aca="false">IF(A192="","",IF(L192="OK","",IF(K192="Hold","On hold","Review before paying")))</f>
        <v/>
      </c>
    </row>
    <row r="193" customFormat="false" ht="15" hidden="false" customHeight="false" outlineLevel="0" collapsed="false">
      <c r="A193" s="21" t="str">
        <f aca="false">IF(INPUT!B189="","",INPUT!A189)</f>
        <v/>
      </c>
      <c r="B193" s="26" t="str">
        <f aca="false">IF(A193="","",INPUT!B189)</f>
        <v/>
      </c>
      <c r="C193" s="26" t="str">
        <f aca="false">IF(A193="","",INPUT!C189)</f>
        <v/>
      </c>
      <c r="D193" s="40" t="str">
        <f aca="false">IF(A193="","",INPUT!D189)</f>
        <v/>
      </c>
      <c r="E193" s="27" t="str">
        <f aca="false">IF(A193="","",N(INPUT!E189))</f>
        <v/>
      </c>
      <c r="F193" s="27" t="str">
        <f aca="false">IF(A193="","",N(INPUT!F189))</f>
        <v/>
      </c>
      <c r="G193" s="27" t="str">
        <f aca="false">IF(A193="","",COUNTIFS(vis_CGID,INPUT!J189,vis_ClientID,INPUT!K189,vis_Svc,D193,vis_Status,"Verified",vis_InWeek,"Yes"))</f>
        <v/>
      </c>
      <c r="H193" s="27" t="str">
        <f aca="false">IF(A193="","",SUMIFS(vis_Units,vis_CGID,INPUT!J189,vis_ClientID,INPUT!K189,vis_Svc,D193,vis_Status,"Verified",vis_InWeek,"Yes"))</f>
        <v/>
      </c>
      <c r="I193" s="45" t="str">
        <f aca="false">IF(A193="","",MAX(0,F193-H193))</f>
        <v/>
      </c>
      <c r="J193" s="41" t="str">
        <f aca="false">IF(A193="","",ROUND(I193*N(INPUT!L189),2))</f>
        <v/>
      </c>
      <c r="K193" s="40" t="str">
        <f aca="false">IF(A193="","",INPUT!H189)</f>
        <v/>
      </c>
      <c r="L193" s="40" t="str">
        <f aca="false">IF(A193="","",IF(G193=0,"No matching visits",IF(I193&gt;0,"Units exceed visits",IF(E193&lt;&gt;G193,"Day count differs","OK"))))</f>
        <v/>
      </c>
      <c r="M193" s="40" t="str">
        <f aca="false">IF(A193="","",IF(L193="OK","",IF(K193="Hold","On hold","Review before paying")))</f>
        <v/>
      </c>
    </row>
    <row r="194" customFormat="false" ht="15" hidden="false" customHeight="false" outlineLevel="0" collapsed="false">
      <c r="A194" s="21" t="str">
        <f aca="false">IF(INPUT!B190="","",INPUT!A190)</f>
        <v/>
      </c>
      <c r="B194" s="26" t="str">
        <f aca="false">IF(A194="","",INPUT!B190)</f>
        <v/>
      </c>
      <c r="C194" s="26" t="str">
        <f aca="false">IF(A194="","",INPUT!C190)</f>
        <v/>
      </c>
      <c r="D194" s="40" t="str">
        <f aca="false">IF(A194="","",INPUT!D190)</f>
        <v/>
      </c>
      <c r="E194" s="27" t="str">
        <f aca="false">IF(A194="","",N(INPUT!E190))</f>
        <v/>
      </c>
      <c r="F194" s="27" t="str">
        <f aca="false">IF(A194="","",N(INPUT!F190))</f>
        <v/>
      </c>
      <c r="G194" s="27" t="str">
        <f aca="false">IF(A194="","",COUNTIFS(vis_CGID,INPUT!J190,vis_ClientID,INPUT!K190,vis_Svc,D194,vis_Status,"Verified",vis_InWeek,"Yes"))</f>
        <v/>
      </c>
      <c r="H194" s="27" t="str">
        <f aca="false">IF(A194="","",SUMIFS(vis_Units,vis_CGID,INPUT!J190,vis_ClientID,INPUT!K190,vis_Svc,D194,vis_Status,"Verified",vis_InWeek,"Yes"))</f>
        <v/>
      </c>
      <c r="I194" s="45" t="str">
        <f aca="false">IF(A194="","",MAX(0,F194-H194))</f>
        <v/>
      </c>
      <c r="J194" s="41" t="str">
        <f aca="false">IF(A194="","",ROUND(I194*N(INPUT!L190),2))</f>
        <v/>
      </c>
      <c r="K194" s="40" t="str">
        <f aca="false">IF(A194="","",INPUT!H190)</f>
        <v/>
      </c>
      <c r="L194" s="40" t="str">
        <f aca="false">IF(A194="","",IF(G194=0,"No matching visits",IF(I194&gt;0,"Units exceed visits",IF(E194&lt;&gt;G194,"Day count differs","OK"))))</f>
        <v/>
      </c>
      <c r="M194" s="40" t="str">
        <f aca="false">IF(A194="","",IF(L194="OK","",IF(K194="Hold","On hold","Review before paying")))</f>
        <v/>
      </c>
    </row>
    <row r="195" customFormat="false" ht="15" hidden="false" customHeight="false" outlineLevel="0" collapsed="false">
      <c r="A195" s="21" t="str">
        <f aca="false">IF(INPUT!B191="","",INPUT!A191)</f>
        <v/>
      </c>
      <c r="B195" s="26" t="str">
        <f aca="false">IF(A195="","",INPUT!B191)</f>
        <v/>
      </c>
      <c r="C195" s="26" t="str">
        <f aca="false">IF(A195="","",INPUT!C191)</f>
        <v/>
      </c>
      <c r="D195" s="40" t="str">
        <f aca="false">IF(A195="","",INPUT!D191)</f>
        <v/>
      </c>
      <c r="E195" s="27" t="str">
        <f aca="false">IF(A195="","",N(INPUT!E191))</f>
        <v/>
      </c>
      <c r="F195" s="27" t="str">
        <f aca="false">IF(A195="","",N(INPUT!F191))</f>
        <v/>
      </c>
      <c r="G195" s="27" t="str">
        <f aca="false">IF(A195="","",COUNTIFS(vis_CGID,INPUT!J191,vis_ClientID,INPUT!K191,vis_Svc,D195,vis_Status,"Verified",vis_InWeek,"Yes"))</f>
        <v/>
      </c>
      <c r="H195" s="27" t="str">
        <f aca="false">IF(A195="","",SUMIFS(vis_Units,vis_CGID,INPUT!J191,vis_ClientID,INPUT!K191,vis_Svc,D195,vis_Status,"Verified",vis_InWeek,"Yes"))</f>
        <v/>
      </c>
      <c r="I195" s="45" t="str">
        <f aca="false">IF(A195="","",MAX(0,F195-H195))</f>
        <v/>
      </c>
      <c r="J195" s="41" t="str">
        <f aca="false">IF(A195="","",ROUND(I195*N(INPUT!L191),2))</f>
        <v/>
      </c>
      <c r="K195" s="40" t="str">
        <f aca="false">IF(A195="","",INPUT!H191)</f>
        <v/>
      </c>
      <c r="L195" s="40" t="str">
        <f aca="false">IF(A195="","",IF(G195=0,"No matching visits",IF(I195&gt;0,"Units exceed visits",IF(E195&lt;&gt;G195,"Day count differs","OK"))))</f>
        <v/>
      </c>
      <c r="M195" s="40" t="str">
        <f aca="false">IF(A195="","",IF(L195="OK","",IF(K195="Hold","On hold","Review before paying")))</f>
        <v/>
      </c>
    </row>
    <row r="196" customFormat="false" ht="15" hidden="false" customHeight="false" outlineLevel="0" collapsed="false">
      <c r="A196" s="21" t="str">
        <f aca="false">IF(INPUT!B192="","",INPUT!A192)</f>
        <v/>
      </c>
      <c r="B196" s="26" t="str">
        <f aca="false">IF(A196="","",INPUT!B192)</f>
        <v/>
      </c>
      <c r="C196" s="26" t="str">
        <f aca="false">IF(A196="","",INPUT!C192)</f>
        <v/>
      </c>
      <c r="D196" s="40" t="str">
        <f aca="false">IF(A196="","",INPUT!D192)</f>
        <v/>
      </c>
      <c r="E196" s="27" t="str">
        <f aca="false">IF(A196="","",N(INPUT!E192))</f>
        <v/>
      </c>
      <c r="F196" s="27" t="str">
        <f aca="false">IF(A196="","",N(INPUT!F192))</f>
        <v/>
      </c>
      <c r="G196" s="27" t="str">
        <f aca="false">IF(A196="","",COUNTIFS(vis_CGID,INPUT!J192,vis_ClientID,INPUT!K192,vis_Svc,D196,vis_Status,"Verified",vis_InWeek,"Yes"))</f>
        <v/>
      </c>
      <c r="H196" s="27" t="str">
        <f aca="false">IF(A196="","",SUMIFS(vis_Units,vis_CGID,INPUT!J192,vis_ClientID,INPUT!K192,vis_Svc,D196,vis_Status,"Verified",vis_InWeek,"Yes"))</f>
        <v/>
      </c>
      <c r="I196" s="45" t="str">
        <f aca="false">IF(A196="","",MAX(0,F196-H196))</f>
        <v/>
      </c>
      <c r="J196" s="41" t="str">
        <f aca="false">IF(A196="","",ROUND(I196*N(INPUT!L192),2))</f>
        <v/>
      </c>
      <c r="K196" s="40" t="str">
        <f aca="false">IF(A196="","",INPUT!H192)</f>
        <v/>
      </c>
      <c r="L196" s="40" t="str">
        <f aca="false">IF(A196="","",IF(G196=0,"No matching visits",IF(I196&gt;0,"Units exceed visits",IF(E196&lt;&gt;G196,"Day count differs","OK"))))</f>
        <v/>
      </c>
      <c r="M196" s="40" t="str">
        <f aca="false">IF(A196="","",IF(L196="OK","",IF(K196="Hold","On hold","Review before paying")))</f>
        <v/>
      </c>
    </row>
    <row r="197" customFormat="false" ht="15" hidden="false" customHeight="false" outlineLevel="0" collapsed="false">
      <c r="A197" s="21" t="str">
        <f aca="false">IF(INPUT!B193="","",INPUT!A193)</f>
        <v/>
      </c>
      <c r="B197" s="26" t="str">
        <f aca="false">IF(A197="","",INPUT!B193)</f>
        <v/>
      </c>
      <c r="C197" s="26" t="str">
        <f aca="false">IF(A197="","",INPUT!C193)</f>
        <v/>
      </c>
      <c r="D197" s="40" t="str">
        <f aca="false">IF(A197="","",INPUT!D193)</f>
        <v/>
      </c>
      <c r="E197" s="27" t="str">
        <f aca="false">IF(A197="","",N(INPUT!E193))</f>
        <v/>
      </c>
      <c r="F197" s="27" t="str">
        <f aca="false">IF(A197="","",N(INPUT!F193))</f>
        <v/>
      </c>
      <c r="G197" s="27" t="str">
        <f aca="false">IF(A197="","",COUNTIFS(vis_CGID,INPUT!J193,vis_ClientID,INPUT!K193,vis_Svc,D197,vis_Status,"Verified",vis_InWeek,"Yes"))</f>
        <v/>
      </c>
      <c r="H197" s="27" t="str">
        <f aca="false">IF(A197="","",SUMIFS(vis_Units,vis_CGID,INPUT!J193,vis_ClientID,INPUT!K193,vis_Svc,D197,vis_Status,"Verified",vis_InWeek,"Yes"))</f>
        <v/>
      </c>
      <c r="I197" s="45" t="str">
        <f aca="false">IF(A197="","",MAX(0,F197-H197))</f>
        <v/>
      </c>
      <c r="J197" s="41" t="str">
        <f aca="false">IF(A197="","",ROUND(I197*N(INPUT!L193),2))</f>
        <v/>
      </c>
      <c r="K197" s="40" t="str">
        <f aca="false">IF(A197="","",INPUT!H193)</f>
        <v/>
      </c>
      <c r="L197" s="40" t="str">
        <f aca="false">IF(A197="","",IF(G197=0,"No matching visits",IF(I197&gt;0,"Units exceed visits",IF(E197&lt;&gt;G197,"Day count differs","OK"))))</f>
        <v/>
      </c>
      <c r="M197" s="40" t="str">
        <f aca="false">IF(A197="","",IF(L197="OK","",IF(K197="Hold","On hold","Review before paying")))</f>
        <v/>
      </c>
    </row>
    <row r="198" customFormat="false" ht="15" hidden="false" customHeight="false" outlineLevel="0" collapsed="false">
      <c r="A198" s="21" t="str">
        <f aca="false">IF(INPUT!B194="","",INPUT!A194)</f>
        <v/>
      </c>
      <c r="B198" s="26" t="str">
        <f aca="false">IF(A198="","",INPUT!B194)</f>
        <v/>
      </c>
      <c r="C198" s="26" t="str">
        <f aca="false">IF(A198="","",INPUT!C194)</f>
        <v/>
      </c>
      <c r="D198" s="40" t="str">
        <f aca="false">IF(A198="","",INPUT!D194)</f>
        <v/>
      </c>
      <c r="E198" s="27" t="str">
        <f aca="false">IF(A198="","",N(INPUT!E194))</f>
        <v/>
      </c>
      <c r="F198" s="27" t="str">
        <f aca="false">IF(A198="","",N(INPUT!F194))</f>
        <v/>
      </c>
      <c r="G198" s="27" t="str">
        <f aca="false">IF(A198="","",COUNTIFS(vis_CGID,INPUT!J194,vis_ClientID,INPUT!K194,vis_Svc,D198,vis_Status,"Verified",vis_InWeek,"Yes"))</f>
        <v/>
      </c>
      <c r="H198" s="27" t="str">
        <f aca="false">IF(A198="","",SUMIFS(vis_Units,vis_CGID,INPUT!J194,vis_ClientID,INPUT!K194,vis_Svc,D198,vis_Status,"Verified",vis_InWeek,"Yes"))</f>
        <v/>
      </c>
      <c r="I198" s="45" t="str">
        <f aca="false">IF(A198="","",MAX(0,F198-H198))</f>
        <v/>
      </c>
      <c r="J198" s="41" t="str">
        <f aca="false">IF(A198="","",ROUND(I198*N(INPUT!L194),2))</f>
        <v/>
      </c>
      <c r="K198" s="40" t="str">
        <f aca="false">IF(A198="","",INPUT!H194)</f>
        <v/>
      </c>
      <c r="L198" s="40" t="str">
        <f aca="false">IF(A198="","",IF(G198=0,"No matching visits",IF(I198&gt;0,"Units exceed visits",IF(E198&lt;&gt;G198,"Day count differs","OK"))))</f>
        <v/>
      </c>
      <c r="M198" s="40" t="str">
        <f aca="false">IF(A198="","",IF(L198="OK","",IF(K198="Hold","On hold","Review before paying")))</f>
        <v/>
      </c>
    </row>
    <row r="199" customFormat="false" ht="15" hidden="false" customHeight="false" outlineLevel="0" collapsed="false">
      <c r="A199" s="21" t="str">
        <f aca="false">IF(INPUT!B195="","",INPUT!A195)</f>
        <v/>
      </c>
      <c r="B199" s="26" t="str">
        <f aca="false">IF(A199="","",INPUT!B195)</f>
        <v/>
      </c>
      <c r="C199" s="26" t="str">
        <f aca="false">IF(A199="","",INPUT!C195)</f>
        <v/>
      </c>
      <c r="D199" s="40" t="str">
        <f aca="false">IF(A199="","",INPUT!D195)</f>
        <v/>
      </c>
      <c r="E199" s="27" t="str">
        <f aca="false">IF(A199="","",N(INPUT!E195))</f>
        <v/>
      </c>
      <c r="F199" s="27" t="str">
        <f aca="false">IF(A199="","",N(INPUT!F195))</f>
        <v/>
      </c>
      <c r="G199" s="27" t="str">
        <f aca="false">IF(A199="","",COUNTIFS(vis_CGID,INPUT!J195,vis_ClientID,INPUT!K195,vis_Svc,D199,vis_Status,"Verified",vis_InWeek,"Yes"))</f>
        <v/>
      </c>
      <c r="H199" s="27" t="str">
        <f aca="false">IF(A199="","",SUMIFS(vis_Units,vis_CGID,INPUT!J195,vis_ClientID,INPUT!K195,vis_Svc,D199,vis_Status,"Verified",vis_InWeek,"Yes"))</f>
        <v/>
      </c>
      <c r="I199" s="45" t="str">
        <f aca="false">IF(A199="","",MAX(0,F199-H199))</f>
        <v/>
      </c>
      <c r="J199" s="41" t="str">
        <f aca="false">IF(A199="","",ROUND(I199*N(INPUT!L195),2))</f>
        <v/>
      </c>
      <c r="K199" s="40" t="str">
        <f aca="false">IF(A199="","",INPUT!H195)</f>
        <v/>
      </c>
      <c r="L199" s="40" t="str">
        <f aca="false">IF(A199="","",IF(G199=0,"No matching visits",IF(I199&gt;0,"Units exceed visits",IF(E199&lt;&gt;G199,"Day count differs","OK"))))</f>
        <v/>
      </c>
      <c r="M199" s="40" t="str">
        <f aca="false">IF(A199="","",IF(L199="OK","",IF(K199="Hold","On hold","Review before paying")))</f>
        <v/>
      </c>
    </row>
    <row r="200" customFormat="false" ht="15" hidden="false" customHeight="false" outlineLevel="0" collapsed="false">
      <c r="A200" s="21" t="str">
        <f aca="false">IF(INPUT!B196="","",INPUT!A196)</f>
        <v/>
      </c>
      <c r="B200" s="26" t="str">
        <f aca="false">IF(A200="","",INPUT!B196)</f>
        <v/>
      </c>
      <c r="C200" s="26" t="str">
        <f aca="false">IF(A200="","",INPUT!C196)</f>
        <v/>
      </c>
      <c r="D200" s="40" t="str">
        <f aca="false">IF(A200="","",INPUT!D196)</f>
        <v/>
      </c>
      <c r="E200" s="27" t="str">
        <f aca="false">IF(A200="","",N(INPUT!E196))</f>
        <v/>
      </c>
      <c r="F200" s="27" t="str">
        <f aca="false">IF(A200="","",N(INPUT!F196))</f>
        <v/>
      </c>
      <c r="G200" s="27" t="str">
        <f aca="false">IF(A200="","",COUNTIFS(vis_CGID,INPUT!J196,vis_ClientID,INPUT!K196,vis_Svc,D200,vis_Status,"Verified",vis_InWeek,"Yes"))</f>
        <v/>
      </c>
      <c r="H200" s="27" t="str">
        <f aca="false">IF(A200="","",SUMIFS(vis_Units,vis_CGID,INPUT!J196,vis_ClientID,INPUT!K196,vis_Svc,D200,vis_Status,"Verified",vis_InWeek,"Yes"))</f>
        <v/>
      </c>
      <c r="I200" s="45" t="str">
        <f aca="false">IF(A200="","",MAX(0,F200-H200))</f>
        <v/>
      </c>
      <c r="J200" s="41" t="str">
        <f aca="false">IF(A200="","",ROUND(I200*N(INPUT!L196),2))</f>
        <v/>
      </c>
      <c r="K200" s="40" t="str">
        <f aca="false">IF(A200="","",INPUT!H196)</f>
        <v/>
      </c>
      <c r="L200" s="40" t="str">
        <f aca="false">IF(A200="","",IF(G200=0,"No matching visits",IF(I200&gt;0,"Units exceed visits",IF(E200&lt;&gt;G200,"Day count differs","OK"))))</f>
        <v/>
      </c>
      <c r="M200" s="40" t="str">
        <f aca="false">IF(A200="","",IF(L200="OK","",IF(K200="Hold","On hold","Review before paying")))</f>
        <v/>
      </c>
    </row>
    <row r="201" customFormat="false" ht="15" hidden="false" customHeight="false" outlineLevel="0" collapsed="false">
      <c r="A201" s="21" t="str">
        <f aca="false">IF(INPUT!B197="","",INPUT!A197)</f>
        <v/>
      </c>
      <c r="B201" s="26" t="str">
        <f aca="false">IF(A201="","",INPUT!B197)</f>
        <v/>
      </c>
      <c r="C201" s="26" t="str">
        <f aca="false">IF(A201="","",INPUT!C197)</f>
        <v/>
      </c>
      <c r="D201" s="40" t="str">
        <f aca="false">IF(A201="","",INPUT!D197)</f>
        <v/>
      </c>
      <c r="E201" s="27" t="str">
        <f aca="false">IF(A201="","",N(INPUT!E197))</f>
        <v/>
      </c>
      <c r="F201" s="27" t="str">
        <f aca="false">IF(A201="","",N(INPUT!F197))</f>
        <v/>
      </c>
      <c r="G201" s="27" t="str">
        <f aca="false">IF(A201="","",COUNTIFS(vis_CGID,INPUT!J197,vis_ClientID,INPUT!K197,vis_Svc,D201,vis_Status,"Verified",vis_InWeek,"Yes"))</f>
        <v/>
      </c>
      <c r="H201" s="27" t="str">
        <f aca="false">IF(A201="","",SUMIFS(vis_Units,vis_CGID,INPUT!J197,vis_ClientID,INPUT!K197,vis_Svc,D201,vis_Status,"Verified",vis_InWeek,"Yes"))</f>
        <v/>
      </c>
      <c r="I201" s="45" t="str">
        <f aca="false">IF(A201="","",MAX(0,F201-H201))</f>
        <v/>
      </c>
      <c r="J201" s="41" t="str">
        <f aca="false">IF(A201="","",ROUND(I201*N(INPUT!L197),2))</f>
        <v/>
      </c>
      <c r="K201" s="40" t="str">
        <f aca="false">IF(A201="","",INPUT!H197)</f>
        <v/>
      </c>
      <c r="L201" s="40" t="str">
        <f aca="false">IF(A201="","",IF(G201=0,"No matching visits",IF(I201&gt;0,"Units exceed visits",IF(E201&lt;&gt;G201,"Day count differs","OK"))))</f>
        <v/>
      </c>
      <c r="M201" s="40" t="str">
        <f aca="false">IF(A201="","",IF(L201="OK","",IF(K201="Hold","On hold","Review before paying")))</f>
        <v/>
      </c>
    </row>
    <row r="202" customFormat="false" ht="15" hidden="false" customHeight="false" outlineLevel="0" collapsed="false">
      <c r="A202" s="21" t="str">
        <f aca="false">IF(INPUT!B198="","",INPUT!A198)</f>
        <v/>
      </c>
      <c r="B202" s="26" t="str">
        <f aca="false">IF(A202="","",INPUT!B198)</f>
        <v/>
      </c>
      <c r="C202" s="26" t="str">
        <f aca="false">IF(A202="","",INPUT!C198)</f>
        <v/>
      </c>
      <c r="D202" s="40" t="str">
        <f aca="false">IF(A202="","",INPUT!D198)</f>
        <v/>
      </c>
      <c r="E202" s="27" t="str">
        <f aca="false">IF(A202="","",N(INPUT!E198))</f>
        <v/>
      </c>
      <c r="F202" s="27" t="str">
        <f aca="false">IF(A202="","",N(INPUT!F198))</f>
        <v/>
      </c>
      <c r="G202" s="27" t="str">
        <f aca="false">IF(A202="","",COUNTIFS(vis_CGID,INPUT!J198,vis_ClientID,INPUT!K198,vis_Svc,D202,vis_Status,"Verified",vis_InWeek,"Yes"))</f>
        <v/>
      </c>
      <c r="H202" s="27" t="str">
        <f aca="false">IF(A202="","",SUMIFS(vis_Units,vis_CGID,INPUT!J198,vis_ClientID,INPUT!K198,vis_Svc,D202,vis_Status,"Verified",vis_InWeek,"Yes"))</f>
        <v/>
      </c>
      <c r="I202" s="45" t="str">
        <f aca="false">IF(A202="","",MAX(0,F202-H202))</f>
        <v/>
      </c>
      <c r="J202" s="41" t="str">
        <f aca="false">IF(A202="","",ROUND(I202*N(INPUT!L198),2))</f>
        <v/>
      </c>
      <c r="K202" s="40" t="str">
        <f aca="false">IF(A202="","",INPUT!H198)</f>
        <v/>
      </c>
      <c r="L202" s="40" t="str">
        <f aca="false">IF(A202="","",IF(G202=0,"No matching visits",IF(I202&gt;0,"Units exceed visits",IF(E202&lt;&gt;G202,"Day count differs","OK"))))</f>
        <v/>
      </c>
      <c r="M202" s="40" t="str">
        <f aca="false">IF(A202="","",IF(L202="OK","",IF(K202="Hold","On hold","Review before paying")))</f>
        <v/>
      </c>
    </row>
    <row r="203" customFormat="false" ht="15" hidden="false" customHeight="false" outlineLevel="0" collapsed="false">
      <c r="A203" s="21" t="str">
        <f aca="false">IF(INPUT!B199="","",INPUT!A199)</f>
        <v/>
      </c>
      <c r="B203" s="26" t="str">
        <f aca="false">IF(A203="","",INPUT!B199)</f>
        <v/>
      </c>
      <c r="C203" s="26" t="str">
        <f aca="false">IF(A203="","",INPUT!C199)</f>
        <v/>
      </c>
      <c r="D203" s="40" t="str">
        <f aca="false">IF(A203="","",INPUT!D199)</f>
        <v/>
      </c>
      <c r="E203" s="27" t="str">
        <f aca="false">IF(A203="","",N(INPUT!E199))</f>
        <v/>
      </c>
      <c r="F203" s="27" t="str">
        <f aca="false">IF(A203="","",N(INPUT!F199))</f>
        <v/>
      </c>
      <c r="G203" s="27" t="str">
        <f aca="false">IF(A203="","",COUNTIFS(vis_CGID,INPUT!J199,vis_ClientID,INPUT!K199,vis_Svc,D203,vis_Status,"Verified",vis_InWeek,"Yes"))</f>
        <v/>
      </c>
      <c r="H203" s="27" t="str">
        <f aca="false">IF(A203="","",SUMIFS(vis_Units,vis_CGID,INPUT!J199,vis_ClientID,INPUT!K199,vis_Svc,D203,vis_Status,"Verified",vis_InWeek,"Yes"))</f>
        <v/>
      </c>
      <c r="I203" s="45" t="str">
        <f aca="false">IF(A203="","",MAX(0,F203-H203))</f>
        <v/>
      </c>
      <c r="J203" s="41" t="str">
        <f aca="false">IF(A203="","",ROUND(I203*N(INPUT!L199),2))</f>
        <v/>
      </c>
      <c r="K203" s="40" t="str">
        <f aca="false">IF(A203="","",INPUT!H199)</f>
        <v/>
      </c>
      <c r="L203" s="40" t="str">
        <f aca="false">IF(A203="","",IF(G203=0,"No matching visits",IF(I203&gt;0,"Units exceed visits",IF(E203&lt;&gt;G203,"Day count differs","OK"))))</f>
        <v/>
      </c>
      <c r="M203" s="40" t="str">
        <f aca="false">IF(A203="","",IF(L203="OK","",IF(K203="Hold","On hold","Review before paying")))</f>
        <v/>
      </c>
    </row>
    <row r="204" customFormat="false" ht="15" hidden="false" customHeight="false" outlineLevel="0" collapsed="false">
      <c r="A204" s="21" t="str">
        <f aca="false">IF(INPUT!B200="","",INPUT!A200)</f>
        <v/>
      </c>
      <c r="B204" s="26" t="str">
        <f aca="false">IF(A204="","",INPUT!B200)</f>
        <v/>
      </c>
      <c r="C204" s="26" t="str">
        <f aca="false">IF(A204="","",INPUT!C200)</f>
        <v/>
      </c>
      <c r="D204" s="40" t="str">
        <f aca="false">IF(A204="","",INPUT!D200)</f>
        <v/>
      </c>
      <c r="E204" s="27" t="str">
        <f aca="false">IF(A204="","",N(INPUT!E200))</f>
        <v/>
      </c>
      <c r="F204" s="27" t="str">
        <f aca="false">IF(A204="","",N(INPUT!F200))</f>
        <v/>
      </c>
      <c r="G204" s="27" t="str">
        <f aca="false">IF(A204="","",COUNTIFS(vis_CGID,INPUT!J200,vis_ClientID,INPUT!K200,vis_Svc,D204,vis_Status,"Verified",vis_InWeek,"Yes"))</f>
        <v/>
      </c>
      <c r="H204" s="27" t="str">
        <f aca="false">IF(A204="","",SUMIFS(vis_Units,vis_CGID,INPUT!J200,vis_ClientID,INPUT!K200,vis_Svc,D204,vis_Status,"Verified",vis_InWeek,"Yes"))</f>
        <v/>
      </c>
      <c r="I204" s="45" t="str">
        <f aca="false">IF(A204="","",MAX(0,F204-H204))</f>
        <v/>
      </c>
      <c r="J204" s="41" t="str">
        <f aca="false">IF(A204="","",ROUND(I204*N(INPUT!L200),2))</f>
        <v/>
      </c>
      <c r="K204" s="40" t="str">
        <f aca="false">IF(A204="","",INPUT!H200)</f>
        <v/>
      </c>
      <c r="L204" s="40" t="str">
        <f aca="false">IF(A204="","",IF(G204=0,"No matching visits",IF(I204&gt;0,"Units exceed visits",IF(E204&lt;&gt;G204,"Day count differs","OK"))))</f>
        <v/>
      </c>
      <c r="M204" s="40" t="str">
        <f aca="false">IF(A204="","",IF(L204="OK","",IF(K204="Hold","On hold","Review before paying")))</f>
        <v/>
      </c>
    </row>
    <row r="205" customFormat="false" ht="15" hidden="false" customHeight="false" outlineLevel="0" collapsed="false">
      <c r="A205" s="21" t="str">
        <f aca="false">IF(INPUT!B201="","",INPUT!A201)</f>
        <v/>
      </c>
      <c r="B205" s="26" t="str">
        <f aca="false">IF(A205="","",INPUT!B201)</f>
        <v/>
      </c>
      <c r="C205" s="26" t="str">
        <f aca="false">IF(A205="","",INPUT!C201)</f>
        <v/>
      </c>
      <c r="D205" s="40" t="str">
        <f aca="false">IF(A205="","",INPUT!D201)</f>
        <v/>
      </c>
      <c r="E205" s="27" t="str">
        <f aca="false">IF(A205="","",N(INPUT!E201))</f>
        <v/>
      </c>
      <c r="F205" s="27" t="str">
        <f aca="false">IF(A205="","",N(INPUT!F201))</f>
        <v/>
      </c>
      <c r="G205" s="27" t="str">
        <f aca="false">IF(A205="","",COUNTIFS(vis_CGID,INPUT!J201,vis_ClientID,INPUT!K201,vis_Svc,D205,vis_Status,"Verified",vis_InWeek,"Yes"))</f>
        <v/>
      </c>
      <c r="H205" s="27" t="str">
        <f aca="false">IF(A205="","",SUMIFS(vis_Units,vis_CGID,INPUT!J201,vis_ClientID,INPUT!K201,vis_Svc,D205,vis_Status,"Verified",vis_InWeek,"Yes"))</f>
        <v/>
      </c>
      <c r="I205" s="45" t="str">
        <f aca="false">IF(A205="","",MAX(0,F205-H205))</f>
        <v/>
      </c>
      <c r="J205" s="41" t="str">
        <f aca="false">IF(A205="","",ROUND(I205*N(INPUT!L201),2))</f>
        <v/>
      </c>
      <c r="K205" s="40" t="str">
        <f aca="false">IF(A205="","",INPUT!H201)</f>
        <v/>
      </c>
      <c r="L205" s="40" t="str">
        <f aca="false">IF(A205="","",IF(G205=0,"No matching visits",IF(I205&gt;0,"Units exceed visits",IF(E205&lt;&gt;G205,"Day count differs","OK"))))</f>
        <v/>
      </c>
      <c r="M205" s="40" t="str">
        <f aca="false">IF(A205="","",IF(L205="OK","",IF(K205="Hold","On hold","Review before paying")))</f>
        <v/>
      </c>
    </row>
    <row r="206" customFormat="false" ht="15" hidden="false" customHeight="false" outlineLevel="0" collapsed="false">
      <c r="A206" s="21" t="str">
        <f aca="false">IF(INPUT!B202="","",INPUT!A202)</f>
        <v/>
      </c>
      <c r="B206" s="26" t="str">
        <f aca="false">IF(A206="","",INPUT!B202)</f>
        <v/>
      </c>
      <c r="C206" s="26" t="str">
        <f aca="false">IF(A206="","",INPUT!C202)</f>
        <v/>
      </c>
      <c r="D206" s="40" t="str">
        <f aca="false">IF(A206="","",INPUT!D202)</f>
        <v/>
      </c>
      <c r="E206" s="27" t="str">
        <f aca="false">IF(A206="","",N(INPUT!E202))</f>
        <v/>
      </c>
      <c r="F206" s="27" t="str">
        <f aca="false">IF(A206="","",N(INPUT!F202))</f>
        <v/>
      </c>
      <c r="G206" s="27" t="str">
        <f aca="false">IF(A206="","",COUNTIFS(vis_CGID,INPUT!J202,vis_ClientID,INPUT!K202,vis_Svc,D206,vis_Status,"Verified",vis_InWeek,"Yes"))</f>
        <v/>
      </c>
      <c r="H206" s="27" t="str">
        <f aca="false">IF(A206="","",SUMIFS(vis_Units,vis_CGID,INPUT!J202,vis_ClientID,INPUT!K202,vis_Svc,D206,vis_Status,"Verified",vis_InWeek,"Yes"))</f>
        <v/>
      </c>
      <c r="I206" s="45" t="str">
        <f aca="false">IF(A206="","",MAX(0,F206-H206))</f>
        <v/>
      </c>
      <c r="J206" s="41" t="str">
        <f aca="false">IF(A206="","",ROUND(I206*N(INPUT!L202),2))</f>
        <v/>
      </c>
      <c r="K206" s="40" t="str">
        <f aca="false">IF(A206="","",INPUT!H202)</f>
        <v/>
      </c>
      <c r="L206" s="40" t="str">
        <f aca="false">IF(A206="","",IF(G206=0,"No matching visits",IF(I206&gt;0,"Units exceed visits",IF(E206&lt;&gt;G206,"Day count differs","OK"))))</f>
        <v/>
      </c>
      <c r="M206" s="40" t="str">
        <f aca="false">IF(A206="","",IF(L206="OK","",IF(K206="Hold","On hold","Review before paying")))</f>
        <v/>
      </c>
    </row>
    <row r="207" customFormat="false" ht="15" hidden="false" customHeight="false" outlineLevel="0" collapsed="false">
      <c r="A207" s="21" t="str">
        <f aca="false">IF(INPUT!B203="","",INPUT!A203)</f>
        <v/>
      </c>
      <c r="B207" s="26" t="str">
        <f aca="false">IF(A207="","",INPUT!B203)</f>
        <v/>
      </c>
      <c r="C207" s="26" t="str">
        <f aca="false">IF(A207="","",INPUT!C203)</f>
        <v/>
      </c>
      <c r="D207" s="40" t="str">
        <f aca="false">IF(A207="","",INPUT!D203)</f>
        <v/>
      </c>
      <c r="E207" s="27" t="str">
        <f aca="false">IF(A207="","",N(INPUT!E203))</f>
        <v/>
      </c>
      <c r="F207" s="27" t="str">
        <f aca="false">IF(A207="","",N(INPUT!F203))</f>
        <v/>
      </c>
      <c r="G207" s="27" t="str">
        <f aca="false">IF(A207="","",COUNTIFS(vis_CGID,INPUT!J203,vis_ClientID,INPUT!K203,vis_Svc,D207,vis_Status,"Verified",vis_InWeek,"Yes"))</f>
        <v/>
      </c>
      <c r="H207" s="27" t="str">
        <f aca="false">IF(A207="","",SUMIFS(vis_Units,vis_CGID,INPUT!J203,vis_ClientID,INPUT!K203,vis_Svc,D207,vis_Status,"Verified",vis_InWeek,"Yes"))</f>
        <v/>
      </c>
      <c r="I207" s="45" t="str">
        <f aca="false">IF(A207="","",MAX(0,F207-H207))</f>
        <v/>
      </c>
      <c r="J207" s="41" t="str">
        <f aca="false">IF(A207="","",ROUND(I207*N(INPUT!L203),2))</f>
        <v/>
      </c>
      <c r="K207" s="40" t="str">
        <f aca="false">IF(A207="","",INPUT!H203)</f>
        <v/>
      </c>
      <c r="L207" s="40" t="str">
        <f aca="false">IF(A207="","",IF(G207=0,"No matching visits",IF(I207&gt;0,"Units exceed visits",IF(E207&lt;&gt;G207,"Day count differs","OK"))))</f>
        <v/>
      </c>
      <c r="M207" s="40" t="str">
        <f aca="false">IF(A207="","",IF(L207="OK","",IF(K207="Hold","On hold","Review before paying")))</f>
        <v/>
      </c>
    </row>
    <row r="208" customFormat="false" ht="15" hidden="false" customHeight="false" outlineLevel="0" collapsed="false">
      <c r="A208" s="21" t="str">
        <f aca="false">IF(INPUT!B204="","",INPUT!A204)</f>
        <v/>
      </c>
      <c r="B208" s="26" t="str">
        <f aca="false">IF(A208="","",INPUT!B204)</f>
        <v/>
      </c>
      <c r="C208" s="26" t="str">
        <f aca="false">IF(A208="","",INPUT!C204)</f>
        <v/>
      </c>
      <c r="D208" s="40" t="str">
        <f aca="false">IF(A208="","",INPUT!D204)</f>
        <v/>
      </c>
      <c r="E208" s="27" t="str">
        <f aca="false">IF(A208="","",N(INPUT!E204))</f>
        <v/>
      </c>
      <c r="F208" s="27" t="str">
        <f aca="false">IF(A208="","",N(INPUT!F204))</f>
        <v/>
      </c>
      <c r="G208" s="27" t="str">
        <f aca="false">IF(A208="","",COUNTIFS(vis_CGID,INPUT!J204,vis_ClientID,INPUT!K204,vis_Svc,D208,vis_Status,"Verified",vis_InWeek,"Yes"))</f>
        <v/>
      </c>
      <c r="H208" s="27" t="str">
        <f aca="false">IF(A208="","",SUMIFS(vis_Units,vis_CGID,INPUT!J204,vis_ClientID,INPUT!K204,vis_Svc,D208,vis_Status,"Verified",vis_InWeek,"Yes"))</f>
        <v/>
      </c>
      <c r="I208" s="45" t="str">
        <f aca="false">IF(A208="","",MAX(0,F208-H208))</f>
        <v/>
      </c>
      <c r="J208" s="41" t="str">
        <f aca="false">IF(A208="","",ROUND(I208*N(INPUT!L204),2))</f>
        <v/>
      </c>
      <c r="K208" s="40" t="str">
        <f aca="false">IF(A208="","",INPUT!H204)</f>
        <v/>
      </c>
      <c r="L208" s="40" t="str">
        <f aca="false">IF(A208="","",IF(G208=0,"No matching visits",IF(I208&gt;0,"Units exceed visits",IF(E208&lt;&gt;G208,"Day count differs","OK"))))</f>
        <v/>
      </c>
      <c r="M208" s="40" t="str">
        <f aca="false">IF(A208="","",IF(L208="OK","",IF(K208="Hold","On hold","Review before paying")))</f>
        <v/>
      </c>
    </row>
    <row r="209" customFormat="false" ht="15" hidden="false" customHeight="false" outlineLevel="0" collapsed="false">
      <c r="A209" s="21" t="str">
        <f aca="false">IF(INPUT!B205="","",INPUT!A205)</f>
        <v/>
      </c>
      <c r="B209" s="26" t="str">
        <f aca="false">IF(A209="","",INPUT!B205)</f>
        <v/>
      </c>
      <c r="C209" s="26" t="str">
        <f aca="false">IF(A209="","",INPUT!C205)</f>
        <v/>
      </c>
      <c r="D209" s="40" t="str">
        <f aca="false">IF(A209="","",INPUT!D205)</f>
        <v/>
      </c>
      <c r="E209" s="27" t="str">
        <f aca="false">IF(A209="","",N(INPUT!E205))</f>
        <v/>
      </c>
      <c r="F209" s="27" t="str">
        <f aca="false">IF(A209="","",N(INPUT!F205))</f>
        <v/>
      </c>
      <c r="G209" s="27" t="str">
        <f aca="false">IF(A209="","",COUNTIFS(vis_CGID,INPUT!J205,vis_ClientID,INPUT!K205,vis_Svc,D209,vis_Status,"Verified",vis_InWeek,"Yes"))</f>
        <v/>
      </c>
      <c r="H209" s="27" t="str">
        <f aca="false">IF(A209="","",SUMIFS(vis_Units,vis_CGID,INPUT!J205,vis_ClientID,INPUT!K205,vis_Svc,D209,vis_Status,"Verified",vis_InWeek,"Yes"))</f>
        <v/>
      </c>
      <c r="I209" s="45" t="str">
        <f aca="false">IF(A209="","",MAX(0,F209-H209))</f>
        <v/>
      </c>
      <c r="J209" s="41" t="str">
        <f aca="false">IF(A209="","",ROUND(I209*N(INPUT!L205),2))</f>
        <v/>
      </c>
      <c r="K209" s="40" t="str">
        <f aca="false">IF(A209="","",INPUT!H205)</f>
        <v/>
      </c>
      <c r="L209" s="40" t="str">
        <f aca="false">IF(A209="","",IF(G209=0,"No matching visits",IF(I209&gt;0,"Units exceed visits",IF(E209&lt;&gt;G209,"Day count differs","OK"))))</f>
        <v/>
      </c>
      <c r="M209" s="40" t="str">
        <f aca="false">IF(A209="","",IF(L209="OK","",IF(K209="Hold","On hold","Review before paying")))</f>
        <v/>
      </c>
    </row>
    <row r="210" customFormat="false" ht="15" hidden="false" customHeight="false" outlineLevel="0" collapsed="false">
      <c r="A210" s="21" t="str">
        <f aca="false">IF(INPUT!B206="","",INPUT!A206)</f>
        <v/>
      </c>
      <c r="B210" s="26" t="str">
        <f aca="false">IF(A210="","",INPUT!B206)</f>
        <v/>
      </c>
      <c r="C210" s="26" t="str">
        <f aca="false">IF(A210="","",INPUT!C206)</f>
        <v/>
      </c>
      <c r="D210" s="40" t="str">
        <f aca="false">IF(A210="","",INPUT!D206)</f>
        <v/>
      </c>
      <c r="E210" s="27" t="str">
        <f aca="false">IF(A210="","",N(INPUT!E206))</f>
        <v/>
      </c>
      <c r="F210" s="27" t="str">
        <f aca="false">IF(A210="","",N(INPUT!F206))</f>
        <v/>
      </c>
      <c r="G210" s="27" t="str">
        <f aca="false">IF(A210="","",COUNTIFS(vis_CGID,INPUT!J206,vis_ClientID,INPUT!K206,vis_Svc,D210,vis_Status,"Verified",vis_InWeek,"Yes"))</f>
        <v/>
      </c>
      <c r="H210" s="27" t="str">
        <f aca="false">IF(A210="","",SUMIFS(vis_Units,vis_CGID,INPUT!J206,vis_ClientID,INPUT!K206,vis_Svc,D210,vis_Status,"Verified",vis_InWeek,"Yes"))</f>
        <v/>
      </c>
      <c r="I210" s="45" t="str">
        <f aca="false">IF(A210="","",MAX(0,F210-H210))</f>
        <v/>
      </c>
      <c r="J210" s="41" t="str">
        <f aca="false">IF(A210="","",ROUND(I210*N(INPUT!L206),2))</f>
        <v/>
      </c>
      <c r="K210" s="40" t="str">
        <f aca="false">IF(A210="","",INPUT!H206)</f>
        <v/>
      </c>
      <c r="L210" s="40" t="str">
        <f aca="false">IF(A210="","",IF(G210=0,"No matching visits",IF(I210&gt;0,"Units exceed visits",IF(E210&lt;&gt;G210,"Day count differs","OK"))))</f>
        <v/>
      </c>
      <c r="M210" s="40" t="str">
        <f aca="false">IF(A210="","",IF(L210="OK","",IF(K210="Hold","On hold","Review before paying")))</f>
        <v/>
      </c>
    </row>
    <row r="211" customFormat="false" ht="15" hidden="false" customHeight="false" outlineLevel="0" collapsed="false">
      <c r="A211" s="21" t="str">
        <f aca="false">IF(INPUT!B207="","",INPUT!A207)</f>
        <v/>
      </c>
      <c r="B211" s="26" t="str">
        <f aca="false">IF(A211="","",INPUT!B207)</f>
        <v/>
      </c>
      <c r="C211" s="26" t="str">
        <f aca="false">IF(A211="","",INPUT!C207)</f>
        <v/>
      </c>
      <c r="D211" s="40" t="str">
        <f aca="false">IF(A211="","",INPUT!D207)</f>
        <v/>
      </c>
      <c r="E211" s="27" t="str">
        <f aca="false">IF(A211="","",N(INPUT!E207))</f>
        <v/>
      </c>
      <c r="F211" s="27" t="str">
        <f aca="false">IF(A211="","",N(INPUT!F207))</f>
        <v/>
      </c>
      <c r="G211" s="27" t="str">
        <f aca="false">IF(A211="","",COUNTIFS(vis_CGID,INPUT!J207,vis_ClientID,INPUT!K207,vis_Svc,D211,vis_Status,"Verified",vis_InWeek,"Yes"))</f>
        <v/>
      </c>
      <c r="H211" s="27" t="str">
        <f aca="false">IF(A211="","",SUMIFS(vis_Units,vis_CGID,INPUT!J207,vis_ClientID,INPUT!K207,vis_Svc,D211,vis_Status,"Verified",vis_InWeek,"Yes"))</f>
        <v/>
      </c>
      <c r="I211" s="45" t="str">
        <f aca="false">IF(A211="","",MAX(0,F211-H211))</f>
        <v/>
      </c>
      <c r="J211" s="41" t="str">
        <f aca="false">IF(A211="","",ROUND(I211*N(INPUT!L207),2))</f>
        <v/>
      </c>
      <c r="K211" s="40" t="str">
        <f aca="false">IF(A211="","",INPUT!H207)</f>
        <v/>
      </c>
      <c r="L211" s="40" t="str">
        <f aca="false">IF(A211="","",IF(G211=0,"No matching visits",IF(I211&gt;0,"Units exceed visits",IF(E211&lt;&gt;G211,"Day count differs","OK"))))</f>
        <v/>
      </c>
      <c r="M211" s="40" t="str">
        <f aca="false">IF(A211="","",IF(L211="OK","",IF(K211="Hold","On hold","Review before paying")))</f>
        <v/>
      </c>
    </row>
    <row r="212" customFormat="false" ht="15" hidden="false" customHeight="false" outlineLevel="0" collapsed="false">
      <c r="A212" s="21" t="str">
        <f aca="false">IF(INPUT!B208="","",INPUT!A208)</f>
        <v/>
      </c>
      <c r="B212" s="26" t="str">
        <f aca="false">IF(A212="","",INPUT!B208)</f>
        <v/>
      </c>
      <c r="C212" s="26" t="str">
        <f aca="false">IF(A212="","",INPUT!C208)</f>
        <v/>
      </c>
      <c r="D212" s="40" t="str">
        <f aca="false">IF(A212="","",INPUT!D208)</f>
        <v/>
      </c>
      <c r="E212" s="27" t="str">
        <f aca="false">IF(A212="","",N(INPUT!E208))</f>
        <v/>
      </c>
      <c r="F212" s="27" t="str">
        <f aca="false">IF(A212="","",N(INPUT!F208))</f>
        <v/>
      </c>
      <c r="G212" s="27" t="str">
        <f aca="false">IF(A212="","",COUNTIFS(vis_CGID,INPUT!J208,vis_ClientID,INPUT!K208,vis_Svc,D212,vis_Status,"Verified",vis_InWeek,"Yes"))</f>
        <v/>
      </c>
      <c r="H212" s="27" t="str">
        <f aca="false">IF(A212="","",SUMIFS(vis_Units,vis_CGID,INPUT!J208,vis_ClientID,INPUT!K208,vis_Svc,D212,vis_Status,"Verified",vis_InWeek,"Yes"))</f>
        <v/>
      </c>
      <c r="I212" s="45" t="str">
        <f aca="false">IF(A212="","",MAX(0,F212-H212))</f>
        <v/>
      </c>
      <c r="J212" s="41" t="str">
        <f aca="false">IF(A212="","",ROUND(I212*N(INPUT!L208),2))</f>
        <v/>
      </c>
      <c r="K212" s="40" t="str">
        <f aca="false">IF(A212="","",INPUT!H208)</f>
        <v/>
      </c>
      <c r="L212" s="40" t="str">
        <f aca="false">IF(A212="","",IF(G212=0,"No matching visits",IF(I212&gt;0,"Units exceed visits",IF(E212&lt;&gt;G212,"Day count differs","OK"))))</f>
        <v/>
      </c>
      <c r="M212" s="40" t="str">
        <f aca="false">IF(A212="","",IF(L212="OK","",IF(K212="Hold","On hold","Review before paying")))</f>
        <v/>
      </c>
    </row>
    <row r="213" customFormat="false" ht="15" hidden="false" customHeight="false" outlineLevel="0" collapsed="false">
      <c r="A213" s="21" t="str">
        <f aca="false">IF(INPUT!B209="","",INPUT!A209)</f>
        <v/>
      </c>
      <c r="B213" s="26" t="str">
        <f aca="false">IF(A213="","",INPUT!B209)</f>
        <v/>
      </c>
      <c r="C213" s="26" t="str">
        <f aca="false">IF(A213="","",INPUT!C209)</f>
        <v/>
      </c>
      <c r="D213" s="40" t="str">
        <f aca="false">IF(A213="","",INPUT!D209)</f>
        <v/>
      </c>
      <c r="E213" s="27" t="str">
        <f aca="false">IF(A213="","",N(INPUT!E209))</f>
        <v/>
      </c>
      <c r="F213" s="27" t="str">
        <f aca="false">IF(A213="","",N(INPUT!F209))</f>
        <v/>
      </c>
      <c r="G213" s="27" t="str">
        <f aca="false">IF(A213="","",COUNTIFS(vis_CGID,INPUT!J209,vis_ClientID,INPUT!K209,vis_Svc,D213,vis_Status,"Verified",vis_InWeek,"Yes"))</f>
        <v/>
      </c>
      <c r="H213" s="27" t="str">
        <f aca="false">IF(A213="","",SUMIFS(vis_Units,vis_CGID,INPUT!J209,vis_ClientID,INPUT!K209,vis_Svc,D213,vis_Status,"Verified",vis_InWeek,"Yes"))</f>
        <v/>
      </c>
      <c r="I213" s="45" t="str">
        <f aca="false">IF(A213="","",MAX(0,F213-H213))</f>
        <v/>
      </c>
      <c r="J213" s="41" t="str">
        <f aca="false">IF(A213="","",ROUND(I213*N(INPUT!L209),2))</f>
        <v/>
      </c>
      <c r="K213" s="40" t="str">
        <f aca="false">IF(A213="","",INPUT!H209)</f>
        <v/>
      </c>
      <c r="L213" s="40" t="str">
        <f aca="false">IF(A213="","",IF(G213=0,"No matching visits",IF(I213&gt;0,"Units exceed visits",IF(E213&lt;&gt;G213,"Day count differs","OK"))))</f>
        <v/>
      </c>
      <c r="M213" s="40" t="str">
        <f aca="false">IF(A213="","",IF(L213="OK","",IF(K213="Hold","On hold","Review before paying")))</f>
        <v/>
      </c>
    </row>
    <row r="214" customFormat="false" ht="15" hidden="false" customHeight="false" outlineLevel="0" collapsed="false">
      <c r="A214" s="21" t="str">
        <f aca="false">IF(INPUT!B210="","",INPUT!A210)</f>
        <v/>
      </c>
      <c r="B214" s="26" t="str">
        <f aca="false">IF(A214="","",INPUT!B210)</f>
        <v/>
      </c>
      <c r="C214" s="26" t="str">
        <f aca="false">IF(A214="","",INPUT!C210)</f>
        <v/>
      </c>
      <c r="D214" s="40" t="str">
        <f aca="false">IF(A214="","",INPUT!D210)</f>
        <v/>
      </c>
      <c r="E214" s="27" t="str">
        <f aca="false">IF(A214="","",N(INPUT!E210))</f>
        <v/>
      </c>
      <c r="F214" s="27" t="str">
        <f aca="false">IF(A214="","",N(INPUT!F210))</f>
        <v/>
      </c>
      <c r="G214" s="27" t="str">
        <f aca="false">IF(A214="","",COUNTIFS(vis_CGID,INPUT!J210,vis_ClientID,INPUT!K210,vis_Svc,D214,vis_Status,"Verified",vis_InWeek,"Yes"))</f>
        <v/>
      </c>
      <c r="H214" s="27" t="str">
        <f aca="false">IF(A214="","",SUMIFS(vis_Units,vis_CGID,INPUT!J210,vis_ClientID,INPUT!K210,vis_Svc,D214,vis_Status,"Verified",vis_InWeek,"Yes"))</f>
        <v/>
      </c>
      <c r="I214" s="45" t="str">
        <f aca="false">IF(A214="","",MAX(0,F214-H214))</f>
        <v/>
      </c>
      <c r="J214" s="41" t="str">
        <f aca="false">IF(A214="","",ROUND(I214*N(INPUT!L210),2))</f>
        <v/>
      </c>
      <c r="K214" s="40" t="str">
        <f aca="false">IF(A214="","",INPUT!H210)</f>
        <v/>
      </c>
      <c r="L214" s="40" t="str">
        <f aca="false">IF(A214="","",IF(G214=0,"No matching visits",IF(I214&gt;0,"Units exceed visits",IF(E214&lt;&gt;G214,"Day count differs","OK"))))</f>
        <v/>
      </c>
      <c r="M214" s="40" t="str">
        <f aca="false">IF(A214="","",IF(L214="OK","",IF(K214="Hold","On hold","Review before paying")))</f>
        <v/>
      </c>
    </row>
    <row r="215" customFormat="false" ht="15" hidden="false" customHeight="false" outlineLevel="0" collapsed="false">
      <c r="A215" s="21" t="str">
        <f aca="false">IF(INPUT!B211="","",INPUT!A211)</f>
        <v/>
      </c>
      <c r="B215" s="26" t="str">
        <f aca="false">IF(A215="","",INPUT!B211)</f>
        <v/>
      </c>
      <c r="C215" s="26" t="str">
        <f aca="false">IF(A215="","",INPUT!C211)</f>
        <v/>
      </c>
      <c r="D215" s="40" t="str">
        <f aca="false">IF(A215="","",INPUT!D211)</f>
        <v/>
      </c>
      <c r="E215" s="27" t="str">
        <f aca="false">IF(A215="","",N(INPUT!E211))</f>
        <v/>
      </c>
      <c r="F215" s="27" t="str">
        <f aca="false">IF(A215="","",N(INPUT!F211))</f>
        <v/>
      </c>
      <c r="G215" s="27" t="str">
        <f aca="false">IF(A215="","",COUNTIFS(vis_CGID,INPUT!J211,vis_ClientID,INPUT!K211,vis_Svc,D215,vis_Status,"Verified",vis_InWeek,"Yes"))</f>
        <v/>
      </c>
      <c r="H215" s="27" t="str">
        <f aca="false">IF(A215="","",SUMIFS(vis_Units,vis_CGID,INPUT!J211,vis_ClientID,INPUT!K211,vis_Svc,D215,vis_Status,"Verified",vis_InWeek,"Yes"))</f>
        <v/>
      </c>
      <c r="I215" s="45" t="str">
        <f aca="false">IF(A215="","",MAX(0,F215-H215))</f>
        <v/>
      </c>
      <c r="J215" s="41" t="str">
        <f aca="false">IF(A215="","",ROUND(I215*N(INPUT!L211),2))</f>
        <v/>
      </c>
      <c r="K215" s="40" t="str">
        <f aca="false">IF(A215="","",INPUT!H211)</f>
        <v/>
      </c>
      <c r="L215" s="40" t="str">
        <f aca="false">IF(A215="","",IF(G215=0,"No matching visits",IF(I215&gt;0,"Units exceed visits",IF(E215&lt;&gt;G215,"Day count differs","OK"))))</f>
        <v/>
      </c>
      <c r="M215" s="40" t="str">
        <f aca="false">IF(A215="","",IF(L215="OK","",IF(K215="Hold","On hold","Review before paying")))</f>
        <v/>
      </c>
    </row>
    <row r="216" customFormat="false" ht="15" hidden="false" customHeight="false" outlineLevel="0" collapsed="false">
      <c r="A216" s="21" t="str">
        <f aca="false">IF(INPUT!B212="","",INPUT!A212)</f>
        <v/>
      </c>
      <c r="B216" s="26" t="str">
        <f aca="false">IF(A216="","",INPUT!B212)</f>
        <v/>
      </c>
      <c r="C216" s="26" t="str">
        <f aca="false">IF(A216="","",INPUT!C212)</f>
        <v/>
      </c>
      <c r="D216" s="40" t="str">
        <f aca="false">IF(A216="","",INPUT!D212)</f>
        <v/>
      </c>
      <c r="E216" s="27" t="str">
        <f aca="false">IF(A216="","",N(INPUT!E212))</f>
        <v/>
      </c>
      <c r="F216" s="27" t="str">
        <f aca="false">IF(A216="","",N(INPUT!F212))</f>
        <v/>
      </c>
      <c r="G216" s="27" t="str">
        <f aca="false">IF(A216="","",COUNTIFS(vis_CGID,INPUT!J212,vis_ClientID,INPUT!K212,vis_Svc,D216,vis_Status,"Verified",vis_InWeek,"Yes"))</f>
        <v/>
      </c>
      <c r="H216" s="27" t="str">
        <f aca="false">IF(A216="","",SUMIFS(vis_Units,vis_CGID,INPUT!J212,vis_ClientID,INPUT!K212,vis_Svc,D216,vis_Status,"Verified",vis_InWeek,"Yes"))</f>
        <v/>
      </c>
      <c r="I216" s="45" t="str">
        <f aca="false">IF(A216="","",MAX(0,F216-H216))</f>
        <v/>
      </c>
      <c r="J216" s="41" t="str">
        <f aca="false">IF(A216="","",ROUND(I216*N(INPUT!L212),2))</f>
        <v/>
      </c>
      <c r="K216" s="40" t="str">
        <f aca="false">IF(A216="","",INPUT!H212)</f>
        <v/>
      </c>
      <c r="L216" s="40" t="str">
        <f aca="false">IF(A216="","",IF(G216=0,"No matching visits",IF(I216&gt;0,"Units exceed visits",IF(E216&lt;&gt;G216,"Day count differs","OK"))))</f>
        <v/>
      </c>
      <c r="M216" s="40" t="str">
        <f aca="false">IF(A216="","",IF(L216="OK","",IF(K216="Hold","On hold","Review before paying")))</f>
        <v/>
      </c>
    </row>
    <row r="217" customFormat="false" ht="15" hidden="false" customHeight="false" outlineLevel="0" collapsed="false">
      <c r="A217" s="21" t="str">
        <f aca="false">IF(INPUT!B213="","",INPUT!A213)</f>
        <v/>
      </c>
      <c r="B217" s="26" t="str">
        <f aca="false">IF(A217="","",INPUT!B213)</f>
        <v/>
      </c>
      <c r="C217" s="26" t="str">
        <f aca="false">IF(A217="","",INPUT!C213)</f>
        <v/>
      </c>
      <c r="D217" s="40" t="str">
        <f aca="false">IF(A217="","",INPUT!D213)</f>
        <v/>
      </c>
      <c r="E217" s="27" t="str">
        <f aca="false">IF(A217="","",N(INPUT!E213))</f>
        <v/>
      </c>
      <c r="F217" s="27" t="str">
        <f aca="false">IF(A217="","",N(INPUT!F213))</f>
        <v/>
      </c>
      <c r="G217" s="27" t="str">
        <f aca="false">IF(A217="","",COUNTIFS(vis_CGID,INPUT!J213,vis_ClientID,INPUT!K213,vis_Svc,D217,vis_Status,"Verified",vis_InWeek,"Yes"))</f>
        <v/>
      </c>
      <c r="H217" s="27" t="str">
        <f aca="false">IF(A217="","",SUMIFS(vis_Units,vis_CGID,INPUT!J213,vis_ClientID,INPUT!K213,vis_Svc,D217,vis_Status,"Verified",vis_InWeek,"Yes"))</f>
        <v/>
      </c>
      <c r="I217" s="45" t="str">
        <f aca="false">IF(A217="","",MAX(0,F217-H217))</f>
        <v/>
      </c>
      <c r="J217" s="41" t="str">
        <f aca="false">IF(A217="","",ROUND(I217*N(INPUT!L213),2))</f>
        <v/>
      </c>
      <c r="K217" s="40" t="str">
        <f aca="false">IF(A217="","",INPUT!H213)</f>
        <v/>
      </c>
      <c r="L217" s="40" t="str">
        <f aca="false">IF(A217="","",IF(G217=0,"No matching visits",IF(I217&gt;0,"Units exceed visits",IF(E217&lt;&gt;G217,"Day count differs","OK"))))</f>
        <v/>
      </c>
      <c r="M217" s="40" t="str">
        <f aca="false">IF(A217="","",IF(L217="OK","",IF(K217="Hold","On hold","Review before paying")))</f>
        <v/>
      </c>
    </row>
    <row r="218" customFormat="false" ht="15" hidden="false" customHeight="false" outlineLevel="0" collapsed="false">
      <c r="A218" s="21" t="str">
        <f aca="false">IF(INPUT!B214="","",INPUT!A214)</f>
        <v/>
      </c>
      <c r="B218" s="26" t="str">
        <f aca="false">IF(A218="","",INPUT!B214)</f>
        <v/>
      </c>
      <c r="C218" s="26" t="str">
        <f aca="false">IF(A218="","",INPUT!C214)</f>
        <v/>
      </c>
      <c r="D218" s="40" t="str">
        <f aca="false">IF(A218="","",INPUT!D214)</f>
        <v/>
      </c>
      <c r="E218" s="27" t="str">
        <f aca="false">IF(A218="","",N(INPUT!E214))</f>
        <v/>
      </c>
      <c r="F218" s="27" t="str">
        <f aca="false">IF(A218="","",N(INPUT!F214))</f>
        <v/>
      </c>
      <c r="G218" s="27" t="str">
        <f aca="false">IF(A218="","",COUNTIFS(vis_CGID,INPUT!J214,vis_ClientID,INPUT!K214,vis_Svc,D218,vis_Status,"Verified",vis_InWeek,"Yes"))</f>
        <v/>
      </c>
      <c r="H218" s="27" t="str">
        <f aca="false">IF(A218="","",SUMIFS(vis_Units,vis_CGID,INPUT!J214,vis_ClientID,INPUT!K214,vis_Svc,D218,vis_Status,"Verified",vis_InWeek,"Yes"))</f>
        <v/>
      </c>
      <c r="I218" s="45" t="str">
        <f aca="false">IF(A218="","",MAX(0,F218-H218))</f>
        <v/>
      </c>
      <c r="J218" s="41" t="str">
        <f aca="false">IF(A218="","",ROUND(I218*N(INPUT!L214),2))</f>
        <v/>
      </c>
      <c r="K218" s="40" t="str">
        <f aca="false">IF(A218="","",INPUT!H214)</f>
        <v/>
      </c>
      <c r="L218" s="40" t="str">
        <f aca="false">IF(A218="","",IF(G218=0,"No matching visits",IF(I218&gt;0,"Units exceed visits",IF(E218&lt;&gt;G218,"Day count differs","OK"))))</f>
        <v/>
      </c>
      <c r="M218" s="40" t="str">
        <f aca="false">IF(A218="","",IF(L218="OK","",IF(K218="Hold","On hold","Review before paying")))</f>
        <v/>
      </c>
    </row>
    <row r="219" customFormat="false" ht="15" hidden="false" customHeight="false" outlineLevel="0" collapsed="false">
      <c r="A219" s="21" t="str">
        <f aca="false">IF(INPUT!B215="","",INPUT!A215)</f>
        <v/>
      </c>
      <c r="B219" s="26" t="str">
        <f aca="false">IF(A219="","",INPUT!B215)</f>
        <v/>
      </c>
      <c r="C219" s="26" t="str">
        <f aca="false">IF(A219="","",INPUT!C215)</f>
        <v/>
      </c>
      <c r="D219" s="40" t="str">
        <f aca="false">IF(A219="","",INPUT!D215)</f>
        <v/>
      </c>
      <c r="E219" s="27" t="str">
        <f aca="false">IF(A219="","",N(INPUT!E215))</f>
        <v/>
      </c>
      <c r="F219" s="27" t="str">
        <f aca="false">IF(A219="","",N(INPUT!F215))</f>
        <v/>
      </c>
      <c r="G219" s="27" t="str">
        <f aca="false">IF(A219="","",COUNTIFS(vis_CGID,INPUT!J215,vis_ClientID,INPUT!K215,vis_Svc,D219,vis_Status,"Verified",vis_InWeek,"Yes"))</f>
        <v/>
      </c>
      <c r="H219" s="27" t="str">
        <f aca="false">IF(A219="","",SUMIFS(vis_Units,vis_CGID,INPUT!J215,vis_ClientID,INPUT!K215,vis_Svc,D219,vis_Status,"Verified",vis_InWeek,"Yes"))</f>
        <v/>
      </c>
      <c r="I219" s="45" t="str">
        <f aca="false">IF(A219="","",MAX(0,F219-H219))</f>
        <v/>
      </c>
      <c r="J219" s="41" t="str">
        <f aca="false">IF(A219="","",ROUND(I219*N(INPUT!L215),2))</f>
        <v/>
      </c>
      <c r="K219" s="40" t="str">
        <f aca="false">IF(A219="","",INPUT!H215)</f>
        <v/>
      </c>
      <c r="L219" s="40" t="str">
        <f aca="false">IF(A219="","",IF(G219=0,"No matching visits",IF(I219&gt;0,"Units exceed visits",IF(E219&lt;&gt;G219,"Day count differs","OK"))))</f>
        <v/>
      </c>
      <c r="M219" s="40" t="str">
        <f aca="false">IF(A219="","",IF(L219="OK","",IF(K219="Hold","On hold","Review before paying")))</f>
        <v/>
      </c>
    </row>
    <row r="220" customFormat="false" ht="15" hidden="false" customHeight="false" outlineLevel="0" collapsed="false">
      <c r="A220" s="21" t="str">
        <f aca="false">IF(INPUT!B216="","",INPUT!A216)</f>
        <v/>
      </c>
      <c r="B220" s="26" t="str">
        <f aca="false">IF(A220="","",INPUT!B216)</f>
        <v/>
      </c>
      <c r="C220" s="26" t="str">
        <f aca="false">IF(A220="","",INPUT!C216)</f>
        <v/>
      </c>
      <c r="D220" s="40" t="str">
        <f aca="false">IF(A220="","",INPUT!D216)</f>
        <v/>
      </c>
      <c r="E220" s="27" t="str">
        <f aca="false">IF(A220="","",N(INPUT!E216))</f>
        <v/>
      </c>
      <c r="F220" s="27" t="str">
        <f aca="false">IF(A220="","",N(INPUT!F216))</f>
        <v/>
      </c>
      <c r="G220" s="27" t="str">
        <f aca="false">IF(A220="","",COUNTIFS(vis_CGID,INPUT!J216,vis_ClientID,INPUT!K216,vis_Svc,D220,vis_Status,"Verified",vis_InWeek,"Yes"))</f>
        <v/>
      </c>
      <c r="H220" s="27" t="str">
        <f aca="false">IF(A220="","",SUMIFS(vis_Units,vis_CGID,INPUT!J216,vis_ClientID,INPUT!K216,vis_Svc,D220,vis_Status,"Verified",vis_InWeek,"Yes"))</f>
        <v/>
      </c>
      <c r="I220" s="45" t="str">
        <f aca="false">IF(A220="","",MAX(0,F220-H220))</f>
        <v/>
      </c>
      <c r="J220" s="41" t="str">
        <f aca="false">IF(A220="","",ROUND(I220*N(INPUT!L216),2))</f>
        <v/>
      </c>
      <c r="K220" s="40" t="str">
        <f aca="false">IF(A220="","",INPUT!H216)</f>
        <v/>
      </c>
      <c r="L220" s="40" t="str">
        <f aca="false">IF(A220="","",IF(G220=0,"No matching visits",IF(I220&gt;0,"Units exceed visits",IF(E220&lt;&gt;G220,"Day count differs","OK"))))</f>
        <v/>
      </c>
      <c r="M220" s="40" t="str">
        <f aca="false">IF(A220="","",IF(L220="OK","",IF(K220="Hold","On hold","Review before paying")))</f>
        <v/>
      </c>
    </row>
    <row r="221" customFormat="false" ht="15" hidden="false" customHeight="false" outlineLevel="0" collapsed="false">
      <c r="A221" s="21" t="str">
        <f aca="false">IF(INPUT!B217="","",INPUT!A217)</f>
        <v/>
      </c>
      <c r="B221" s="26" t="str">
        <f aca="false">IF(A221="","",INPUT!B217)</f>
        <v/>
      </c>
      <c r="C221" s="26" t="str">
        <f aca="false">IF(A221="","",INPUT!C217)</f>
        <v/>
      </c>
      <c r="D221" s="40" t="str">
        <f aca="false">IF(A221="","",INPUT!D217)</f>
        <v/>
      </c>
      <c r="E221" s="27" t="str">
        <f aca="false">IF(A221="","",N(INPUT!E217))</f>
        <v/>
      </c>
      <c r="F221" s="27" t="str">
        <f aca="false">IF(A221="","",N(INPUT!F217))</f>
        <v/>
      </c>
      <c r="G221" s="27" t="str">
        <f aca="false">IF(A221="","",COUNTIFS(vis_CGID,INPUT!J217,vis_ClientID,INPUT!K217,vis_Svc,D221,vis_Status,"Verified",vis_InWeek,"Yes"))</f>
        <v/>
      </c>
      <c r="H221" s="27" t="str">
        <f aca="false">IF(A221="","",SUMIFS(vis_Units,vis_CGID,INPUT!J217,vis_ClientID,INPUT!K217,vis_Svc,D221,vis_Status,"Verified",vis_InWeek,"Yes"))</f>
        <v/>
      </c>
      <c r="I221" s="45" t="str">
        <f aca="false">IF(A221="","",MAX(0,F221-H221))</f>
        <v/>
      </c>
      <c r="J221" s="41" t="str">
        <f aca="false">IF(A221="","",ROUND(I221*N(INPUT!L217),2))</f>
        <v/>
      </c>
      <c r="K221" s="40" t="str">
        <f aca="false">IF(A221="","",INPUT!H217)</f>
        <v/>
      </c>
      <c r="L221" s="40" t="str">
        <f aca="false">IF(A221="","",IF(G221=0,"No matching visits",IF(I221&gt;0,"Units exceed visits",IF(E221&lt;&gt;G221,"Day count differs","OK"))))</f>
        <v/>
      </c>
      <c r="M221" s="40" t="str">
        <f aca="false">IF(A221="","",IF(L221="OK","",IF(K221="Hold","On hold","Review before paying")))</f>
        <v/>
      </c>
    </row>
    <row r="222" customFormat="false" ht="15" hidden="false" customHeight="false" outlineLevel="0" collapsed="false">
      <c r="A222" s="21" t="str">
        <f aca="false">IF(INPUT!B218="","",INPUT!A218)</f>
        <v/>
      </c>
      <c r="B222" s="26" t="str">
        <f aca="false">IF(A222="","",INPUT!B218)</f>
        <v/>
      </c>
      <c r="C222" s="26" t="str">
        <f aca="false">IF(A222="","",INPUT!C218)</f>
        <v/>
      </c>
      <c r="D222" s="40" t="str">
        <f aca="false">IF(A222="","",INPUT!D218)</f>
        <v/>
      </c>
      <c r="E222" s="27" t="str">
        <f aca="false">IF(A222="","",N(INPUT!E218))</f>
        <v/>
      </c>
      <c r="F222" s="27" t="str">
        <f aca="false">IF(A222="","",N(INPUT!F218))</f>
        <v/>
      </c>
      <c r="G222" s="27" t="str">
        <f aca="false">IF(A222="","",COUNTIFS(vis_CGID,INPUT!J218,vis_ClientID,INPUT!K218,vis_Svc,D222,vis_Status,"Verified",vis_InWeek,"Yes"))</f>
        <v/>
      </c>
      <c r="H222" s="27" t="str">
        <f aca="false">IF(A222="","",SUMIFS(vis_Units,vis_CGID,INPUT!J218,vis_ClientID,INPUT!K218,vis_Svc,D222,vis_Status,"Verified",vis_InWeek,"Yes"))</f>
        <v/>
      </c>
      <c r="I222" s="45" t="str">
        <f aca="false">IF(A222="","",MAX(0,F222-H222))</f>
        <v/>
      </c>
      <c r="J222" s="41" t="str">
        <f aca="false">IF(A222="","",ROUND(I222*N(INPUT!L218),2))</f>
        <v/>
      </c>
      <c r="K222" s="40" t="str">
        <f aca="false">IF(A222="","",INPUT!H218)</f>
        <v/>
      </c>
      <c r="L222" s="40" t="str">
        <f aca="false">IF(A222="","",IF(G222=0,"No matching visits",IF(I222&gt;0,"Units exceed visits",IF(E222&lt;&gt;G222,"Day count differs","OK"))))</f>
        <v/>
      </c>
      <c r="M222" s="40" t="str">
        <f aca="false">IF(A222="","",IF(L222="OK","",IF(K222="Hold","On hold","Review before paying")))</f>
        <v/>
      </c>
    </row>
    <row r="223" customFormat="false" ht="15" hidden="false" customHeight="false" outlineLevel="0" collapsed="false">
      <c r="A223" s="21" t="str">
        <f aca="false">IF(INPUT!B219="","",INPUT!A219)</f>
        <v/>
      </c>
      <c r="B223" s="26" t="str">
        <f aca="false">IF(A223="","",INPUT!B219)</f>
        <v/>
      </c>
      <c r="C223" s="26" t="str">
        <f aca="false">IF(A223="","",INPUT!C219)</f>
        <v/>
      </c>
      <c r="D223" s="40" t="str">
        <f aca="false">IF(A223="","",INPUT!D219)</f>
        <v/>
      </c>
      <c r="E223" s="27" t="str">
        <f aca="false">IF(A223="","",N(INPUT!E219))</f>
        <v/>
      </c>
      <c r="F223" s="27" t="str">
        <f aca="false">IF(A223="","",N(INPUT!F219))</f>
        <v/>
      </c>
      <c r="G223" s="27" t="str">
        <f aca="false">IF(A223="","",COUNTIFS(vis_CGID,INPUT!J219,vis_ClientID,INPUT!K219,vis_Svc,D223,vis_Status,"Verified",vis_InWeek,"Yes"))</f>
        <v/>
      </c>
      <c r="H223" s="27" t="str">
        <f aca="false">IF(A223="","",SUMIFS(vis_Units,vis_CGID,INPUT!J219,vis_ClientID,INPUT!K219,vis_Svc,D223,vis_Status,"Verified",vis_InWeek,"Yes"))</f>
        <v/>
      </c>
      <c r="I223" s="45" t="str">
        <f aca="false">IF(A223="","",MAX(0,F223-H223))</f>
        <v/>
      </c>
      <c r="J223" s="41" t="str">
        <f aca="false">IF(A223="","",ROUND(I223*N(INPUT!L219),2))</f>
        <v/>
      </c>
      <c r="K223" s="40" t="str">
        <f aca="false">IF(A223="","",INPUT!H219)</f>
        <v/>
      </c>
      <c r="L223" s="40" t="str">
        <f aca="false">IF(A223="","",IF(G223=0,"No matching visits",IF(I223&gt;0,"Units exceed visits",IF(E223&lt;&gt;G223,"Day count differs","OK"))))</f>
        <v/>
      </c>
      <c r="M223" s="40" t="str">
        <f aca="false">IF(A223="","",IF(L223="OK","",IF(K223="Hold","On hold","Review before paying")))</f>
        <v/>
      </c>
    </row>
    <row r="224" customFormat="false" ht="15" hidden="false" customHeight="false" outlineLevel="0" collapsed="false">
      <c r="A224" s="21" t="str">
        <f aca="false">IF(INPUT!B220="","",INPUT!A220)</f>
        <v/>
      </c>
      <c r="B224" s="26" t="str">
        <f aca="false">IF(A224="","",INPUT!B220)</f>
        <v/>
      </c>
      <c r="C224" s="26" t="str">
        <f aca="false">IF(A224="","",INPUT!C220)</f>
        <v/>
      </c>
      <c r="D224" s="40" t="str">
        <f aca="false">IF(A224="","",INPUT!D220)</f>
        <v/>
      </c>
      <c r="E224" s="27" t="str">
        <f aca="false">IF(A224="","",N(INPUT!E220))</f>
        <v/>
      </c>
      <c r="F224" s="27" t="str">
        <f aca="false">IF(A224="","",N(INPUT!F220))</f>
        <v/>
      </c>
      <c r="G224" s="27" t="str">
        <f aca="false">IF(A224="","",COUNTIFS(vis_CGID,INPUT!J220,vis_ClientID,INPUT!K220,vis_Svc,D224,vis_Status,"Verified",vis_InWeek,"Yes"))</f>
        <v/>
      </c>
      <c r="H224" s="27" t="str">
        <f aca="false">IF(A224="","",SUMIFS(vis_Units,vis_CGID,INPUT!J220,vis_ClientID,INPUT!K220,vis_Svc,D224,vis_Status,"Verified",vis_InWeek,"Yes"))</f>
        <v/>
      </c>
      <c r="I224" s="45" t="str">
        <f aca="false">IF(A224="","",MAX(0,F224-H224))</f>
        <v/>
      </c>
      <c r="J224" s="41" t="str">
        <f aca="false">IF(A224="","",ROUND(I224*N(INPUT!L220),2))</f>
        <v/>
      </c>
      <c r="K224" s="40" t="str">
        <f aca="false">IF(A224="","",INPUT!H220)</f>
        <v/>
      </c>
      <c r="L224" s="40" t="str">
        <f aca="false">IF(A224="","",IF(G224=0,"No matching visits",IF(I224&gt;0,"Units exceed visits",IF(E224&lt;&gt;G224,"Day count differs","OK"))))</f>
        <v/>
      </c>
      <c r="M224" s="40" t="str">
        <f aca="false">IF(A224="","",IF(L224="OK","",IF(K224="Hold","On hold","Review before paying")))</f>
        <v/>
      </c>
    </row>
    <row r="225" customFormat="false" ht="15" hidden="false" customHeight="false" outlineLevel="0" collapsed="false">
      <c r="A225" s="21" t="str">
        <f aca="false">IF(INPUT!B221="","",INPUT!A221)</f>
        <v/>
      </c>
      <c r="B225" s="26" t="str">
        <f aca="false">IF(A225="","",INPUT!B221)</f>
        <v/>
      </c>
      <c r="C225" s="26" t="str">
        <f aca="false">IF(A225="","",INPUT!C221)</f>
        <v/>
      </c>
      <c r="D225" s="40" t="str">
        <f aca="false">IF(A225="","",INPUT!D221)</f>
        <v/>
      </c>
      <c r="E225" s="27" t="str">
        <f aca="false">IF(A225="","",N(INPUT!E221))</f>
        <v/>
      </c>
      <c r="F225" s="27" t="str">
        <f aca="false">IF(A225="","",N(INPUT!F221))</f>
        <v/>
      </c>
      <c r="G225" s="27" t="str">
        <f aca="false">IF(A225="","",COUNTIFS(vis_CGID,INPUT!J221,vis_ClientID,INPUT!K221,vis_Svc,D225,vis_Status,"Verified",vis_InWeek,"Yes"))</f>
        <v/>
      </c>
      <c r="H225" s="27" t="str">
        <f aca="false">IF(A225="","",SUMIFS(vis_Units,vis_CGID,INPUT!J221,vis_ClientID,INPUT!K221,vis_Svc,D225,vis_Status,"Verified",vis_InWeek,"Yes"))</f>
        <v/>
      </c>
      <c r="I225" s="45" t="str">
        <f aca="false">IF(A225="","",MAX(0,F225-H225))</f>
        <v/>
      </c>
      <c r="J225" s="41" t="str">
        <f aca="false">IF(A225="","",ROUND(I225*N(INPUT!L221),2))</f>
        <v/>
      </c>
      <c r="K225" s="40" t="str">
        <f aca="false">IF(A225="","",INPUT!H221)</f>
        <v/>
      </c>
      <c r="L225" s="40" t="str">
        <f aca="false">IF(A225="","",IF(G225=0,"No matching visits",IF(I225&gt;0,"Units exceed visits",IF(E225&lt;&gt;G225,"Day count differs","OK"))))</f>
        <v/>
      </c>
      <c r="M225" s="40" t="str">
        <f aca="false">IF(A225="","",IF(L225="OK","",IF(K225="Hold","On hold","Review before paying")))</f>
        <v/>
      </c>
    </row>
    <row r="226" customFormat="false" ht="15" hidden="false" customHeight="false" outlineLevel="0" collapsed="false">
      <c r="A226" s="21" t="str">
        <f aca="false">IF(INPUT!B222="","",INPUT!A222)</f>
        <v/>
      </c>
      <c r="B226" s="26" t="str">
        <f aca="false">IF(A226="","",INPUT!B222)</f>
        <v/>
      </c>
      <c r="C226" s="26" t="str">
        <f aca="false">IF(A226="","",INPUT!C222)</f>
        <v/>
      </c>
      <c r="D226" s="40" t="str">
        <f aca="false">IF(A226="","",INPUT!D222)</f>
        <v/>
      </c>
      <c r="E226" s="27" t="str">
        <f aca="false">IF(A226="","",N(INPUT!E222))</f>
        <v/>
      </c>
      <c r="F226" s="27" t="str">
        <f aca="false">IF(A226="","",N(INPUT!F222))</f>
        <v/>
      </c>
      <c r="G226" s="27" t="str">
        <f aca="false">IF(A226="","",COUNTIFS(vis_CGID,INPUT!J222,vis_ClientID,INPUT!K222,vis_Svc,D226,vis_Status,"Verified",vis_InWeek,"Yes"))</f>
        <v/>
      </c>
      <c r="H226" s="27" t="str">
        <f aca="false">IF(A226="","",SUMIFS(vis_Units,vis_CGID,INPUT!J222,vis_ClientID,INPUT!K222,vis_Svc,D226,vis_Status,"Verified",vis_InWeek,"Yes"))</f>
        <v/>
      </c>
      <c r="I226" s="45" t="str">
        <f aca="false">IF(A226="","",MAX(0,F226-H226))</f>
        <v/>
      </c>
      <c r="J226" s="41" t="str">
        <f aca="false">IF(A226="","",ROUND(I226*N(INPUT!L222),2))</f>
        <v/>
      </c>
      <c r="K226" s="40" t="str">
        <f aca="false">IF(A226="","",INPUT!H222)</f>
        <v/>
      </c>
      <c r="L226" s="40" t="str">
        <f aca="false">IF(A226="","",IF(G226=0,"No matching visits",IF(I226&gt;0,"Units exceed visits",IF(E226&lt;&gt;G226,"Day count differs","OK"))))</f>
        <v/>
      </c>
      <c r="M226" s="40" t="str">
        <f aca="false">IF(A226="","",IF(L226="OK","",IF(K226="Hold","On hold","Review before paying")))</f>
        <v/>
      </c>
    </row>
    <row r="227" customFormat="false" ht="15" hidden="false" customHeight="false" outlineLevel="0" collapsed="false">
      <c r="A227" s="21" t="str">
        <f aca="false">IF(INPUT!B223="","",INPUT!A223)</f>
        <v/>
      </c>
      <c r="B227" s="26" t="str">
        <f aca="false">IF(A227="","",INPUT!B223)</f>
        <v/>
      </c>
      <c r="C227" s="26" t="str">
        <f aca="false">IF(A227="","",INPUT!C223)</f>
        <v/>
      </c>
      <c r="D227" s="40" t="str">
        <f aca="false">IF(A227="","",INPUT!D223)</f>
        <v/>
      </c>
      <c r="E227" s="27" t="str">
        <f aca="false">IF(A227="","",N(INPUT!E223))</f>
        <v/>
      </c>
      <c r="F227" s="27" t="str">
        <f aca="false">IF(A227="","",N(INPUT!F223))</f>
        <v/>
      </c>
      <c r="G227" s="27" t="str">
        <f aca="false">IF(A227="","",COUNTIFS(vis_CGID,INPUT!J223,vis_ClientID,INPUT!K223,vis_Svc,D227,vis_Status,"Verified",vis_InWeek,"Yes"))</f>
        <v/>
      </c>
      <c r="H227" s="27" t="str">
        <f aca="false">IF(A227="","",SUMIFS(vis_Units,vis_CGID,INPUT!J223,vis_ClientID,INPUT!K223,vis_Svc,D227,vis_Status,"Verified",vis_InWeek,"Yes"))</f>
        <v/>
      </c>
      <c r="I227" s="45" t="str">
        <f aca="false">IF(A227="","",MAX(0,F227-H227))</f>
        <v/>
      </c>
      <c r="J227" s="41" t="str">
        <f aca="false">IF(A227="","",ROUND(I227*N(INPUT!L223),2))</f>
        <v/>
      </c>
      <c r="K227" s="40" t="str">
        <f aca="false">IF(A227="","",INPUT!H223)</f>
        <v/>
      </c>
      <c r="L227" s="40" t="str">
        <f aca="false">IF(A227="","",IF(G227=0,"No matching visits",IF(I227&gt;0,"Units exceed visits",IF(E227&lt;&gt;G227,"Day count differs","OK"))))</f>
        <v/>
      </c>
      <c r="M227" s="40" t="str">
        <f aca="false">IF(A227="","",IF(L227="OK","",IF(K227="Hold","On hold","Review before paying")))</f>
        <v/>
      </c>
    </row>
    <row r="228" customFormat="false" ht="15" hidden="false" customHeight="false" outlineLevel="0" collapsed="false">
      <c r="A228" s="21" t="str">
        <f aca="false">IF(INPUT!B224="","",INPUT!A224)</f>
        <v/>
      </c>
      <c r="B228" s="26" t="str">
        <f aca="false">IF(A228="","",INPUT!B224)</f>
        <v/>
      </c>
      <c r="C228" s="26" t="str">
        <f aca="false">IF(A228="","",INPUT!C224)</f>
        <v/>
      </c>
      <c r="D228" s="40" t="str">
        <f aca="false">IF(A228="","",INPUT!D224)</f>
        <v/>
      </c>
      <c r="E228" s="27" t="str">
        <f aca="false">IF(A228="","",N(INPUT!E224))</f>
        <v/>
      </c>
      <c r="F228" s="27" t="str">
        <f aca="false">IF(A228="","",N(INPUT!F224))</f>
        <v/>
      </c>
      <c r="G228" s="27" t="str">
        <f aca="false">IF(A228="","",COUNTIFS(vis_CGID,INPUT!J224,vis_ClientID,INPUT!K224,vis_Svc,D228,vis_Status,"Verified",vis_InWeek,"Yes"))</f>
        <v/>
      </c>
      <c r="H228" s="27" t="str">
        <f aca="false">IF(A228="","",SUMIFS(vis_Units,vis_CGID,INPUT!J224,vis_ClientID,INPUT!K224,vis_Svc,D228,vis_Status,"Verified",vis_InWeek,"Yes"))</f>
        <v/>
      </c>
      <c r="I228" s="45" t="str">
        <f aca="false">IF(A228="","",MAX(0,F228-H228))</f>
        <v/>
      </c>
      <c r="J228" s="41" t="str">
        <f aca="false">IF(A228="","",ROUND(I228*N(INPUT!L224),2))</f>
        <v/>
      </c>
      <c r="K228" s="40" t="str">
        <f aca="false">IF(A228="","",INPUT!H224)</f>
        <v/>
      </c>
      <c r="L228" s="40" t="str">
        <f aca="false">IF(A228="","",IF(G228=0,"No matching visits",IF(I228&gt;0,"Units exceed visits",IF(E228&lt;&gt;G228,"Day count differs","OK"))))</f>
        <v/>
      </c>
      <c r="M228" s="40" t="str">
        <f aca="false">IF(A228="","",IF(L228="OK","",IF(K228="Hold","On hold","Review before paying")))</f>
        <v/>
      </c>
    </row>
    <row r="229" customFormat="false" ht="15" hidden="false" customHeight="false" outlineLevel="0" collapsed="false">
      <c r="A229" s="21" t="str">
        <f aca="false">IF(INPUT!B225="","",INPUT!A225)</f>
        <v/>
      </c>
      <c r="B229" s="26" t="str">
        <f aca="false">IF(A229="","",INPUT!B225)</f>
        <v/>
      </c>
      <c r="C229" s="26" t="str">
        <f aca="false">IF(A229="","",INPUT!C225)</f>
        <v/>
      </c>
      <c r="D229" s="40" t="str">
        <f aca="false">IF(A229="","",INPUT!D225)</f>
        <v/>
      </c>
      <c r="E229" s="27" t="str">
        <f aca="false">IF(A229="","",N(INPUT!E225))</f>
        <v/>
      </c>
      <c r="F229" s="27" t="str">
        <f aca="false">IF(A229="","",N(INPUT!F225))</f>
        <v/>
      </c>
      <c r="G229" s="27" t="str">
        <f aca="false">IF(A229="","",COUNTIFS(vis_CGID,INPUT!J225,vis_ClientID,INPUT!K225,vis_Svc,D229,vis_Status,"Verified",vis_InWeek,"Yes"))</f>
        <v/>
      </c>
      <c r="H229" s="27" t="str">
        <f aca="false">IF(A229="","",SUMIFS(vis_Units,vis_CGID,INPUT!J225,vis_ClientID,INPUT!K225,vis_Svc,D229,vis_Status,"Verified",vis_InWeek,"Yes"))</f>
        <v/>
      </c>
      <c r="I229" s="45" t="str">
        <f aca="false">IF(A229="","",MAX(0,F229-H229))</f>
        <v/>
      </c>
      <c r="J229" s="41" t="str">
        <f aca="false">IF(A229="","",ROUND(I229*N(INPUT!L225),2))</f>
        <v/>
      </c>
      <c r="K229" s="40" t="str">
        <f aca="false">IF(A229="","",INPUT!H225)</f>
        <v/>
      </c>
      <c r="L229" s="40" t="str">
        <f aca="false">IF(A229="","",IF(G229=0,"No matching visits",IF(I229&gt;0,"Units exceed visits",IF(E229&lt;&gt;G229,"Day count differs","OK"))))</f>
        <v/>
      </c>
      <c r="M229" s="40" t="str">
        <f aca="false">IF(A229="","",IF(L229="OK","",IF(K229="Hold","On hold","Review before paying")))</f>
        <v/>
      </c>
    </row>
    <row r="230" customFormat="false" ht="15" hidden="false" customHeight="false" outlineLevel="0" collapsed="false">
      <c r="A230" s="21" t="str">
        <f aca="false">IF(INPUT!B226="","",INPUT!A226)</f>
        <v/>
      </c>
      <c r="B230" s="26" t="str">
        <f aca="false">IF(A230="","",INPUT!B226)</f>
        <v/>
      </c>
      <c r="C230" s="26" t="str">
        <f aca="false">IF(A230="","",INPUT!C226)</f>
        <v/>
      </c>
      <c r="D230" s="40" t="str">
        <f aca="false">IF(A230="","",INPUT!D226)</f>
        <v/>
      </c>
      <c r="E230" s="27" t="str">
        <f aca="false">IF(A230="","",N(INPUT!E226))</f>
        <v/>
      </c>
      <c r="F230" s="27" t="str">
        <f aca="false">IF(A230="","",N(INPUT!F226))</f>
        <v/>
      </c>
      <c r="G230" s="27" t="str">
        <f aca="false">IF(A230="","",COUNTIFS(vis_CGID,INPUT!J226,vis_ClientID,INPUT!K226,vis_Svc,D230,vis_Status,"Verified",vis_InWeek,"Yes"))</f>
        <v/>
      </c>
      <c r="H230" s="27" t="str">
        <f aca="false">IF(A230="","",SUMIFS(vis_Units,vis_CGID,INPUT!J226,vis_ClientID,INPUT!K226,vis_Svc,D230,vis_Status,"Verified",vis_InWeek,"Yes"))</f>
        <v/>
      </c>
      <c r="I230" s="45" t="str">
        <f aca="false">IF(A230="","",MAX(0,F230-H230))</f>
        <v/>
      </c>
      <c r="J230" s="41" t="str">
        <f aca="false">IF(A230="","",ROUND(I230*N(INPUT!L226),2))</f>
        <v/>
      </c>
      <c r="K230" s="40" t="str">
        <f aca="false">IF(A230="","",INPUT!H226)</f>
        <v/>
      </c>
      <c r="L230" s="40" t="str">
        <f aca="false">IF(A230="","",IF(G230=0,"No matching visits",IF(I230&gt;0,"Units exceed visits",IF(E230&lt;&gt;G230,"Day count differs","OK"))))</f>
        <v/>
      </c>
      <c r="M230" s="40" t="str">
        <f aca="false">IF(A230="","",IF(L230="OK","",IF(K230="Hold","On hold","Review before paying")))</f>
        <v/>
      </c>
    </row>
    <row r="231" customFormat="false" ht="15" hidden="false" customHeight="false" outlineLevel="0" collapsed="false">
      <c r="A231" s="21" t="str">
        <f aca="false">IF(INPUT!B227="","",INPUT!A227)</f>
        <v/>
      </c>
      <c r="B231" s="26" t="str">
        <f aca="false">IF(A231="","",INPUT!B227)</f>
        <v/>
      </c>
      <c r="C231" s="26" t="str">
        <f aca="false">IF(A231="","",INPUT!C227)</f>
        <v/>
      </c>
      <c r="D231" s="40" t="str">
        <f aca="false">IF(A231="","",INPUT!D227)</f>
        <v/>
      </c>
      <c r="E231" s="27" t="str">
        <f aca="false">IF(A231="","",N(INPUT!E227))</f>
        <v/>
      </c>
      <c r="F231" s="27" t="str">
        <f aca="false">IF(A231="","",N(INPUT!F227))</f>
        <v/>
      </c>
      <c r="G231" s="27" t="str">
        <f aca="false">IF(A231="","",COUNTIFS(vis_CGID,INPUT!J227,vis_ClientID,INPUT!K227,vis_Svc,D231,vis_Status,"Verified",vis_InWeek,"Yes"))</f>
        <v/>
      </c>
      <c r="H231" s="27" t="str">
        <f aca="false">IF(A231="","",SUMIFS(vis_Units,vis_CGID,INPUT!J227,vis_ClientID,INPUT!K227,vis_Svc,D231,vis_Status,"Verified",vis_InWeek,"Yes"))</f>
        <v/>
      </c>
      <c r="I231" s="45" t="str">
        <f aca="false">IF(A231="","",MAX(0,F231-H231))</f>
        <v/>
      </c>
      <c r="J231" s="41" t="str">
        <f aca="false">IF(A231="","",ROUND(I231*N(INPUT!L227),2))</f>
        <v/>
      </c>
      <c r="K231" s="40" t="str">
        <f aca="false">IF(A231="","",INPUT!H227)</f>
        <v/>
      </c>
      <c r="L231" s="40" t="str">
        <f aca="false">IF(A231="","",IF(G231=0,"No matching visits",IF(I231&gt;0,"Units exceed visits",IF(E231&lt;&gt;G231,"Day count differs","OK"))))</f>
        <v/>
      </c>
      <c r="M231" s="40" t="str">
        <f aca="false">IF(A231="","",IF(L231="OK","",IF(K231="Hold","On hold","Review before paying")))</f>
        <v/>
      </c>
    </row>
    <row r="232" customFormat="false" ht="15" hidden="false" customHeight="false" outlineLevel="0" collapsed="false">
      <c r="A232" s="21" t="str">
        <f aca="false">IF(INPUT!B228="","",INPUT!A228)</f>
        <v/>
      </c>
      <c r="B232" s="26" t="str">
        <f aca="false">IF(A232="","",INPUT!B228)</f>
        <v/>
      </c>
      <c r="C232" s="26" t="str">
        <f aca="false">IF(A232="","",INPUT!C228)</f>
        <v/>
      </c>
      <c r="D232" s="40" t="str">
        <f aca="false">IF(A232="","",INPUT!D228)</f>
        <v/>
      </c>
      <c r="E232" s="27" t="str">
        <f aca="false">IF(A232="","",N(INPUT!E228))</f>
        <v/>
      </c>
      <c r="F232" s="27" t="str">
        <f aca="false">IF(A232="","",N(INPUT!F228))</f>
        <v/>
      </c>
      <c r="G232" s="27" t="str">
        <f aca="false">IF(A232="","",COUNTIFS(vis_CGID,INPUT!J228,vis_ClientID,INPUT!K228,vis_Svc,D232,vis_Status,"Verified",vis_InWeek,"Yes"))</f>
        <v/>
      </c>
      <c r="H232" s="27" t="str">
        <f aca="false">IF(A232="","",SUMIFS(vis_Units,vis_CGID,INPUT!J228,vis_ClientID,INPUT!K228,vis_Svc,D232,vis_Status,"Verified",vis_InWeek,"Yes"))</f>
        <v/>
      </c>
      <c r="I232" s="45" t="str">
        <f aca="false">IF(A232="","",MAX(0,F232-H232))</f>
        <v/>
      </c>
      <c r="J232" s="41" t="str">
        <f aca="false">IF(A232="","",ROUND(I232*N(INPUT!L228),2))</f>
        <v/>
      </c>
      <c r="K232" s="40" t="str">
        <f aca="false">IF(A232="","",INPUT!H228)</f>
        <v/>
      </c>
      <c r="L232" s="40" t="str">
        <f aca="false">IF(A232="","",IF(G232=0,"No matching visits",IF(I232&gt;0,"Units exceed visits",IF(E232&lt;&gt;G232,"Day count differs","OK"))))</f>
        <v/>
      </c>
      <c r="M232" s="40" t="str">
        <f aca="false">IF(A232="","",IF(L232="OK","",IF(K232="Hold","On hold","Review before paying")))</f>
        <v/>
      </c>
    </row>
    <row r="233" customFormat="false" ht="15" hidden="false" customHeight="false" outlineLevel="0" collapsed="false">
      <c r="A233" s="21" t="str">
        <f aca="false">IF(INPUT!B229="","",INPUT!A229)</f>
        <v/>
      </c>
      <c r="B233" s="26" t="str">
        <f aca="false">IF(A233="","",INPUT!B229)</f>
        <v/>
      </c>
      <c r="C233" s="26" t="str">
        <f aca="false">IF(A233="","",INPUT!C229)</f>
        <v/>
      </c>
      <c r="D233" s="40" t="str">
        <f aca="false">IF(A233="","",INPUT!D229)</f>
        <v/>
      </c>
      <c r="E233" s="27" t="str">
        <f aca="false">IF(A233="","",N(INPUT!E229))</f>
        <v/>
      </c>
      <c r="F233" s="27" t="str">
        <f aca="false">IF(A233="","",N(INPUT!F229))</f>
        <v/>
      </c>
      <c r="G233" s="27" t="str">
        <f aca="false">IF(A233="","",COUNTIFS(vis_CGID,INPUT!J229,vis_ClientID,INPUT!K229,vis_Svc,D233,vis_Status,"Verified",vis_InWeek,"Yes"))</f>
        <v/>
      </c>
      <c r="H233" s="27" t="str">
        <f aca="false">IF(A233="","",SUMIFS(vis_Units,vis_CGID,INPUT!J229,vis_ClientID,INPUT!K229,vis_Svc,D233,vis_Status,"Verified",vis_InWeek,"Yes"))</f>
        <v/>
      </c>
      <c r="I233" s="45" t="str">
        <f aca="false">IF(A233="","",MAX(0,F233-H233))</f>
        <v/>
      </c>
      <c r="J233" s="41" t="str">
        <f aca="false">IF(A233="","",ROUND(I233*N(INPUT!L229),2))</f>
        <v/>
      </c>
      <c r="K233" s="40" t="str">
        <f aca="false">IF(A233="","",INPUT!H229)</f>
        <v/>
      </c>
      <c r="L233" s="40" t="str">
        <f aca="false">IF(A233="","",IF(G233=0,"No matching visits",IF(I233&gt;0,"Units exceed visits",IF(E233&lt;&gt;G233,"Day count differs","OK"))))</f>
        <v/>
      </c>
      <c r="M233" s="40" t="str">
        <f aca="false">IF(A233="","",IF(L233="OK","",IF(K233="Hold","On hold","Review before paying")))</f>
        <v/>
      </c>
    </row>
    <row r="234" customFormat="false" ht="15" hidden="false" customHeight="false" outlineLevel="0" collapsed="false">
      <c r="A234" s="21" t="str">
        <f aca="false">IF(INPUT!B230="","",INPUT!A230)</f>
        <v/>
      </c>
      <c r="B234" s="26" t="str">
        <f aca="false">IF(A234="","",INPUT!B230)</f>
        <v/>
      </c>
      <c r="C234" s="26" t="str">
        <f aca="false">IF(A234="","",INPUT!C230)</f>
        <v/>
      </c>
      <c r="D234" s="40" t="str">
        <f aca="false">IF(A234="","",INPUT!D230)</f>
        <v/>
      </c>
      <c r="E234" s="27" t="str">
        <f aca="false">IF(A234="","",N(INPUT!E230))</f>
        <v/>
      </c>
      <c r="F234" s="27" t="str">
        <f aca="false">IF(A234="","",N(INPUT!F230))</f>
        <v/>
      </c>
      <c r="G234" s="27" t="str">
        <f aca="false">IF(A234="","",COUNTIFS(vis_CGID,INPUT!J230,vis_ClientID,INPUT!K230,vis_Svc,D234,vis_Status,"Verified",vis_InWeek,"Yes"))</f>
        <v/>
      </c>
      <c r="H234" s="27" t="str">
        <f aca="false">IF(A234="","",SUMIFS(vis_Units,vis_CGID,INPUT!J230,vis_ClientID,INPUT!K230,vis_Svc,D234,vis_Status,"Verified",vis_InWeek,"Yes"))</f>
        <v/>
      </c>
      <c r="I234" s="45" t="str">
        <f aca="false">IF(A234="","",MAX(0,F234-H234))</f>
        <v/>
      </c>
      <c r="J234" s="41" t="str">
        <f aca="false">IF(A234="","",ROUND(I234*N(INPUT!L230),2))</f>
        <v/>
      </c>
      <c r="K234" s="40" t="str">
        <f aca="false">IF(A234="","",INPUT!H230)</f>
        <v/>
      </c>
      <c r="L234" s="40" t="str">
        <f aca="false">IF(A234="","",IF(G234=0,"No matching visits",IF(I234&gt;0,"Units exceed visits",IF(E234&lt;&gt;G234,"Day count differs","OK"))))</f>
        <v/>
      </c>
      <c r="M234" s="40" t="str">
        <f aca="false">IF(A234="","",IF(L234="OK","",IF(K234="Hold","On hold","Review before paying")))</f>
        <v/>
      </c>
    </row>
    <row r="235" customFormat="false" ht="15" hidden="false" customHeight="false" outlineLevel="0" collapsed="false">
      <c r="A235" s="21" t="str">
        <f aca="false">IF(INPUT!B231="","",INPUT!A231)</f>
        <v/>
      </c>
      <c r="B235" s="26" t="str">
        <f aca="false">IF(A235="","",INPUT!B231)</f>
        <v/>
      </c>
      <c r="C235" s="26" t="str">
        <f aca="false">IF(A235="","",INPUT!C231)</f>
        <v/>
      </c>
      <c r="D235" s="40" t="str">
        <f aca="false">IF(A235="","",INPUT!D231)</f>
        <v/>
      </c>
      <c r="E235" s="27" t="str">
        <f aca="false">IF(A235="","",N(INPUT!E231))</f>
        <v/>
      </c>
      <c r="F235" s="27" t="str">
        <f aca="false">IF(A235="","",N(INPUT!F231))</f>
        <v/>
      </c>
      <c r="G235" s="27" t="str">
        <f aca="false">IF(A235="","",COUNTIFS(vis_CGID,INPUT!J231,vis_ClientID,INPUT!K231,vis_Svc,D235,vis_Status,"Verified",vis_InWeek,"Yes"))</f>
        <v/>
      </c>
      <c r="H235" s="27" t="str">
        <f aca="false">IF(A235="","",SUMIFS(vis_Units,vis_CGID,INPUT!J231,vis_ClientID,INPUT!K231,vis_Svc,D235,vis_Status,"Verified",vis_InWeek,"Yes"))</f>
        <v/>
      </c>
      <c r="I235" s="45" t="str">
        <f aca="false">IF(A235="","",MAX(0,F235-H235))</f>
        <v/>
      </c>
      <c r="J235" s="41" t="str">
        <f aca="false">IF(A235="","",ROUND(I235*N(INPUT!L231),2))</f>
        <v/>
      </c>
      <c r="K235" s="40" t="str">
        <f aca="false">IF(A235="","",INPUT!H231)</f>
        <v/>
      </c>
      <c r="L235" s="40" t="str">
        <f aca="false">IF(A235="","",IF(G235=0,"No matching visits",IF(I235&gt;0,"Units exceed visits",IF(E235&lt;&gt;G235,"Day count differs","OK"))))</f>
        <v/>
      </c>
      <c r="M235" s="40" t="str">
        <f aca="false">IF(A235="","",IF(L235="OK","",IF(K235="Hold","On hold","Review before paying")))</f>
        <v/>
      </c>
    </row>
    <row r="236" customFormat="false" ht="15" hidden="false" customHeight="false" outlineLevel="0" collapsed="false">
      <c r="A236" s="21" t="str">
        <f aca="false">IF(INPUT!B232="","",INPUT!A232)</f>
        <v/>
      </c>
      <c r="B236" s="26" t="str">
        <f aca="false">IF(A236="","",INPUT!B232)</f>
        <v/>
      </c>
      <c r="C236" s="26" t="str">
        <f aca="false">IF(A236="","",INPUT!C232)</f>
        <v/>
      </c>
      <c r="D236" s="40" t="str">
        <f aca="false">IF(A236="","",INPUT!D232)</f>
        <v/>
      </c>
      <c r="E236" s="27" t="str">
        <f aca="false">IF(A236="","",N(INPUT!E232))</f>
        <v/>
      </c>
      <c r="F236" s="27" t="str">
        <f aca="false">IF(A236="","",N(INPUT!F232))</f>
        <v/>
      </c>
      <c r="G236" s="27" t="str">
        <f aca="false">IF(A236="","",COUNTIFS(vis_CGID,INPUT!J232,vis_ClientID,INPUT!K232,vis_Svc,D236,vis_Status,"Verified",vis_InWeek,"Yes"))</f>
        <v/>
      </c>
      <c r="H236" s="27" t="str">
        <f aca="false">IF(A236="","",SUMIFS(vis_Units,vis_CGID,INPUT!J232,vis_ClientID,INPUT!K232,vis_Svc,D236,vis_Status,"Verified",vis_InWeek,"Yes"))</f>
        <v/>
      </c>
      <c r="I236" s="45" t="str">
        <f aca="false">IF(A236="","",MAX(0,F236-H236))</f>
        <v/>
      </c>
      <c r="J236" s="41" t="str">
        <f aca="false">IF(A236="","",ROUND(I236*N(INPUT!L232),2))</f>
        <v/>
      </c>
      <c r="K236" s="40" t="str">
        <f aca="false">IF(A236="","",INPUT!H232)</f>
        <v/>
      </c>
      <c r="L236" s="40" t="str">
        <f aca="false">IF(A236="","",IF(G236=0,"No matching visits",IF(I236&gt;0,"Units exceed visits",IF(E236&lt;&gt;G236,"Day count differs","OK"))))</f>
        <v/>
      </c>
      <c r="M236" s="40" t="str">
        <f aca="false">IF(A236="","",IF(L236="OK","",IF(K236="Hold","On hold","Review before paying")))</f>
        <v/>
      </c>
    </row>
    <row r="237" customFormat="false" ht="15" hidden="false" customHeight="false" outlineLevel="0" collapsed="false">
      <c r="A237" s="21" t="str">
        <f aca="false">IF(INPUT!B233="","",INPUT!A233)</f>
        <v/>
      </c>
      <c r="B237" s="26" t="str">
        <f aca="false">IF(A237="","",INPUT!B233)</f>
        <v/>
      </c>
      <c r="C237" s="26" t="str">
        <f aca="false">IF(A237="","",INPUT!C233)</f>
        <v/>
      </c>
      <c r="D237" s="40" t="str">
        <f aca="false">IF(A237="","",INPUT!D233)</f>
        <v/>
      </c>
      <c r="E237" s="27" t="str">
        <f aca="false">IF(A237="","",N(INPUT!E233))</f>
        <v/>
      </c>
      <c r="F237" s="27" t="str">
        <f aca="false">IF(A237="","",N(INPUT!F233))</f>
        <v/>
      </c>
      <c r="G237" s="27" t="str">
        <f aca="false">IF(A237="","",COUNTIFS(vis_CGID,INPUT!J233,vis_ClientID,INPUT!K233,vis_Svc,D237,vis_Status,"Verified",vis_InWeek,"Yes"))</f>
        <v/>
      </c>
      <c r="H237" s="27" t="str">
        <f aca="false">IF(A237="","",SUMIFS(vis_Units,vis_CGID,INPUT!J233,vis_ClientID,INPUT!K233,vis_Svc,D237,vis_Status,"Verified",vis_InWeek,"Yes"))</f>
        <v/>
      </c>
      <c r="I237" s="45" t="str">
        <f aca="false">IF(A237="","",MAX(0,F237-H237))</f>
        <v/>
      </c>
      <c r="J237" s="41" t="str">
        <f aca="false">IF(A237="","",ROUND(I237*N(INPUT!L233),2))</f>
        <v/>
      </c>
      <c r="K237" s="40" t="str">
        <f aca="false">IF(A237="","",INPUT!H233)</f>
        <v/>
      </c>
      <c r="L237" s="40" t="str">
        <f aca="false">IF(A237="","",IF(G237=0,"No matching visits",IF(I237&gt;0,"Units exceed visits",IF(E237&lt;&gt;G237,"Day count differs","OK"))))</f>
        <v/>
      </c>
      <c r="M237" s="40" t="str">
        <f aca="false">IF(A237="","",IF(L237="OK","",IF(K237="Hold","On hold","Review before paying")))</f>
        <v/>
      </c>
    </row>
    <row r="238" customFormat="false" ht="15" hidden="false" customHeight="false" outlineLevel="0" collapsed="false">
      <c r="A238" s="21" t="str">
        <f aca="false">IF(INPUT!B234="","",INPUT!A234)</f>
        <v/>
      </c>
      <c r="B238" s="26" t="str">
        <f aca="false">IF(A238="","",INPUT!B234)</f>
        <v/>
      </c>
      <c r="C238" s="26" t="str">
        <f aca="false">IF(A238="","",INPUT!C234)</f>
        <v/>
      </c>
      <c r="D238" s="40" t="str">
        <f aca="false">IF(A238="","",INPUT!D234)</f>
        <v/>
      </c>
      <c r="E238" s="27" t="str">
        <f aca="false">IF(A238="","",N(INPUT!E234))</f>
        <v/>
      </c>
      <c r="F238" s="27" t="str">
        <f aca="false">IF(A238="","",N(INPUT!F234))</f>
        <v/>
      </c>
      <c r="G238" s="27" t="str">
        <f aca="false">IF(A238="","",COUNTIFS(vis_CGID,INPUT!J234,vis_ClientID,INPUT!K234,vis_Svc,D238,vis_Status,"Verified",vis_InWeek,"Yes"))</f>
        <v/>
      </c>
      <c r="H238" s="27" t="str">
        <f aca="false">IF(A238="","",SUMIFS(vis_Units,vis_CGID,INPUT!J234,vis_ClientID,INPUT!K234,vis_Svc,D238,vis_Status,"Verified",vis_InWeek,"Yes"))</f>
        <v/>
      </c>
      <c r="I238" s="45" t="str">
        <f aca="false">IF(A238="","",MAX(0,F238-H238))</f>
        <v/>
      </c>
      <c r="J238" s="41" t="str">
        <f aca="false">IF(A238="","",ROUND(I238*N(INPUT!L234),2))</f>
        <v/>
      </c>
      <c r="K238" s="40" t="str">
        <f aca="false">IF(A238="","",INPUT!H234)</f>
        <v/>
      </c>
      <c r="L238" s="40" t="str">
        <f aca="false">IF(A238="","",IF(G238=0,"No matching visits",IF(I238&gt;0,"Units exceed visits",IF(E238&lt;&gt;G238,"Day count differs","OK"))))</f>
        <v/>
      </c>
      <c r="M238" s="40" t="str">
        <f aca="false">IF(A238="","",IF(L238="OK","",IF(K238="Hold","On hold","Review before paying")))</f>
        <v/>
      </c>
    </row>
    <row r="239" customFormat="false" ht="15" hidden="false" customHeight="false" outlineLevel="0" collapsed="false">
      <c r="A239" s="21" t="str">
        <f aca="false">IF(INPUT!B235="","",INPUT!A235)</f>
        <v/>
      </c>
      <c r="B239" s="26" t="str">
        <f aca="false">IF(A239="","",INPUT!B235)</f>
        <v/>
      </c>
      <c r="C239" s="26" t="str">
        <f aca="false">IF(A239="","",INPUT!C235)</f>
        <v/>
      </c>
      <c r="D239" s="40" t="str">
        <f aca="false">IF(A239="","",INPUT!D235)</f>
        <v/>
      </c>
      <c r="E239" s="27" t="str">
        <f aca="false">IF(A239="","",N(INPUT!E235))</f>
        <v/>
      </c>
      <c r="F239" s="27" t="str">
        <f aca="false">IF(A239="","",N(INPUT!F235))</f>
        <v/>
      </c>
      <c r="G239" s="27" t="str">
        <f aca="false">IF(A239="","",COUNTIFS(vis_CGID,INPUT!J235,vis_ClientID,INPUT!K235,vis_Svc,D239,vis_Status,"Verified",vis_InWeek,"Yes"))</f>
        <v/>
      </c>
      <c r="H239" s="27" t="str">
        <f aca="false">IF(A239="","",SUMIFS(vis_Units,vis_CGID,INPUT!J235,vis_ClientID,INPUT!K235,vis_Svc,D239,vis_Status,"Verified",vis_InWeek,"Yes"))</f>
        <v/>
      </c>
      <c r="I239" s="45" t="str">
        <f aca="false">IF(A239="","",MAX(0,F239-H239))</f>
        <v/>
      </c>
      <c r="J239" s="41" t="str">
        <f aca="false">IF(A239="","",ROUND(I239*N(INPUT!L235),2))</f>
        <v/>
      </c>
      <c r="K239" s="40" t="str">
        <f aca="false">IF(A239="","",INPUT!H235)</f>
        <v/>
      </c>
      <c r="L239" s="40" t="str">
        <f aca="false">IF(A239="","",IF(G239=0,"No matching visits",IF(I239&gt;0,"Units exceed visits",IF(E239&lt;&gt;G239,"Day count differs","OK"))))</f>
        <v/>
      </c>
      <c r="M239" s="40" t="str">
        <f aca="false">IF(A239="","",IF(L239="OK","",IF(K239="Hold","On hold","Review before paying")))</f>
        <v/>
      </c>
    </row>
    <row r="240" customFormat="false" ht="15" hidden="false" customHeight="false" outlineLevel="0" collapsed="false">
      <c r="A240" s="21" t="str">
        <f aca="false">IF(INPUT!B236="","",INPUT!A236)</f>
        <v/>
      </c>
      <c r="B240" s="26" t="str">
        <f aca="false">IF(A240="","",INPUT!B236)</f>
        <v/>
      </c>
      <c r="C240" s="26" t="str">
        <f aca="false">IF(A240="","",INPUT!C236)</f>
        <v/>
      </c>
      <c r="D240" s="40" t="str">
        <f aca="false">IF(A240="","",INPUT!D236)</f>
        <v/>
      </c>
      <c r="E240" s="27" t="str">
        <f aca="false">IF(A240="","",N(INPUT!E236))</f>
        <v/>
      </c>
      <c r="F240" s="27" t="str">
        <f aca="false">IF(A240="","",N(INPUT!F236))</f>
        <v/>
      </c>
      <c r="G240" s="27" t="str">
        <f aca="false">IF(A240="","",COUNTIFS(vis_CGID,INPUT!J236,vis_ClientID,INPUT!K236,vis_Svc,D240,vis_Status,"Verified",vis_InWeek,"Yes"))</f>
        <v/>
      </c>
      <c r="H240" s="27" t="str">
        <f aca="false">IF(A240="","",SUMIFS(vis_Units,vis_CGID,INPUT!J236,vis_ClientID,INPUT!K236,vis_Svc,D240,vis_Status,"Verified",vis_InWeek,"Yes"))</f>
        <v/>
      </c>
      <c r="I240" s="45" t="str">
        <f aca="false">IF(A240="","",MAX(0,F240-H240))</f>
        <v/>
      </c>
      <c r="J240" s="41" t="str">
        <f aca="false">IF(A240="","",ROUND(I240*N(INPUT!L236),2))</f>
        <v/>
      </c>
      <c r="K240" s="40" t="str">
        <f aca="false">IF(A240="","",INPUT!H236)</f>
        <v/>
      </c>
      <c r="L240" s="40" t="str">
        <f aca="false">IF(A240="","",IF(G240=0,"No matching visits",IF(I240&gt;0,"Units exceed visits",IF(E240&lt;&gt;G240,"Day count differs","OK"))))</f>
        <v/>
      </c>
      <c r="M240" s="40" t="str">
        <f aca="false">IF(A240="","",IF(L240="OK","",IF(K240="Hold","On hold","Review before paying")))</f>
        <v/>
      </c>
    </row>
    <row r="241" customFormat="false" ht="15" hidden="false" customHeight="false" outlineLevel="0" collapsed="false">
      <c r="A241" s="21" t="str">
        <f aca="false">IF(INPUT!B237="","",INPUT!A237)</f>
        <v/>
      </c>
      <c r="B241" s="26" t="str">
        <f aca="false">IF(A241="","",INPUT!B237)</f>
        <v/>
      </c>
      <c r="C241" s="26" t="str">
        <f aca="false">IF(A241="","",INPUT!C237)</f>
        <v/>
      </c>
      <c r="D241" s="40" t="str">
        <f aca="false">IF(A241="","",INPUT!D237)</f>
        <v/>
      </c>
      <c r="E241" s="27" t="str">
        <f aca="false">IF(A241="","",N(INPUT!E237))</f>
        <v/>
      </c>
      <c r="F241" s="27" t="str">
        <f aca="false">IF(A241="","",N(INPUT!F237))</f>
        <v/>
      </c>
      <c r="G241" s="27" t="str">
        <f aca="false">IF(A241="","",COUNTIFS(vis_CGID,INPUT!J237,vis_ClientID,INPUT!K237,vis_Svc,D241,vis_Status,"Verified",vis_InWeek,"Yes"))</f>
        <v/>
      </c>
      <c r="H241" s="27" t="str">
        <f aca="false">IF(A241="","",SUMIFS(vis_Units,vis_CGID,INPUT!J237,vis_ClientID,INPUT!K237,vis_Svc,D241,vis_Status,"Verified",vis_InWeek,"Yes"))</f>
        <v/>
      </c>
      <c r="I241" s="45" t="str">
        <f aca="false">IF(A241="","",MAX(0,F241-H241))</f>
        <v/>
      </c>
      <c r="J241" s="41" t="str">
        <f aca="false">IF(A241="","",ROUND(I241*N(INPUT!L237),2))</f>
        <v/>
      </c>
      <c r="K241" s="40" t="str">
        <f aca="false">IF(A241="","",INPUT!H237)</f>
        <v/>
      </c>
      <c r="L241" s="40" t="str">
        <f aca="false">IF(A241="","",IF(G241=0,"No matching visits",IF(I241&gt;0,"Units exceed visits",IF(E241&lt;&gt;G241,"Day count differs","OK"))))</f>
        <v/>
      </c>
      <c r="M241" s="40" t="str">
        <f aca="false">IF(A241="","",IF(L241="OK","",IF(K241="Hold","On hold","Review before paying")))</f>
        <v/>
      </c>
    </row>
    <row r="242" customFormat="false" ht="15" hidden="false" customHeight="false" outlineLevel="0" collapsed="false">
      <c r="A242" s="21" t="str">
        <f aca="false">IF(INPUT!B238="","",INPUT!A238)</f>
        <v/>
      </c>
      <c r="B242" s="26" t="str">
        <f aca="false">IF(A242="","",INPUT!B238)</f>
        <v/>
      </c>
      <c r="C242" s="26" t="str">
        <f aca="false">IF(A242="","",INPUT!C238)</f>
        <v/>
      </c>
      <c r="D242" s="40" t="str">
        <f aca="false">IF(A242="","",INPUT!D238)</f>
        <v/>
      </c>
      <c r="E242" s="27" t="str">
        <f aca="false">IF(A242="","",N(INPUT!E238))</f>
        <v/>
      </c>
      <c r="F242" s="27" t="str">
        <f aca="false">IF(A242="","",N(INPUT!F238))</f>
        <v/>
      </c>
      <c r="G242" s="27" t="str">
        <f aca="false">IF(A242="","",COUNTIFS(vis_CGID,INPUT!J238,vis_ClientID,INPUT!K238,vis_Svc,D242,vis_Status,"Verified",vis_InWeek,"Yes"))</f>
        <v/>
      </c>
      <c r="H242" s="27" t="str">
        <f aca="false">IF(A242="","",SUMIFS(vis_Units,vis_CGID,INPUT!J238,vis_ClientID,INPUT!K238,vis_Svc,D242,vis_Status,"Verified",vis_InWeek,"Yes"))</f>
        <v/>
      </c>
      <c r="I242" s="45" t="str">
        <f aca="false">IF(A242="","",MAX(0,F242-H242))</f>
        <v/>
      </c>
      <c r="J242" s="41" t="str">
        <f aca="false">IF(A242="","",ROUND(I242*N(INPUT!L238),2))</f>
        <v/>
      </c>
      <c r="K242" s="40" t="str">
        <f aca="false">IF(A242="","",INPUT!H238)</f>
        <v/>
      </c>
      <c r="L242" s="40" t="str">
        <f aca="false">IF(A242="","",IF(G242=0,"No matching visits",IF(I242&gt;0,"Units exceed visits",IF(E242&lt;&gt;G242,"Day count differs","OK"))))</f>
        <v/>
      </c>
      <c r="M242" s="40" t="str">
        <f aca="false">IF(A242="","",IF(L242="OK","",IF(K242="Hold","On hold","Review before paying")))</f>
        <v/>
      </c>
    </row>
    <row r="243" customFormat="false" ht="15" hidden="false" customHeight="false" outlineLevel="0" collapsed="false">
      <c r="A243" s="21" t="str">
        <f aca="false">IF(INPUT!B239="","",INPUT!A239)</f>
        <v/>
      </c>
      <c r="B243" s="26" t="str">
        <f aca="false">IF(A243="","",INPUT!B239)</f>
        <v/>
      </c>
      <c r="C243" s="26" t="str">
        <f aca="false">IF(A243="","",INPUT!C239)</f>
        <v/>
      </c>
      <c r="D243" s="40" t="str">
        <f aca="false">IF(A243="","",INPUT!D239)</f>
        <v/>
      </c>
      <c r="E243" s="27" t="str">
        <f aca="false">IF(A243="","",N(INPUT!E239))</f>
        <v/>
      </c>
      <c r="F243" s="27" t="str">
        <f aca="false">IF(A243="","",N(INPUT!F239))</f>
        <v/>
      </c>
      <c r="G243" s="27" t="str">
        <f aca="false">IF(A243="","",COUNTIFS(vis_CGID,INPUT!J239,vis_ClientID,INPUT!K239,vis_Svc,D243,vis_Status,"Verified",vis_InWeek,"Yes"))</f>
        <v/>
      </c>
      <c r="H243" s="27" t="str">
        <f aca="false">IF(A243="","",SUMIFS(vis_Units,vis_CGID,INPUT!J239,vis_ClientID,INPUT!K239,vis_Svc,D243,vis_Status,"Verified",vis_InWeek,"Yes"))</f>
        <v/>
      </c>
      <c r="I243" s="45" t="str">
        <f aca="false">IF(A243="","",MAX(0,F243-H243))</f>
        <v/>
      </c>
      <c r="J243" s="41" t="str">
        <f aca="false">IF(A243="","",ROUND(I243*N(INPUT!L239),2))</f>
        <v/>
      </c>
      <c r="K243" s="40" t="str">
        <f aca="false">IF(A243="","",INPUT!H239)</f>
        <v/>
      </c>
      <c r="L243" s="40" t="str">
        <f aca="false">IF(A243="","",IF(G243=0,"No matching visits",IF(I243&gt;0,"Units exceed visits",IF(E243&lt;&gt;G243,"Day count differs","OK"))))</f>
        <v/>
      </c>
      <c r="M243" s="40" t="str">
        <f aca="false">IF(A243="","",IF(L243="OK","",IF(K243="Hold","On hold","Review before paying")))</f>
        <v/>
      </c>
    </row>
    <row r="244" customFormat="false" ht="15" hidden="false" customHeight="false" outlineLevel="0" collapsed="false">
      <c r="A244" s="21" t="str">
        <f aca="false">IF(INPUT!B240="","",INPUT!A240)</f>
        <v/>
      </c>
      <c r="B244" s="26" t="str">
        <f aca="false">IF(A244="","",INPUT!B240)</f>
        <v/>
      </c>
      <c r="C244" s="26" t="str">
        <f aca="false">IF(A244="","",INPUT!C240)</f>
        <v/>
      </c>
      <c r="D244" s="40" t="str">
        <f aca="false">IF(A244="","",INPUT!D240)</f>
        <v/>
      </c>
      <c r="E244" s="27" t="str">
        <f aca="false">IF(A244="","",N(INPUT!E240))</f>
        <v/>
      </c>
      <c r="F244" s="27" t="str">
        <f aca="false">IF(A244="","",N(INPUT!F240))</f>
        <v/>
      </c>
      <c r="G244" s="27" t="str">
        <f aca="false">IF(A244="","",COUNTIFS(vis_CGID,INPUT!J240,vis_ClientID,INPUT!K240,vis_Svc,D244,vis_Status,"Verified",vis_InWeek,"Yes"))</f>
        <v/>
      </c>
      <c r="H244" s="27" t="str">
        <f aca="false">IF(A244="","",SUMIFS(vis_Units,vis_CGID,INPUT!J240,vis_ClientID,INPUT!K240,vis_Svc,D244,vis_Status,"Verified",vis_InWeek,"Yes"))</f>
        <v/>
      </c>
      <c r="I244" s="45" t="str">
        <f aca="false">IF(A244="","",MAX(0,F244-H244))</f>
        <v/>
      </c>
      <c r="J244" s="41" t="str">
        <f aca="false">IF(A244="","",ROUND(I244*N(INPUT!L240),2))</f>
        <v/>
      </c>
      <c r="K244" s="40" t="str">
        <f aca="false">IF(A244="","",INPUT!H240)</f>
        <v/>
      </c>
      <c r="L244" s="40" t="str">
        <f aca="false">IF(A244="","",IF(G244=0,"No matching visits",IF(I244&gt;0,"Units exceed visits",IF(E244&lt;&gt;G244,"Day count differs","OK"))))</f>
        <v/>
      </c>
      <c r="M244" s="40" t="str">
        <f aca="false">IF(A244="","",IF(L244="OK","",IF(K244="Hold","On hold","Review before paying")))</f>
        <v/>
      </c>
    </row>
    <row r="245" customFormat="false" ht="15" hidden="false" customHeight="false" outlineLevel="0" collapsed="false">
      <c r="A245" s="21" t="str">
        <f aca="false">IF(INPUT!B241="","",INPUT!A241)</f>
        <v/>
      </c>
      <c r="B245" s="26" t="str">
        <f aca="false">IF(A245="","",INPUT!B241)</f>
        <v/>
      </c>
      <c r="C245" s="26" t="str">
        <f aca="false">IF(A245="","",INPUT!C241)</f>
        <v/>
      </c>
      <c r="D245" s="40" t="str">
        <f aca="false">IF(A245="","",INPUT!D241)</f>
        <v/>
      </c>
      <c r="E245" s="27" t="str">
        <f aca="false">IF(A245="","",N(INPUT!E241))</f>
        <v/>
      </c>
      <c r="F245" s="27" t="str">
        <f aca="false">IF(A245="","",N(INPUT!F241))</f>
        <v/>
      </c>
      <c r="G245" s="27" t="str">
        <f aca="false">IF(A245="","",COUNTIFS(vis_CGID,INPUT!J241,vis_ClientID,INPUT!K241,vis_Svc,D245,vis_Status,"Verified",vis_InWeek,"Yes"))</f>
        <v/>
      </c>
      <c r="H245" s="27" t="str">
        <f aca="false">IF(A245="","",SUMIFS(vis_Units,vis_CGID,INPUT!J241,vis_ClientID,INPUT!K241,vis_Svc,D245,vis_Status,"Verified",vis_InWeek,"Yes"))</f>
        <v/>
      </c>
      <c r="I245" s="45" t="str">
        <f aca="false">IF(A245="","",MAX(0,F245-H245))</f>
        <v/>
      </c>
      <c r="J245" s="41" t="str">
        <f aca="false">IF(A245="","",ROUND(I245*N(INPUT!L241),2))</f>
        <v/>
      </c>
      <c r="K245" s="40" t="str">
        <f aca="false">IF(A245="","",INPUT!H241)</f>
        <v/>
      </c>
      <c r="L245" s="40" t="str">
        <f aca="false">IF(A245="","",IF(G245=0,"No matching visits",IF(I245&gt;0,"Units exceed visits",IF(E245&lt;&gt;G245,"Day count differs","OK"))))</f>
        <v/>
      </c>
      <c r="M245" s="40" t="str">
        <f aca="false">IF(A245="","",IF(L245="OK","",IF(K245="Hold","On hold","Review before paying")))</f>
        <v/>
      </c>
    </row>
    <row r="246" customFormat="false" ht="15" hidden="false" customHeight="false" outlineLevel="0" collapsed="false">
      <c r="A246" s="21" t="str">
        <f aca="false">IF(INPUT!B242="","",INPUT!A242)</f>
        <v/>
      </c>
      <c r="B246" s="26" t="str">
        <f aca="false">IF(A246="","",INPUT!B242)</f>
        <v/>
      </c>
      <c r="C246" s="26" t="str">
        <f aca="false">IF(A246="","",INPUT!C242)</f>
        <v/>
      </c>
      <c r="D246" s="40" t="str">
        <f aca="false">IF(A246="","",INPUT!D242)</f>
        <v/>
      </c>
      <c r="E246" s="27" t="str">
        <f aca="false">IF(A246="","",N(INPUT!E242))</f>
        <v/>
      </c>
      <c r="F246" s="27" t="str">
        <f aca="false">IF(A246="","",N(INPUT!F242))</f>
        <v/>
      </c>
      <c r="G246" s="27" t="str">
        <f aca="false">IF(A246="","",COUNTIFS(vis_CGID,INPUT!J242,vis_ClientID,INPUT!K242,vis_Svc,D246,vis_Status,"Verified",vis_InWeek,"Yes"))</f>
        <v/>
      </c>
      <c r="H246" s="27" t="str">
        <f aca="false">IF(A246="","",SUMIFS(vis_Units,vis_CGID,INPUT!J242,vis_ClientID,INPUT!K242,vis_Svc,D246,vis_Status,"Verified",vis_InWeek,"Yes"))</f>
        <v/>
      </c>
      <c r="I246" s="45" t="str">
        <f aca="false">IF(A246="","",MAX(0,F246-H246))</f>
        <v/>
      </c>
      <c r="J246" s="41" t="str">
        <f aca="false">IF(A246="","",ROUND(I246*N(INPUT!L242),2))</f>
        <v/>
      </c>
      <c r="K246" s="40" t="str">
        <f aca="false">IF(A246="","",INPUT!H242)</f>
        <v/>
      </c>
      <c r="L246" s="40" t="str">
        <f aca="false">IF(A246="","",IF(G246=0,"No matching visits",IF(I246&gt;0,"Units exceed visits",IF(E246&lt;&gt;G246,"Day count differs","OK"))))</f>
        <v/>
      </c>
      <c r="M246" s="40" t="str">
        <f aca="false">IF(A246="","",IF(L246="OK","",IF(K246="Hold","On hold","Review before paying")))</f>
        <v/>
      </c>
    </row>
    <row r="247" customFormat="false" ht="15" hidden="false" customHeight="false" outlineLevel="0" collapsed="false">
      <c r="A247" s="21" t="str">
        <f aca="false">IF(INPUT!B243="","",INPUT!A243)</f>
        <v/>
      </c>
      <c r="B247" s="26" t="str">
        <f aca="false">IF(A247="","",INPUT!B243)</f>
        <v/>
      </c>
      <c r="C247" s="26" t="str">
        <f aca="false">IF(A247="","",INPUT!C243)</f>
        <v/>
      </c>
      <c r="D247" s="40" t="str">
        <f aca="false">IF(A247="","",INPUT!D243)</f>
        <v/>
      </c>
      <c r="E247" s="27" t="str">
        <f aca="false">IF(A247="","",N(INPUT!E243))</f>
        <v/>
      </c>
      <c r="F247" s="27" t="str">
        <f aca="false">IF(A247="","",N(INPUT!F243))</f>
        <v/>
      </c>
      <c r="G247" s="27" t="str">
        <f aca="false">IF(A247="","",COUNTIFS(vis_CGID,INPUT!J243,vis_ClientID,INPUT!K243,vis_Svc,D247,vis_Status,"Verified",vis_InWeek,"Yes"))</f>
        <v/>
      </c>
      <c r="H247" s="27" t="str">
        <f aca="false">IF(A247="","",SUMIFS(vis_Units,vis_CGID,INPUT!J243,vis_ClientID,INPUT!K243,vis_Svc,D247,vis_Status,"Verified",vis_InWeek,"Yes"))</f>
        <v/>
      </c>
      <c r="I247" s="45" t="str">
        <f aca="false">IF(A247="","",MAX(0,F247-H247))</f>
        <v/>
      </c>
      <c r="J247" s="41" t="str">
        <f aca="false">IF(A247="","",ROUND(I247*N(INPUT!L243),2))</f>
        <v/>
      </c>
      <c r="K247" s="40" t="str">
        <f aca="false">IF(A247="","",INPUT!H243)</f>
        <v/>
      </c>
      <c r="L247" s="40" t="str">
        <f aca="false">IF(A247="","",IF(G247=0,"No matching visits",IF(I247&gt;0,"Units exceed visits",IF(E247&lt;&gt;G247,"Day count differs","OK"))))</f>
        <v/>
      </c>
      <c r="M247" s="40" t="str">
        <f aca="false">IF(A247="","",IF(L247="OK","",IF(K247="Hold","On hold","Review before paying")))</f>
        <v/>
      </c>
    </row>
    <row r="248" customFormat="false" ht="15" hidden="false" customHeight="false" outlineLevel="0" collapsed="false">
      <c r="A248" s="21" t="str">
        <f aca="false">IF(INPUT!B244="","",INPUT!A244)</f>
        <v/>
      </c>
      <c r="B248" s="26" t="str">
        <f aca="false">IF(A248="","",INPUT!B244)</f>
        <v/>
      </c>
      <c r="C248" s="26" t="str">
        <f aca="false">IF(A248="","",INPUT!C244)</f>
        <v/>
      </c>
      <c r="D248" s="40" t="str">
        <f aca="false">IF(A248="","",INPUT!D244)</f>
        <v/>
      </c>
      <c r="E248" s="27" t="str">
        <f aca="false">IF(A248="","",N(INPUT!E244))</f>
        <v/>
      </c>
      <c r="F248" s="27" t="str">
        <f aca="false">IF(A248="","",N(INPUT!F244))</f>
        <v/>
      </c>
      <c r="G248" s="27" t="str">
        <f aca="false">IF(A248="","",COUNTIFS(vis_CGID,INPUT!J244,vis_ClientID,INPUT!K244,vis_Svc,D248,vis_Status,"Verified",vis_InWeek,"Yes"))</f>
        <v/>
      </c>
      <c r="H248" s="27" t="str">
        <f aca="false">IF(A248="","",SUMIFS(vis_Units,vis_CGID,INPUT!J244,vis_ClientID,INPUT!K244,vis_Svc,D248,vis_Status,"Verified",vis_InWeek,"Yes"))</f>
        <v/>
      </c>
      <c r="I248" s="45" t="str">
        <f aca="false">IF(A248="","",MAX(0,F248-H248))</f>
        <v/>
      </c>
      <c r="J248" s="41" t="str">
        <f aca="false">IF(A248="","",ROUND(I248*N(INPUT!L244),2))</f>
        <v/>
      </c>
      <c r="K248" s="40" t="str">
        <f aca="false">IF(A248="","",INPUT!H244)</f>
        <v/>
      </c>
      <c r="L248" s="40" t="str">
        <f aca="false">IF(A248="","",IF(G248=0,"No matching visits",IF(I248&gt;0,"Units exceed visits",IF(E248&lt;&gt;G248,"Day count differs","OK"))))</f>
        <v/>
      </c>
      <c r="M248" s="40" t="str">
        <f aca="false">IF(A248="","",IF(L248="OK","",IF(K248="Hold","On hold","Review before paying")))</f>
        <v/>
      </c>
    </row>
    <row r="249" customFormat="false" ht="15" hidden="false" customHeight="false" outlineLevel="0" collapsed="false">
      <c r="A249" s="21" t="str">
        <f aca="false">IF(INPUT!B245="","",INPUT!A245)</f>
        <v/>
      </c>
      <c r="B249" s="26" t="str">
        <f aca="false">IF(A249="","",INPUT!B245)</f>
        <v/>
      </c>
      <c r="C249" s="26" t="str">
        <f aca="false">IF(A249="","",INPUT!C245)</f>
        <v/>
      </c>
      <c r="D249" s="40" t="str">
        <f aca="false">IF(A249="","",INPUT!D245)</f>
        <v/>
      </c>
      <c r="E249" s="27" t="str">
        <f aca="false">IF(A249="","",N(INPUT!E245))</f>
        <v/>
      </c>
      <c r="F249" s="27" t="str">
        <f aca="false">IF(A249="","",N(INPUT!F245))</f>
        <v/>
      </c>
      <c r="G249" s="27" t="str">
        <f aca="false">IF(A249="","",COUNTIFS(vis_CGID,INPUT!J245,vis_ClientID,INPUT!K245,vis_Svc,D249,vis_Status,"Verified",vis_InWeek,"Yes"))</f>
        <v/>
      </c>
      <c r="H249" s="27" t="str">
        <f aca="false">IF(A249="","",SUMIFS(vis_Units,vis_CGID,INPUT!J245,vis_ClientID,INPUT!K245,vis_Svc,D249,vis_Status,"Verified",vis_InWeek,"Yes"))</f>
        <v/>
      </c>
      <c r="I249" s="45" t="str">
        <f aca="false">IF(A249="","",MAX(0,F249-H249))</f>
        <v/>
      </c>
      <c r="J249" s="41" t="str">
        <f aca="false">IF(A249="","",ROUND(I249*N(INPUT!L245),2))</f>
        <v/>
      </c>
      <c r="K249" s="40" t="str">
        <f aca="false">IF(A249="","",INPUT!H245)</f>
        <v/>
      </c>
      <c r="L249" s="40" t="str">
        <f aca="false">IF(A249="","",IF(G249=0,"No matching visits",IF(I249&gt;0,"Units exceed visits",IF(E249&lt;&gt;G249,"Day count differs","OK"))))</f>
        <v/>
      </c>
      <c r="M249" s="40" t="str">
        <f aca="false">IF(A249="","",IF(L249="OK","",IF(K249="Hold","On hold","Review before paying")))</f>
        <v/>
      </c>
    </row>
    <row r="250" customFormat="false" ht="15" hidden="false" customHeight="false" outlineLevel="0" collapsed="false">
      <c r="A250" s="21" t="str">
        <f aca="false">IF(INPUT!B246="","",INPUT!A246)</f>
        <v/>
      </c>
      <c r="B250" s="26" t="str">
        <f aca="false">IF(A250="","",INPUT!B246)</f>
        <v/>
      </c>
      <c r="C250" s="26" t="str">
        <f aca="false">IF(A250="","",INPUT!C246)</f>
        <v/>
      </c>
      <c r="D250" s="40" t="str">
        <f aca="false">IF(A250="","",INPUT!D246)</f>
        <v/>
      </c>
      <c r="E250" s="27" t="str">
        <f aca="false">IF(A250="","",N(INPUT!E246))</f>
        <v/>
      </c>
      <c r="F250" s="27" t="str">
        <f aca="false">IF(A250="","",N(INPUT!F246))</f>
        <v/>
      </c>
      <c r="G250" s="27" t="str">
        <f aca="false">IF(A250="","",COUNTIFS(vis_CGID,INPUT!J246,vis_ClientID,INPUT!K246,vis_Svc,D250,vis_Status,"Verified",vis_InWeek,"Yes"))</f>
        <v/>
      </c>
      <c r="H250" s="27" t="str">
        <f aca="false">IF(A250="","",SUMIFS(vis_Units,vis_CGID,INPUT!J246,vis_ClientID,INPUT!K246,vis_Svc,D250,vis_Status,"Verified",vis_InWeek,"Yes"))</f>
        <v/>
      </c>
      <c r="I250" s="45" t="str">
        <f aca="false">IF(A250="","",MAX(0,F250-H250))</f>
        <v/>
      </c>
      <c r="J250" s="41" t="str">
        <f aca="false">IF(A250="","",ROUND(I250*N(INPUT!L246),2))</f>
        <v/>
      </c>
      <c r="K250" s="40" t="str">
        <f aca="false">IF(A250="","",INPUT!H246)</f>
        <v/>
      </c>
      <c r="L250" s="40" t="str">
        <f aca="false">IF(A250="","",IF(G250=0,"No matching visits",IF(I250&gt;0,"Units exceed visits",IF(E250&lt;&gt;G250,"Day count differs","OK"))))</f>
        <v/>
      </c>
      <c r="M250" s="40" t="str">
        <f aca="false">IF(A250="","",IF(L250="OK","",IF(K250="Hold","On hold","Review before paying")))</f>
        <v/>
      </c>
    </row>
    <row r="251" customFormat="false" ht="15" hidden="false" customHeight="false" outlineLevel="0" collapsed="false">
      <c r="A251" s="21" t="str">
        <f aca="false">IF(INPUT!B247="","",INPUT!A247)</f>
        <v/>
      </c>
      <c r="B251" s="26" t="str">
        <f aca="false">IF(A251="","",INPUT!B247)</f>
        <v/>
      </c>
      <c r="C251" s="26" t="str">
        <f aca="false">IF(A251="","",INPUT!C247)</f>
        <v/>
      </c>
      <c r="D251" s="40" t="str">
        <f aca="false">IF(A251="","",INPUT!D247)</f>
        <v/>
      </c>
      <c r="E251" s="27" t="str">
        <f aca="false">IF(A251="","",N(INPUT!E247))</f>
        <v/>
      </c>
      <c r="F251" s="27" t="str">
        <f aca="false">IF(A251="","",N(INPUT!F247))</f>
        <v/>
      </c>
      <c r="G251" s="27" t="str">
        <f aca="false">IF(A251="","",COUNTIFS(vis_CGID,INPUT!J247,vis_ClientID,INPUT!K247,vis_Svc,D251,vis_Status,"Verified",vis_InWeek,"Yes"))</f>
        <v/>
      </c>
      <c r="H251" s="27" t="str">
        <f aca="false">IF(A251="","",SUMIFS(vis_Units,vis_CGID,INPUT!J247,vis_ClientID,INPUT!K247,vis_Svc,D251,vis_Status,"Verified",vis_InWeek,"Yes"))</f>
        <v/>
      </c>
      <c r="I251" s="45" t="str">
        <f aca="false">IF(A251="","",MAX(0,F251-H251))</f>
        <v/>
      </c>
      <c r="J251" s="41" t="str">
        <f aca="false">IF(A251="","",ROUND(I251*N(INPUT!L247),2))</f>
        <v/>
      </c>
      <c r="K251" s="40" t="str">
        <f aca="false">IF(A251="","",INPUT!H247)</f>
        <v/>
      </c>
      <c r="L251" s="40" t="str">
        <f aca="false">IF(A251="","",IF(G251=0,"No matching visits",IF(I251&gt;0,"Units exceed visits",IF(E251&lt;&gt;G251,"Day count differs","OK"))))</f>
        <v/>
      </c>
      <c r="M251" s="40" t="str">
        <f aca="false">IF(A251="","",IF(L251="OK","",IF(K251="Hold","On hold","Review before paying")))</f>
        <v/>
      </c>
    </row>
    <row r="252" customFormat="false" ht="15" hidden="false" customHeight="false" outlineLevel="0" collapsed="false">
      <c r="A252" s="21" t="str">
        <f aca="false">IF(INPUT!B248="","",INPUT!A248)</f>
        <v/>
      </c>
      <c r="B252" s="26" t="str">
        <f aca="false">IF(A252="","",INPUT!B248)</f>
        <v/>
      </c>
      <c r="C252" s="26" t="str">
        <f aca="false">IF(A252="","",INPUT!C248)</f>
        <v/>
      </c>
      <c r="D252" s="40" t="str">
        <f aca="false">IF(A252="","",INPUT!D248)</f>
        <v/>
      </c>
      <c r="E252" s="27" t="str">
        <f aca="false">IF(A252="","",N(INPUT!E248))</f>
        <v/>
      </c>
      <c r="F252" s="27" t="str">
        <f aca="false">IF(A252="","",N(INPUT!F248))</f>
        <v/>
      </c>
      <c r="G252" s="27" t="str">
        <f aca="false">IF(A252="","",COUNTIFS(vis_CGID,INPUT!J248,vis_ClientID,INPUT!K248,vis_Svc,D252,vis_Status,"Verified",vis_InWeek,"Yes"))</f>
        <v/>
      </c>
      <c r="H252" s="27" t="str">
        <f aca="false">IF(A252="","",SUMIFS(vis_Units,vis_CGID,INPUT!J248,vis_ClientID,INPUT!K248,vis_Svc,D252,vis_Status,"Verified",vis_InWeek,"Yes"))</f>
        <v/>
      </c>
      <c r="I252" s="45" t="str">
        <f aca="false">IF(A252="","",MAX(0,F252-H252))</f>
        <v/>
      </c>
      <c r="J252" s="41" t="str">
        <f aca="false">IF(A252="","",ROUND(I252*N(INPUT!L248),2))</f>
        <v/>
      </c>
      <c r="K252" s="40" t="str">
        <f aca="false">IF(A252="","",INPUT!H248)</f>
        <v/>
      </c>
      <c r="L252" s="40" t="str">
        <f aca="false">IF(A252="","",IF(G252=0,"No matching visits",IF(I252&gt;0,"Units exceed visits",IF(E252&lt;&gt;G252,"Day count differs","OK"))))</f>
        <v/>
      </c>
      <c r="M252" s="40" t="str">
        <f aca="false">IF(A252="","",IF(L252="OK","",IF(K252="Hold","On hold","Review before paying")))</f>
        <v/>
      </c>
    </row>
    <row r="253" customFormat="false" ht="15" hidden="false" customHeight="false" outlineLevel="0" collapsed="false">
      <c r="A253" s="21" t="str">
        <f aca="false">IF(INPUT!B249="","",INPUT!A249)</f>
        <v/>
      </c>
      <c r="B253" s="26" t="str">
        <f aca="false">IF(A253="","",INPUT!B249)</f>
        <v/>
      </c>
      <c r="C253" s="26" t="str">
        <f aca="false">IF(A253="","",INPUT!C249)</f>
        <v/>
      </c>
      <c r="D253" s="40" t="str">
        <f aca="false">IF(A253="","",INPUT!D249)</f>
        <v/>
      </c>
      <c r="E253" s="27" t="str">
        <f aca="false">IF(A253="","",N(INPUT!E249))</f>
        <v/>
      </c>
      <c r="F253" s="27" t="str">
        <f aca="false">IF(A253="","",N(INPUT!F249))</f>
        <v/>
      </c>
      <c r="G253" s="27" t="str">
        <f aca="false">IF(A253="","",COUNTIFS(vis_CGID,INPUT!J249,vis_ClientID,INPUT!K249,vis_Svc,D253,vis_Status,"Verified",vis_InWeek,"Yes"))</f>
        <v/>
      </c>
      <c r="H253" s="27" t="str">
        <f aca="false">IF(A253="","",SUMIFS(vis_Units,vis_CGID,INPUT!J249,vis_ClientID,INPUT!K249,vis_Svc,D253,vis_Status,"Verified",vis_InWeek,"Yes"))</f>
        <v/>
      </c>
      <c r="I253" s="45" t="str">
        <f aca="false">IF(A253="","",MAX(0,F253-H253))</f>
        <v/>
      </c>
      <c r="J253" s="41" t="str">
        <f aca="false">IF(A253="","",ROUND(I253*N(INPUT!L249),2))</f>
        <v/>
      </c>
      <c r="K253" s="40" t="str">
        <f aca="false">IF(A253="","",INPUT!H249)</f>
        <v/>
      </c>
      <c r="L253" s="40" t="str">
        <f aca="false">IF(A253="","",IF(G253=0,"No matching visits",IF(I253&gt;0,"Units exceed visits",IF(E253&lt;&gt;G253,"Day count differs","OK"))))</f>
        <v/>
      </c>
      <c r="M253" s="40" t="str">
        <f aca="false">IF(A253="","",IF(L253="OK","",IF(K253="Hold","On hold","Review before paying")))</f>
        <v/>
      </c>
    </row>
    <row r="254" customFormat="false" ht="15" hidden="false" customHeight="false" outlineLevel="0" collapsed="false">
      <c r="A254" s="21" t="str">
        <f aca="false">IF(INPUT!B250="","",INPUT!A250)</f>
        <v/>
      </c>
      <c r="B254" s="26" t="str">
        <f aca="false">IF(A254="","",INPUT!B250)</f>
        <v/>
      </c>
      <c r="C254" s="26" t="str">
        <f aca="false">IF(A254="","",INPUT!C250)</f>
        <v/>
      </c>
      <c r="D254" s="40" t="str">
        <f aca="false">IF(A254="","",INPUT!D250)</f>
        <v/>
      </c>
      <c r="E254" s="27" t="str">
        <f aca="false">IF(A254="","",N(INPUT!E250))</f>
        <v/>
      </c>
      <c r="F254" s="27" t="str">
        <f aca="false">IF(A254="","",N(INPUT!F250))</f>
        <v/>
      </c>
      <c r="G254" s="27" t="str">
        <f aca="false">IF(A254="","",COUNTIFS(vis_CGID,INPUT!J250,vis_ClientID,INPUT!K250,vis_Svc,D254,vis_Status,"Verified",vis_InWeek,"Yes"))</f>
        <v/>
      </c>
      <c r="H254" s="27" t="str">
        <f aca="false">IF(A254="","",SUMIFS(vis_Units,vis_CGID,INPUT!J250,vis_ClientID,INPUT!K250,vis_Svc,D254,vis_Status,"Verified",vis_InWeek,"Yes"))</f>
        <v/>
      </c>
      <c r="I254" s="45" t="str">
        <f aca="false">IF(A254="","",MAX(0,F254-H254))</f>
        <v/>
      </c>
      <c r="J254" s="41" t="str">
        <f aca="false">IF(A254="","",ROUND(I254*N(INPUT!L250),2))</f>
        <v/>
      </c>
      <c r="K254" s="40" t="str">
        <f aca="false">IF(A254="","",INPUT!H250)</f>
        <v/>
      </c>
      <c r="L254" s="40" t="str">
        <f aca="false">IF(A254="","",IF(G254=0,"No matching visits",IF(I254&gt;0,"Units exceed visits",IF(E254&lt;&gt;G254,"Day count differs","OK"))))</f>
        <v/>
      </c>
      <c r="M254" s="40" t="str">
        <f aca="false">IF(A254="","",IF(L254="OK","",IF(K254="Hold","On hold","Review before paying")))</f>
        <v/>
      </c>
    </row>
    <row r="255" customFormat="false" ht="15" hidden="false" customHeight="false" outlineLevel="0" collapsed="false">
      <c r="A255" s="21" t="str">
        <f aca="false">IF(INPUT!B251="","",INPUT!A251)</f>
        <v/>
      </c>
      <c r="B255" s="26" t="str">
        <f aca="false">IF(A255="","",INPUT!B251)</f>
        <v/>
      </c>
      <c r="C255" s="26" t="str">
        <f aca="false">IF(A255="","",INPUT!C251)</f>
        <v/>
      </c>
      <c r="D255" s="40" t="str">
        <f aca="false">IF(A255="","",INPUT!D251)</f>
        <v/>
      </c>
      <c r="E255" s="27" t="str">
        <f aca="false">IF(A255="","",N(INPUT!E251))</f>
        <v/>
      </c>
      <c r="F255" s="27" t="str">
        <f aca="false">IF(A255="","",N(INPUT!F251))</f>
        <v/>
      </c>
      <c r="G255" s="27" t="str">
        <f aca="false">IF(A255="","",COUNTIFS(vis_CGID,INPUT!J251,vis_ClientID,INPUT!K251,vis_Svc,D255,vis_Status,"Verified",vis_InWeek,"Yes"))</f>
        <v/>
      </c>
      <c r="H255" s="27" t="str">
        <f aca="false">IF(A255="","",SUMIFS(vis_Units,vis_CGID,INPUT!J251,vis_ClientID,INPUT!K251,vis_Svc,D255,vis_Status,"Verified",vis_InWeek,"Yes"))</f>
        <v/>
      </c>
      <c r="I255" s="45" t="str">
        <f aca="false">IF(A255="","",MAX(0,F255-H255))</f>
        <v/>
      </c>
      <c r="J255" s="41" t="str">
        <f aca="false">IF(A255="","",ROUND(I255*N(INPUT!L251),2))</f>
        <v/>
      </c>
      <c r="K255" s="40" t="str">
        <f aca="false">IF(A255="","",INPUT!H251)</f>
        <v/>
      </c>
      <c r="L255" s="40" t="str">
        <f aca="false">IF(A255="","",IF(G255=0,"No matching visits",IF(I255&gt;0,"Units exceed visits",IF(E255&lt;&gt;G255,"Day count differs","OK"))))</f>
        <v/>
      </c>
      <c r="M255" s="40" t="str">
        <f aca="false">IF(A255="","",IF(L255="OK","",IF(K255="Hold","On hold","Review before paying")))</f>
        <v/>
      </c>
    </row>
    <row r="256" customFormat="false" ht="15" hidden="false" customHeight="false" outlineLevel="0" collapsed="false">
      <c r="A256" s="21" t="str">
        <f aca="false">IF(INPUT!B252="","",INPUT!A252)</f>
        <v/>
      </c>
      <c r="B256" s="26" t="str">
        <f aca="false">IF(A256="","",INPUT!B252)</f>
        <v/>
      </c>
      <c r="C256" s="26" t="str">
        <f aca="false">IF(A256="","",INPUT!C252)</f>
        <v/>
      </c>
      <c r="D256" s="40" t="str">
        <f aca="false">IF(A256="","",INPUT!D252)</f>
        <v/>
      </c>
      <c r="E256" s="27" t="str">
        <f aca="false">IF(A256="","",N(INPUT!E252))</f>
        <v/>
      </c>
      <c r="F256" s="27" t="str">
        <f aca="false">IF(A256="","",N(INPUT!F252))</f>
        <v/>
      </c>
      <c r="G256" s="27" t="str">
        <f aca="false">IF(A256="","",COUNTIFS(vis_CGID,INPUT!J252,vis_ClientID,INPUT!K252,vis_Svc,D256,vis_Status,"Verified",vis_InWeek,"Yes"))</f>
        <v/>
      </c>
      <c r="H256" s="27" t="str">
        <f aca="false">IF(A256="","",SUMIFS(vis_Units,vis_CGID,INPUT!J252,vis_ClientID,INPUT!K252,vis_Svc,D256,vis_Status,"Verified",vis_InWeek,"Yes"))</f>
        <v/>
      </c>
      <c r="I256" s="45" t="str">
        <f aca="false">IF(A256="","",MAX(0,F256-H256))</f>
        <v/>
      </c>
      <c r="J256" s="41" t="str">
        <f aca="false">IF(A256="","",ROUND(I256*N(INPUT!L252),2))</f>
        <v/>
      </c>
      <c r="K256" s="40" t="str">
        <f aca="false">IF(A256="","",INPUT!H252)</f>
        <v/>
      </c>
      <c r="L256" s="40" t="str">
        <f aca="false">IF(A256="","",IF(G256=0,"No matching visits",IF(I256&gt;0,"Units exceed visits",IF(E256&lt;&gt;G256,"Day count differs","OK"))))</f>
        <v/>
      </c>
      <c r="M256" s="40" t="str">
        <f aca="false">IF(A256="","",IF(L256="OK","",IF(K256="Hold","On hold","Review before paying")))</f>
        <v/>
      </c>
    </row>
    <row r="257" customFormat="false" ht="15" hidden="false" customHeight="false" outlineLevel="0" collapsed="false">
      <c r="A257" s="21" t="str">
        <f aca="false">IF(INPUT!B253="","",INPUT!A253)</f>
        <v/>
      </c>
      <c r="B257" s="26" t="str">
        <f aca="false">IF(A257="","",INPUT!B253)</f>
        <v/>
      </c>
      <c r="C257" s="26" t="str">
        <f aca="false">IF(A257="","",INPUT!C253)</f>
        <v/>
      </c>
      <c r="D257" s="40" t="str">
        <f aca="false">IF(A257="","",INPUT!D253)</f>
        <v/>
      </c>
      <c r="E257" s="27" t="str">
        <f aca="false">IF(A257="","",N(INPUT!E253))</f>
        <v/>
      </c>
      <c r="F257" s="27" t="str">
        <f aca="false">IF(A257="","",N(INPUT!F253))</f>
        <v/>
      </c>
      <c r="G257" s="27" t="str">
        <f aca="false">IF(A257="","",COUNTIFS(vis_CGID,INPUT!J253,vis_ClientID,INPUT!K253,vis_Svc,D257,vis_Status,"Verified",vis_InWeek,"Yes"))</f>
        <v/>
      </c>
      <c r="H257" s="27" t="str">
        <f aca="false">IF(A257="","",SUMIFS(vis_Units,vis_CGID,INPUT!J253,vis_ClientID,INPUT!K253,vis_Svc,D257,vis_Status,"Verified",vis_InWeek,"Yes"))</f>
        <v/>
      </c>
      <c r="I257" s="45" t="str">
        <f aca="false">IF(A257="","",MAX(0,F257-H257))</f>
        <v/>
      </c>
      <c r="J257" s="41" t="str">
        <f aca="false">IF(A257="","",ROUND(I257*N(INPUT!L253),2))</f>
        <v/>
      </c>
      <c r="K257" s="40" t="str">
        <f aca="false">IF(A257="","",INPUT!H253)</f>
        <v/>
      </c>
      <c r="L257" s="40" t="str">
        <f aca="false">IF(A257="","",IF(G257=0,"No matching visits",IF(I257&gt;0,"Units exceed visits",IF(E257&lt;&gt;G257,"Day count differs","OK"))))</f>
        <v/>
      </c>
      <c r="M257" s="40" t="str">
        <f aca="false">IF(A257="","",IF(L257="OK","",IF(K257="Hold","On hold","Review before paying")))</f>
        <v/>
      </c>
    </row>
    <row r="258" customFormat="false" ht="15" hidden="false" customHeight="false" outlineLevel="0" collapsed="false">
      <c r="A258" s="21" t="str">
        <f aca="false">IF(INPUT!B254="","",INPUT!A254)</f>
        <v/>
      </c>
      <c r="B258" s="26" t="str">
        <f aca="false">IF(A258="","",INPUT!B254)</f>
        <v/>
      </c>
      <c r="C258" s="26" t="str">
        <f aca="false">IF(A258="","",INPUT!C254)</f>
        <v/>
      </c>
      <c r="D258" s="40" t="str">
        <f aca="false">IF(A258="","",INPUT!D254)</f>
        <v/>
      </c>
      <c r="E258" s="27" t="str">
        <f aca="false">IF(A258="","",N(INPUT!E254))</f>
        <v/>
      </c>
      <c r="F258" s="27" t="str">
        <f aca="false">IF(A258="","",N(INPUT!F254))</f>
        <v/>
      </c>
      <c r="G258" s="27" t="str">
        <f aca="false">IF(A258="","",COUNTIFS(vis_CGID,INPUT!J254,vis_ClientID,INPUT!K254,vis_Svc,D258,vis_Status,"Verified",vis_InWeek,"Yes"))</f>
        <v/>
      </c>
      <c r="H258" s="27" t="str">
        <f aca="false">IF(A258="","",SUMIFS(vis_Units,vis_CGID,INPUT!J254,vis_ClientID,INPUT!K254,vis_Svc,D258,vis_Status,"Verified",vis_InWeek,"Yes"))</f>
        <v/>
      </c>
      <c r="I258" s="45" t="str">
        <f aca="false">IF(A258="","",MAX(0,F258-H258))</f>
        <v/>
      </c>
      <c r="J258" s="41" t="str">
        <f aca="false">IF(A258="","",ROUND(I258*N(INPUT!L254),2))</f>
        <v/>
      </c>
      <c r="K258" s="40" t="str">
        <f aca="false">IF(A258="","",INPUT!H254)</f>
        <v/>
      </c>
      <c r="L258" s="40" t="str">
        <f aca="false">IF(A258="","",IF(G258=0,"No matching visits",IF(I258&gt;0,"Units exceed visits",IF(E258&lt;&gt;G258,"Day count differs","OK"))))</f>
        <v/>
      </c>
      <c r="M258" s="40" t="str">
        <f aca="false">IF(A258="","",IF(L258="OK","",IF(K258="Hold","On hold","Review before paying")))</f>
        <v/>
      </c>
    </row>
  </sheetData>
  <sheetProtection sheet="true" formatColumns="false" formatRows="false" sort="false" autoFilter="false"/>
  <autoFilter ref="A8:M258"/>
  <conditionalFormatting sqref="E5">
    <cfRule type="expression" priority="2" aboveAverage="0" equalAverage="0" bottom="0" percent="0" rank="0" text="" dxfId="20">
      <formula>$E$5&gt;0</formula>
    </cfRule>
  </conditionalFormatting>
  <conditionalFormatting sqref="I5">
    <cfRule type="expression" priority="3" aboveAverage="0" equalAverage="0" bottom="0" percent="0" rank="0" text="" dxfId="20">
      <formula>$I$5&gt;0</formula>
    </cfRule>
  </conditionalFormatting>
  <conditionalFormatting sqref="L9:L258">
    <cfRule type="expression" priority="4" aboveAverage="0" equalAverage="0" bottom="0" percent="0" rank="0" text="" dxfId="16">
      <formula>$L9="OK"</formula>
    </cfRule>
    <cfRule type="expression" priority="5" aboveAverage="0" equalAverage="0" bottom="0" percent="0" rank="0" text="" dxfId="1">
      <formula>AND($L9&lt;&gt;"",$L9&lt;&gt;"OK")</formula>
    </cfRule>
  </conditionalFormatting>
  <conditionalFormatting sqref="M9:M258">
    <cfRule type="expression" priority="6" aboveAverage="0" equalAverage="0" bottom="0" percent="0" rank="0" text="" dxfId="1">
      <formula>$M9="Review before paying"</formula>
    </cfRule>
    <cfRule type="expression" priority="7" aboveAverage="0" equalAverage="0" bottom="0" percent="0" rank="0" text="" dxfId="19">
      <formula>$M9="On hold"</formula>
    </cfRule>
  </conditionalFormatting>
  <conditionalFormatting sqref="I9:J258">
    <cfRule type="expression" priority="8" aboveAverage="0" equalAverage="0" bottom="0" percent="0" rank="0" text="" dxfId="21">
      <formula>N($I9)&gt;0</formula>
    </cfRule>
  </conditionalFormatting>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6F84"/>
    <pageSetUpPr fitToPage="true"/>
  </sheetPr>
  <dimension ref="A1:L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2"/>
    <col collapsed="false" customWidth="true" hidden="false" outlineLevel="0" max="3" min="3" style="0" width="11"/>
    <col collapsed="false" customWidth="true" hidden="false" outlineLevel="0" max="4" min="4" style="0" width="8"/>
    <col collapsed="false" customWidth="true" hidden="false" outlineLevel="0" max="5" min="5" style="0" width="9"/>
    <col collapsed="false" customWidth="true" hidden="false" outlineLevel="0" max="6" min="6" style="0" width="12"/>
    <col collapsed="false" customWidth="true" hidden="false" outlineLevel="0" max="7" min="7" style="0" width="11"/>
    <col collapsed="false" customWidth="true" hidden="false" outlineLevel="0" max="8" min="8" style="0" width="12"/>
    <col collapsed="false" customWidth="true" hidden="false" outlineLevel="0" max="9" min="9" style="0" width="11"/>
    <col collapsed="false" customWidth="true" hidden="false" outlineLevel="0" max="10" min="10" style="0" width="22"/>
    <col collapsed="false" customWidth="true" hidden="true" outlineLevel="0" max="12" min="11" style="0" width="7"/>
  </cols>
  <sheetData>
    <row r="1" customFormat="false" ht="33.75" hidden="false" customHeight="true" outlineLevel="0" collapsed="false">
      <c r="A1" s="1" t="s">
        <v>211</v>
      </c>
    </row>
    <row r="2" customFormat="false" ht="18" hidden="false" customHeight="true" outlineLevel="0" collapsed="false">
      <c r="A2" s="30" t="s">
        <v>212</v>
      </c>
    </row>
    <row r="5" customFormat="false" ht="31.5" hidden="false" customHeight="true" outlineLevel="0" collapsed="false">
      <c r="A5" s="34" t="s">
        <v>100</v>
      </c>
      <c r="B5" s="34" t="s">
        <v>92</v>
      </c>
      <c r="C5" s="34" t="s">
        <v>213</v>
      </c>
      <c r="D5" s="34" t="s">
        <v>214</v>
      </c>
      <c r="E5" s="34" t="s">
        <v>96</v>
      </c>
      <c r="F5" s="34" t="s">
        <v>83</v>
      </c>
      <c r="G5" s="34" t="s">
        <v>84</v>
      </c>
      <c r="H5" s="34" t="s">
        <v>215</v>
      </c>
      <c r="I5" s="34" t="s">
        <v>216</v>
      </c>
      <c r="J5" s="34" t="s">
        <v>62</v>
      </c>
      <c r="K5" s="34" t="s">
        <v>217</v>
      </c>
      <c r="L5" s="34" t="s">
        <v>218</v>
      </c>
    </row>
    <row r="6" customFormat="false" ht="15" hidden="false" customHeight="false" outlineLevel="0" collapsed="false">
      <c r="A6" s="40" t="str">
        <f aca="false">IF(INDEX(cg_ID,1)="","",INDEX(cg_ID,1))</f>
        <v>CG-1001</v>
      </c>
      <c r="B6" s="26" t="str">
        <f aca="false">IF(A6="","",INDEX(cg_Name,1))</f>
        <v>Wanda Easley</v>
      </c>
      <c r="C6" s="40" t="str">
        <f aca="false">IF(A6="","",INDEX(cg_AcctClass,1))</f>
        <v>Personal</v>
      </c>
      <c r="D6" s="40" t="str">
        <f aca="false">IF(A6="","",IF(C6="Business","CCD","PPD"))</f>
        <v>PPD</v>
      </c>
      <c r="E6" s="45" t="n">
        <f aca="false">IF(A6="","",SUMIFS(in_Units,in_CGID,A6,in_PayStatus,"Pay"))</f>
        <v>86</v>
      </c>
      <c r="F6" s="41" t="n">
        <f aca="false">IF(A6="","",SUMIFS(in_ServicePay,in_CGID,A6,in_PayStatus,"Pay"))</f>
        <v>401.2</v>
      </c>
      <c r="G6" s="41" t="n">
        <f aca="false">IF(A6="","",SUMIFS(in_MilePay,in_CGID,A6,in_PayStatus,"Pay"))</f>
        <v>0</v>
      </c>
      <c r="H6" s="41" t="n">
        <f aca="false">IF(A6="","",ROUND(F6+G6,2))</f>
        <v>401.2</v>
      </c>
      <c r="I6" s="40" t="str">
        <f aca="false">IF(A6="","",IF(OR(INDEX(cg_Routing,1)="",INDEX(cg_Account,1)=""),"Missing","On file"))</f>
        <v>On file</v>
      </c>
      <c r="J6" s="26" t="str">
        <f aca="false">IF(A6="","",IF(H6=0,"No pay this week",IF(I6="Missing","Held: no bank details","Ready")))</f>
        <v>Ready</v>
      </c>
      <c r="K6" s="42" t="n">
        <f aca="false">IF(AND(J6="Ready",D6="PPD"),ROW(),"")</f>
        <v>6</v>
      </c>
      <c r="L6" s="42" t="str">
        <f aca="false">IF(AND(J6="Ready",D6="CCD"),ROW(),"")</f>
        <v/>
      </c>
    </row>
    <row r="7" customFormat="false" ht="15" hidden="false" customHeight="false" outlineLevel="0" collapsed="false">
      <c r="A7" s="40" t="str">
        <f aca="false">IF(INDEX(cg_ID,2)="","",INDEX(cg_ID,2))</f>
        <v>CG-1002</v>
      </c>
      <c r="B7" s="26" t="str">
        <f aca="false">IF(A7="","",INDEX(cg_Name,2))</f>
        <v>Mireille Beasley</v>
      </c>
      <c r="C7" s="40" t="str">
        <f aca="false">IF(A7="","",INDEX(cg_AcctClass,2))</f>
        <v>Personal</v>
      </c>
      <c r="D7" s="40" t="str">
        <f aca="false">IF(A7="","",IF(C7="Business","CCD","PPD"))</f>
        <v>PPD</v>
      </c>
      <c r="E7" s="45" t="n">
        <f aca="false">IF(A7="","",SUMIFS(in_Units,in_CGID,A7,in_PayStatus,"Pay"))</f>
        <v>42</v>
      </c>
      <c r="F7" s="41" t="n">
        <f aca="false">IF(A7="","",SUMIFS(in_ServicePay,in_CGID,A7,in_PayStatus,"Pay"))</f>
        <v>214.2</v>
      </c>
      <c r="G7" s="41" t="n">
        <f aca="false">IF(A7="","",SUMIFS(in_MilePay,in_CGID,A7,in_PayStatus,"Pay"))</f>
        <v>8.06</v>
      </c>
      <c r="H7" s="41" t="n">
        <f aca="false">IF(A7="","",ROUND(F7+G7,2))</f>
        <v>222.26</v>
      </c>
      <c r="I7" s="40" t="str">
        <f aca="false">IF(A7="","",IF(OR(INDEX(cg_Routing,2)="",INDEX(cg_Account,2)=""),"Missing","On file"))</f>
        <v>On file</v>
      </c>
      <c r="J7" s="26" t="str">
        <f aca="false">IF(A7="","",IF(H7=0,"No pay this week",IF(I7="Missing","Held: no bank details","Ready")))</f>
        <v>Ready</v>
      </c>
      <c r="K7" s="42" t="n">
        <f aca="false">IF(AND(J7="Ready",D7="PPD"),ROW(),"")</f>
        <v>7</v>
      </c>
      <c r="L7" s="42" t="str">
        <f aca="false">IF(AND(J7="Ready",D7="CCD"),ROW(),"")</f>
        <v/>
      </c>
    </row>
    <row r="8" customFormat="false" ht="15" hidden="false" customHeight="false" outlineLevel="0" collapsed="false">
      <c r="A8" s="40" t="str">
        <f aca="false">IF(INDEX(cg_ID,3)="","",INDEX(cg_ID,3))</f>
        <v>CG-1003</v>
      </c>
      <c r="B8" s="26" t="str">
        <f aca="false">IF(A8="","",INDEX(cg_Name,3))</f>
        <v>Adrienne Macias</v>
      </c>
      <c r="C8" s="40" t="str">
        <f aca="false">IF(A8="","",INDEX(cg_AcctClass,3))</f>
        <v>Personal</v>
      </c>
      <c r="D8" s="40" t="str">
        <f aca="false">IF(A8="","",IF(C8="Business","CCD","PPD"))</f>
        <v>PPD</v>
      </c>
      <c r="E8" s="45" t="n">
        <f aca="false">IF(A8="","",SUMIFS(in_Units,in_CGID,A8,in_PayStatus,"Pay"))</f>
        <v>62</v>
      </c>
      <c r="F8" s="41" t="n">
        <f aca="false">IF(A8="","",SUMIFS(in_ServicePay,in_CGID,A8,in_PayStatus,"Pay"))</f>
        <v>341</v>
      </c>
      <c r="G8" s="41" t="n">
        <f aca="false">IF(A8="","",SUMIFS(in_MilePay,in_CGID,A8,in_PayStatus,"Pay"))</f>
        <v>0</v>
      </c>
      <c r="H8" s="41" t="n">
        <f aca="false">IF(A8="","",ROUND(F8+G8,2))</f>
        <v>341</v>
      </c>
      <c r="I8" s="40" t="str">
        <f aca="false">IF(A8="","",IF(OR(INDEX(cg_Routing,3)="",INDEX(cg_Account,3)=""),"Missing","On file"))</f>
        <v>On file</v>
      </c>
      <c r="J8" s="26" t="str">
        <f aca="false">IF(A8="","",IF(H8=0,"No pay this week",IF(I8="Missing","Held: no bank details","Ready")))</f>
        <v>Ready</v>
      </c>
      <c r="K8" s="42" t="n">
        <f aca="false">IF(AND(J8="Ready",D8="PPD"),ROW(),"")</f>
        <v>8</v>
      </c>
      <c r="L8" s="42" t="str">
        <f aca="false">IF(AND(J8="Ready",D8="CCD"),ROW(),"")</f>
        <v/>
      </c>
    </row>
    <row r="9" customFormat="false" ht="15" hidden="false" customHeight="false" outlineLevel="0" collapsed="false">
      <c r="A9" s="40" t="str">
        <f aca="false">IF(INDEX(cg_ID,4)="","",INDEX(cg_ID,4))</f>
        <v>CG-1004</v>
      </c>
      <c r="B9" s="26" t="str">
        <f aca="false">IF(A9="","",INDEX(cg_Name,4))</f>
        <v>Janelle Holloway</v>
      </c>
      <c r="C9" s="40" t="str">
        <f aca="false">IF(A9="","",INDEX(cg_AcctClass,4))</f>
        <v>Business</v>
      </c>
      <c r="D9" s="40" t="str">
        <f aca="false">IF(A9="","",IF(C9="Business","CCD","PPD"))</f>
        <v>CCD</v>
      </c>
      <c r="E9" s="45" t="n">
        <f aca="false">IF(A9="","",SUMIFS(in_Units,in_CGID,A9,in_PayStatus,"Pay"))</f>
        <v>0</v>
      </c>
      <c r="F9" s="41" t="n">
        <f aca="false">IF(A9="","",SUMIFS(in_ServicePay,in_CGID,A9,in_PayStatus,"Pay"))</f>
        <v>0</v>
      </c>
      <c r="G9" s="41" t="n">
        <f aca="false">IF(A9="","",SUMIFS(in_MilePay,in_CGID,A9,in_PayStatus,"Pay"))</f>
        <v>0</v>
      </c>
      <c r="H9" s="41" t="n">
        <f aca="false">IF(A9="","",ROUND(F9+G9,2))</f>
        <v>0</v>
      </c>
      <c r="I9" s="40" t="str">
        <f aca="false">IF(A9="","",IF(OR(INDEX(cg_Routing,4)="",INDEX(cg_Account,4)=""),"Missing","On file"))</f>
        <v>On file</v>
      </c>
      <c r="J9" s="26" t="str">
        <f aca="false">IF(A9="","",IF(H9=0,"No pay this week",IF(I9="Missing","Held: no bank details","Ready")))</f>
        <v>No pay this week</v>
      </c>
      <c r="K9" s="42" t="str">
        <f aca="false">IF(AND(J9="Ready",D9="PPD"),ROW(),"")</f>
        <v/>
      </c>
      <c r="L9" s="42" t="str">
        <f aca="false">IF(AND(J9="Ready",D9="CCD"),ROW(),"")</f>
        <v/>
      </c>
    </row>
    <row r="10" customFormat="false" ht="15" hidden="false" customHeight="false" outlineLevel="0" collapsed="false">
      <c r="A10" s="40" t="str">
        <f aca="false">IF(INDEX(cg_ID,5)="","",INDEX(cg_ID,5))</f>
        <v>CG-1005</v>
      </c>
      <c r="B10" s="26" t="str">
        <f aca="false">IF(A10="","",INDEX(cg_Name,5))</f>
        <v>Valeria Grayson</v>
      </c>
      <c r="C10" s="40" t="str">
        <f aca="false">IF(A10="","",INDEX(cg_AcctClass,5))</f>
        <v>Personal</v>
      </c>
      <c r="D10" s="40" t="str">
        <f aca="false">IF(A10="","",IF(C10="Business","CCD","PPD"))</f>
        <v>PPD</v>
      </c>
      <c r="E10" s="45" t="n">
        <f aca="false">IF(A10="","",SUMIFS(in_Units,in_CGID,A10,in_PayStatus,"Pay"))</f>
        <v>58</v>
      </c>
      <c r="F10" s="41" t="n">
        <f aca="false">IF(A10="","",SUMIFS(in_ServicePay,in_CGID,A10,in_PayStatus,"Pay"))</f>
        <v>319</v>
      </c>
      <c r="G10" s="41" t="n">
        <f aca="false">IF(A10="","",SUMIFS(in_MilePay,in_CGID,A10,in_PayStatus,"Pay"))</f>
        <v>13.64</v>
      </c>
      <c r="H10" s="41" t="n">
        <f aca="false">IF(A10="","",ROUND(F10+G10,2))</f>
        <v>332.64</v>
      </c>
      <c r="I10" s="40" t="str">
        <f aca="false">IF(A10="","",IF(OR(INDEX(cg_Routing,5)="",INDEX(cg_Account,5)=""),"Missing","On file"))</f>
        <v>On file</v>
      </c>
      <c r="J10" s="26" t="str">
        <f aca="false">IF(A10="","",IF(H10=0,"No pay this week",IF(I10="Missing","Held: no bank details","Ready")))</f>
        <v>Ready</v>
      </c>
      <c r="K10" s="42" t="n">
        <f aca="false">IF(AND(J10="Ready",D10="PPD"),ROW(),"")</f>
        <v>10</v>
      </c>
      <c r="L10" s="42" t="str">
        <f aca="false">IF(AND(J10="Ready",D10="CCD"),ROW(),"")</f>
        <v/>
      </c>
    </row>
    <row r="11" customFormat="false" ht="15" hidden="false" customHeight="false" outlineLevel="0" collapsed="false">
      <c r="A11" s="40" t="str">
        <f aca="false">IF(INDEX(cg_ID,6)="","",INDEX(cg_ID,6))</f>
        <v>CG-1006</v>
      </c>
      <c r="B11" s="26" t="str">
        <f aca="false">IF(A11="","",INDEX(cg_Name,6))</f>
        <v>Felicia Caldwell</v>
      </c>
      <c r="C11" s="40" t="str">
        <f aca="false">IF(A11="","",INDEX(cg_AcctClass,6))</f>
        <v>Personal</v>
      </c>
      <c r="D11" s="40" t="str">
        <f aca="false">IF(A11="","",IF(C11="Business","CCD","PPD"))</f>
        <v>PPD</v>
      </c>
      <c r="E11" s="45" t="n">
        <f aca="false">IF(A11="","",SUMIFS(in_Units,in_CGID,A11,in_PayStatus,"Pay"))</f>
        <v>0</v>
      </c>
      <c r="F11" s="41" t="n">
        <f aca="false">IF(A11="","",SUMIFS(in_ServicePay,in_CGID,A11,in_PayStatus,"Pay"))</f>
        <v>0</v>
      </c>
      <c r="G11" s="41" t="n">
        <f aca="false">IF(A11="","",SUMIFS(in_MilePay,in_CGID,A11,in_PayStatus,"Pay"))</f>
        <v>0</v>
      </c>
      <c r="H11" s="41" t="n">
        <f aca="false">IF(A11="","",ROUND(F11+G11,2))</f>
        <v>0</v>
      </c>
      <c r="I11" s="40" t="str">
        <f aca="false">IF(A11="","",IF(OR(INDEX(cg_Routing,6)="",INDEX(cg_Account,6)=""),"Missing","On file"))</f>
        <v>On file</v>
      </c>
      <c r="J11" s="26" t="str">
        <f aca="false">IF(A11="","",IF(H11=0,"No pay this week",IF(I11="Missing","Held: no bank details","Ready")))</f>
        <v>No pay this week</v>
      </c>
      <c r="K11" s="42" t="str">
        <f aca="false">IF(AND(J11="Ready",D11="PPD"),ROW(),"")</f>
        <v/>
      </c>
      <c r="L11" s="42" t="str">
        <f aca="false">IF(AND(J11="Ready",D11="CCD"),ROW(),"")</f>
        <v/>
      </c>
    </row>
    <row r="12" customFormat="false" ht="15" hidden="false" customHeight="false" outlineLevel="0" collapsed="false">
      <c r="A12" s="40" t="str">
        <f aca="false">IF(INDEX(cg_ID,7)="","",INDEX(cg_ID,7))</f>
        <v>CG-1007</v>
      </c>
      <c r="B12" s="26" t="str">
        <f aca="false">IF(A12="","",INDEX(cg_Name,7))</f>
        <v>Jamal Dabney</v>
      </c>
      <c r="C12" s="40" t="str">
        <f aca="false">IF(A12="","",INDEX(cg_AcctClass,7))</f>
        <v>Personal</v>
      </c>
      <c r="D12" s="40" t="str">
        <f aca="false">IF(A12="","",IF(C12="Business","CCD","PPD"))</f>
        <v>PPD</v>
      </c>
      <c r="E12" s="45" t="n">
        <f aca="false">IF(A12="","",SUMIFS(in_Units,in_CGID,A12,in_PayStatus,"Pay"))</f>
        <v>68</v>
      </c>
      <c r="F12" s="41" t="n">
        <f aca="false">IF(A12="","",SUMIFS(in_ServicePay,in_CGID,A12,in_PayStatus,"Pay"))</f>
        <v>346.8</v>
      </c>
      <c r="G12" s="41" t="n">
        <f aca="false">IF(A12="","",SUMIFS(in_MilePay,in_CGID,A12,in_PayStatus,"Pay"))</f>
        <v>0</v>
      </c>
      <c r="H12" s="41" t="n">
        <f aca="false">IF(A12="","",ROUND(F12+G12,2))</f>
        <v>346.8</v>
      </c>
      <c r="I12" s="40" t="str">
        <f aca="false">IF(A12="","",IF(OR(INDEX(cg_Routing,7)="",INDEX(cg_Account,7)=""),"Missing","On file"))</f>
        <v>On file</v>
      </c>
      <c r="J12" s="26" t="str">
        <f aca="false">IF(A12="","",IF(H12=0,"No pay this week",IF(I12="Missing","Held: no bank details","Ready")))</f>
        <v>Ready</v>
      </c>
      <c r="K12" s="42" t="n">
        <f aca="false">IF(AND(J12="Ready",D12="PPD"),ROW(),"")</f>
        <v>12</v>
      </c>
      <c r="L12" s="42" t="str">
        <f aca="false">IF(AND(J12="Ready",D12="CCD"),ROW(),"")</f>
        <v/>
      </c>
    </row>
    <row r="13" customFormat="false" ht="15" hidden="false" customHeight="false" outlineLevel="0" collapsed="false">
      <c r="A13" s="40" t="str">
        <f aca="false">IF(INDEX(cg_ID,8)="","",INDEX(cg_ID,8))</f>
        <v>CG-1008</v>
      </c>
      <c r="B13" s="26" t="str">
        <f aca="false">IF(A13="","",INDEX(cg_Name,8))</f>
        <v>Nadia Corbett</v>
      </c>
      <c r="C13" s="40" t="str">
        <f aca="false">IF(A13="","",INDEX(cg_AcctClass,8))</f>
        <v>Personal</v>
      </c>
      <c r="D13" s="40" t="str">
        <f aca="false">IF(A13="","",IF(C13="Business","CCD","PPD"))</f>
        <v>PPD</v>
      </c>
      <c r="E13" s="45" t="n">
        <f aca="false">IF(A13="","",SUMIFS(in_Units,in_CGID,A13,in_PayStatus,"Pay"))</f>
        <v>118</v>
      </c>
      <c r="F13" s="41" t="n">
        <f aca="false">IF(A13="","",SUMIFS(in_ServicePay,in_CGID,A13,in_PayStatus,"Pay"))</f>
        <v>631</v>
      </c>
      <c r="G13" s="41" t="n">
        <f aca="false">IF(A13="","",SUMIFS(in_MilePay,in_CGID,A13,in_PayStatus,"Pay"))</f>
        <v>13.02</v>
      </c>
      <c r="H13" s="41" t="n">
        <f aca="false">IF(A13="","",ROUND(F13+G13,2))</f>
        <v>644.02</v>
      </c>
      <c r="I13" s="40" t="str">
        <f aca="false">IF(A13="","",IF(OR(INDEX(cg_Routing,8)="",INDEX(cg_Account,8)=""),"Missing","On file"))</f>
        <v>On file</v>
      </c>
      <c r="J13" s="26" t="str">
        <f aca="false">IF(A13="","",IF(H13=0,"No pay this week",IF(I13="Missing","Held: no bank details","Ready")))</f>
        <v>Ready</v>
      </c>
      <c r="K13" s="42" t="n">
        <f aca="false">IF(AND(J13="Ready",D13="PPD"),ROW(),"")</f>
        <v>13</v>
      </c>
      <c r="L13" s="42" t="str">
        <f aca="false">IF(AND(J13="Ready",D13="CCD"),ROW(),"")</f>
        <v/>
      </c>
    </row>
    <row r="14" customFormat="false" ht="15" hidden="false" customHeight="false" outlineLevel="0" collapsed="false">
      <c r="A14" s="40" t="str">
        <f aca="false">IF(INDEX(cg_ID,9)="","",INDEX(cg_ID,9))</f>
        <v>CG-1009</v>
      </c>
      <c r="B14" s="26" t="str">
        <f aca="false">IF(A14="","",INDEX(cg_Name,9))</f>
        <v>Jada Barajas</v>
      </c>
      <c r="C14" s="40" t="str">
        <f aca="false">IF(A14="","",INDEX(cg_AcctClass,9))</f>
        <v>Personal</v>
      </c>
      <c r="D14" s="40" t="str">
        <f aca="false">IF(A14="","",IF(C14="Business","CCD","PPD"))</f>
        <v>PPD</v>
      </c>
      <c r="E14" s="45" t="n">
        <f aca="false">IF(A14="","",SUMIFS(in_Units,in_CGID,A14,in_PayStatus,"Pay"))</f>
        <v>88</v>
      </c>
      <c r="F14" s="41" t="n">
        <f aca="false">IF(A14="","",SUMIFS(in_ServicePay,in_CGID,A14,in_PayStatus,"Pay"))</f>
        <v>464.8</v>
      </c>
      <c r="G14" s="41" t="n">
        <f aca="false">IF(A14="","",SUMIFS(in_MilePay,in_CGID,A14,in_PayStatus,"Pay"))</f>
        <v>3.1</v>
      </c>
      <c r="H14" s="41" t="n">
        <f aca="false">IF(A14="","",ROUND(F14+G14,2))</f>
        <v>467.9</v>
      </c>
      <c r="I14" s="40" t="str">
        <f aca="false">IF(A14="","",IF(OR(INDEX(cg_Routing,9)="",INDEX(cg_Account,9)=""),"Missing","On file"))</f>
        <v>On file</v>
      </c>
      <c r="J14" s="26" t="str">
        <f aca="false">IF(A14="","",IF(H14=0,"No pay this week",IF(I14="Missing","Held: no bank details","Ready")))</f>
        <v>Ready</v>
      </c>
      <c r="K14" s="42" t="n">
        <f aca="false">IF(AND(J14="Ready",D14="PPD"),ROW(),"")</f>
        <v>14</v>
      </c>
      <c r="L14" s="42" t="str">
        <f aca="false">IF(AND(J14="Ready",D14="CCD"),ROW(),"")</f>
        <v/>
      </c>
    </row>
    <row r="15" customFormat="false" ht="15" hidden="false" customHeight="false" outlineLevel="0" collapsed="false">
      <c r="A15" s="40" t="str">
        <f aca="false">IF(INDEX(cg_ID,10)="","",INDEX(cg_ID,10))</f>
        <v>CG-1010</v>
      </c>
      <c r="B15" s="26" t="str">
        <f aca="false">IF(A15="","",INDEX(cg_Name,10))</f>
        <v>Camille Trevino</v>
      </c>
      <c r="C15" s="40" t="str">
        <f aca="false">IF(A15="","",INDEX(cg_AcctClass,10))</f>
        <v>Personal</v>
      </c>
      <c r="D15" s="40" t="str">
        <f aca="false">IF(A15="","",IF(C15="Business","CCD","PPD"))</f>
        <v>PPD</v>
      </c>
      <c r="E15" s="45" t="n">
        <f aca="false">IF(A15="","",SUMIFS(in_Units,in_CGID,A15,in_PayStatus,"Pay"))</f>
        <v>0</v>
      </c>
      <c r="F15" s="41" t="n">
        <f aca="false">IF(A15="","",SUMIFS(in_ServicePay,in_CGID,A15,in_PayStatus,"Pay"))</f>
        <v>0</v>
      </c>
      <c r="G15" s="41" t="n">
        <f aca="false">IF(A15="","",SUMIFS(in_MilePay,in_CGID,A15,in_PayStatus,"Pay"))</f>
        <v>0</v>
      </c>
      <c r="H15" s="41" t="n">
        <f aca="false">IF(A15="","",ROUND(F15+G15,2))</f>
        <v>0</v>
      </c>
      <c r="I15" s="40" t="str">
        <f aca="false">IF(A15="","",IF(OR(INDEX(cg_Routing,10)="",INDEX(cg_Account,10)=""),"Missing","On file"))</f>
        <v>On file</v>
      </c>
      <c r="J15" s="26" t="str">
        <f aca="false">IF(A15="","",IF(H15=0,"No pay this week",IF(I15="Missing","Held: no bank details","Ready")))</f>
        <v>No pay this week</v>
      </c>
      <c r="K15" s="42" t="str">
        <f aca="false">IF(AND(J15="Ready",D15="PPD"),ROW(),"")</f>
        <v/>
      </c>
      <c r="L15" s="42" t="str">
        <f aca="false">IF(AND(J15="Ready",D15="CCD"),ROW(),"")</f>
        <v/>
      </c>
    </row>
    <row r="16" customFormat="false" ht="15" hidden="false" customHeight="false" outlineLevel="0" collapsed="false">
      <c r="A16" s="40" t="str">
        <f aca="false">IF(INDEX(cg_ID,11)="","",INDEX(cg_ID,11))</f>
        <v>CG-1011</v>
      </c>
      <c r="B16" s="26" t="str">
        <f aca="false">IF(A16="","",INDEX(cg_Name,11))</f>
        <v>Vanessa Bledsoe</v>
      </c>
      <c r="C16" s="40" t="str">
        <f aca="false">IF(A16="","",INDEX(cg_AcctClass,11))</f>
        <v>Personal</v>
      </c>
      <c r="D16" s="40" t="str">
        <f aca="false">IF(A16="","",IF(C16="Business","CCD","PPD"))</f>
        <v>PPD</v>
      </c>
      <c r="E16" s="45" t="n">
        <f aca="false">IF(A16="","",SUMIFS(in_Units,in_CGID,A16,in_PayStatus,"Pay"))</f>
        <v>132</v>
      </c>
      <c r="F16" s="41" t="n">
        <f aca="false">IF(A16="","",SUMIFS(in_ServicePay,in_CGID,A16,in_PayStatus,"Pay"))</f>
        <v>698.5</v>
      </c>
      <c r="G16" s="41" t="n">
        <f aca="false">IF(A16="","",SUMIFS(in_MilePay,in_CGID,A16,in_PayStatus,"Pay"))</f>
        <v>11.78</v>
      </c>
      <c r="H16" s="41" t="n">
        <f aca="false">IF(A16="","",ROUND(F16+G16,2))</f>
        <v>710.28</v>
      </c>
      <c r="I16" s="40" t="str">
        <f aca="false">IF(A16="","",IF(OR(INDEX(cg_Routing,11)="",INDEX(cg_Account,11)=""),"Missing","On file"))</f>
        <v>On file</v>
      </c>
      <c r="J16" s="26" t="str">
        <f aca="false">IF(A16="","",IF(H16=0,"No pay this week",IF(I16="Missing","Held: no bank details","Ready")))</f>
        <v>Ready</v>
      </c>
      <c r="K16" s="42" t="n">
        <f aca="false">IF(AND(J16="Ready",D16="PPD"),ROW(),"")</f>
        <v>16</v>
      </c>
      <c r="L16" s="42" t="str">
        <f aca="false">IF(AND(J16="Ready",D16="CCD"),ROW(),"")</f>
        <v/>
      </c>
    </row>
    <row r="17" customFormat="false" ht="15" hidden="false" customHeight="false" outlineLevel="0" collapsed="false">
      <c r="A17" s="40" t="str">
        <f aca="false">IF(INDEX(cg_ID,12)="","",INDEX(cg_ID,12))</f>
        <v>CG-1012</v>
      </c>
      <c r="B17" s="26" t="str">
        <f aca="false">IF(A17="","",INDEX(cg_Name,12))</f>
        <v>Brianna Easley</v>
      </c>
      <c r="C17" s="40" t="str">
        <f aca="false">IF(A17="","",INDEX(cg_AcctClass,12))</f>
        <v>Business</v>
      </c>
      <c r="D17" s="40" t="str">
        <f aca="false">IF(A17="","",IF(C17="Business","CCD","PPD"))</f>
        <v>CCD</v>
      </c>
      <c r="E17" s="45" t="n">
        <f aca="false">IF(A17="","",SUMIFS(in_Units,in_CGID,A17,in_PayStatus,"Pay"))</f>
        <v>52</v>
      </c>
      <c r="F17" s="41" t="n">
        <f aca="false">IF(A17="","",SUMIFS(in_ServicePay,in_CGID,A17,in_PayStatus,"Pay"))</f>
        <v>279.6</v>
      </c>
      <c r="G17" s="41" t="n">
        <f aca="false">IF(A17="","",SUMIFS(in_MilePay,in_CGID,A17,in_PayStatus,"Pay"))</f>
        <v>0</v>
      </c>
      <c r="H17" s="41" t="n">
        <f aca="false">IF(A17="","",ROUND(F17+G17,2))</f>
        <v>279.6</v>
      </c>
      <c r="I17" s="40" t="str">
        <f aca="false">IF(A17="","",IF(OR(INDEX(cg_Routing,12)="",INDEX(cg_Account,12)=""),"Missing","On file"))</f>
        <v>On file</v>
      </c>
      <c r="J17" s="26" t="str">
        <f aca="false">IF(A17="","",IF(H17=0,"No pay this week",IF(I17="Missing","Held: no bank details","Ready")))</f>
        <v>Ready</v>
      </c>
      <c r="K17" s="42" t="str">
        <f aca="false">IF(AND(J17="Ready",D17="PPD"),ROW(),"")</f>
        <v/>
      </c>
      <c r="L17" s="42" t="n">
        <f aca="false">IF(AND(J17="Ready",D17="CCD"),ROW(),"")</f>
        <v>17</v>
      </c>
    </row>
    <row r="18" customFormat="false" ht="15" hidden="false" customHeight="false" outlineLevel="0" collapsed="false">
      <c r="A18" s="40" t="str">
        <f aca="false">IF(INDEX(cg_ID,13)="","",INDEX(cg_ID,13))</f>
        <v>CG-1013</v>
      </c>
      <c r="B18" s="26" t="str">
        <f aca="false">IF(A18="","",INDEX(cg_Name,13))</f>
        <v>Amara Rainey</v>
      </c>
      <c r="C18" s="40" t="str">
        <f aca="false">IF(A18="","",INDEX(cg_AcctClass,13))</f>
        <v>Personal</v>
      </c>
      <c r="D18" s="40" t="str">
        <f aca="false">IF(A18="","",IF(C18="Business","CCD","PPD"))</f>
        <v>PPD</v>
      </c>
      <c r="E18" s="45" t="n">
        <f aca="false">IF(A18="","",SUMIFS(in_Units,in_CGID,A18,in_PayStatus,"Pay"))</f>
        <v>18</v>
      </c>
      <c r="F18" s="41" t="n">
        <f aca="false">IF(A18="","",SUMIFS(in_ServicePay,in_CGID,A18,in_PayStatus,"Pay"))</f>
        <v>82.8</v>
      </c>
      <c r="G18" s="41" t="n">
        <f aca="false">IF(A18="","",SUMIFS(in_MilePay,in_CGID,A18,in_PayStatus,"Pay"))</f>
        <v>0</v>
      </c>
      <c r="H18" s="41" t="n">
        <f aca="false">IF(A18="","",ROUND(F18+G18,2))</f>
        <v>82.8</v>
      </c>
      <c r="I18" s="40" t="str">
        <f aca="false">IF(A18="","",IF(OR(INDEX(cg_Routing,13)="",INDEX(cg_Account,13)=""),"Missing","On file"))</f>
        <v>On file</v>
      </c>
      <c r="J18" s="26" t="str">
        <f aca="false">IF(A18="","",IF(H18=0,"No pay this week",IF(I18="Missing","Held: no bank details","Ready")))</f>
        <v>Ready</v>
      </c>
      <c r="K18" s="42" t="n">
        <f aca="false">IF(AND(J18="Ready",D18="PPD"),ROW(),"")</f>
        <v>18</v>
      </c>
      <c r="L18" s="42" t="str">
        <f aca="false">IF(AND(J18="Ready",D18="CCD"),ROW(),"")</f>
        <v/>
      </c>
    </row>
    <row r="19" customFormat="false" ht="15" hidden="false" customHeight="false" outlineLevel="0" collapsed="false">
      <c r="A19" s="40" t="str">
        <f aca="false">IF(INDEX(cg_ID,14)="","",INDEX(cg_ID,14))</f>
        <v>CG-1014</v>
      </c>
      <c r="B19" s="26" t="str">
        <f aca="false">IF(A19="","",INDEX(cg_Name,14))</f>
        <v>Alicia Haddad</v>
      </c>
      <c r="C19" s="40" t="str">
        <f aca="false">IF(A19="","",INDEX(cg_AcctClass,14))</f>
        <v>Business</v>
      </c>
      <c r="D19" s="40" t="str">
        <f aca="false">IF(A19="","",IF(C19="Business","CCD","PPD"))</f>
        <v>CCD</v>
      </c>
      <c r="E19" s="45" t="n">
        <f aca="false">IF(A19="","",SUMIFS(in_Units,in_CGID,A19,in_PayStatus,"Pay"))</f>
        <v>58</v>
      </c>
      <c r="F19" s="41" t="n">
        <f aca="false">IF(A19="","",SUMIFS(in_ServicePay,in_CGID,A19,in_PayStatus,"Pay"))</f>
        <v>246.5</v>
      </c>
      <c r="G19" s="41" t="n">
        <f aca="false">IF(A19="","",SUMIFS(in_MilePay,in_CGID,A19,in_PayStatus,"Pay"))</f>
        <v>2.48</v>
      </c>
      <c r="H19" s="41" t="n">
        <f aca="false">IF(A19="","",ROUND(F19+G19,2))</f>
        <v>248.98</v>
      </c>
      <c r="I19" s="40" t="str">
        <f aca="false">IF(A19="","",IF(OR(INDEX(cg_Routing,14)="",INDEX(cg_Account,14)=""),"Missing","On file"))</f>
        <v>On file</v>
      </c>
      <c r="J19" s="26" t="str">
        <f aca="false">IF(A19="","",IF(H19=0,"No pay this week",IF(I19="Missing","Held: no bank details","Ready")))</f>
        <v>Ready</v>
      </c>
      <c r="K19" s="42" t="str">
        <f aca="false">IF(AND(J19="Ready",D19="PPD"),ROW(),"")</f>
        <v/>
      </c>
      <c r="L19" s="42" t="n">
        <f aca="false">IF(AND(J19="Ready",D19="CCD"),ROW(),"")</f>
        <v>19</v>
      </c>
    </row>
    <row r="20" customFormat="false" ht="15" hidden="false" customHeight="false" outlineLevel="0" collapsed="false">
      <c r="A20" s="40" t="str">
        <f aca="false">IF(INDEX(cg_ID,15)="","",INDEX(cg_ID,15))</f>
        <v>CG-1015</v>
      </c>
      <c r="B20" s="26" t="str">
        <f aca="false">IF(A20="","",INDEX(cg_Name,15))</f>
        <v>Brianna Grayson</v>
      </c>
      <c r="C20" s="40" t="str">
        <f aca="false">IF(A20="","",INDEX(cg_AcctClass,15))</f>
        <v>Personal</v>
      </c>
      <c r="D20" s="40" t="str">
        <f aca="false">IF(A20="","",IF(C20="Business","CCD","PPD"))</f>
        <v>PPD</v>
      </c>
      <c r="E20" s="45" t="n">
        <f aca="false">IF(A20="","",SUMIFS(in_Units,in_CGID,A20,in_PayStatus,"Pay"))</f>
        <v>1</v>
      </c>
      <c r="F20" s="41" t="n">
        <f aca="false">IF(A20="","",SUMIFS(in_ServicePay,in_CGID,A20,in_PayStatus,"Pay"))</f>
        <v>62</v>
      </c>
      <c r="G20" s="41" t="n">
        <f aca="false">IF(A20="","",SUMIFS(in_MilePay,in_CGID,A20,in_PayStatus,"Pay"))</f>
        <v>4.34</v>
      </c>
      <c r="H20" s="41" t="n">
        <f aca="false">IF(A20="","",ROUND(F20+G20,2))</f>
        <v>66.34</v>
      </c>
      <c r="I20" s="40" t="str">
        <f aca="false">IF(A20="","",IF(OR(INDEX(cg_Routing,15)="",INDEX(cg_Account,15)=""),"Missing","On file"))</f>
        <v>On file</v>
      </c>
      <c r="J20" s="26" t="str">
        <f aca="false">IF(A20="","",IF(H20=0,"No pay this week",IF(I20="Missing","Held: no bank details","Ready")))</f>
        <v>Ready</v>
      </c>
      <c r="K20" s="42" t="n">
        <f aca="false">IF(AND(J20="Ready",D20="PPD"),ROW(),"")</f>
        <v>20</v>
      </c>
      <c r="L20" s="42" t="str">
        <f aca="false">IF(AND(J20="Ready",D20="CCD"),ROW(),"")</f>
        <v/>
      </c>
    </row>
    <row r="21" customFormat="false" ht="15" hidden="false" customHeight="false" outlineLevel="0" collapsed="false">
      <c r="A21" s="40" t="str">
        <f aca="false">IF(INDEX(cg_ID,16)="","",INDEX(cg_ID,16))</f>
        <v>CG-1016</v>
      </c>
      <c r="B21" s="26" t="str">
        <f aca="false">IF(A21="","",INDEX(cg_Name,16))</f>
        <v>Andre Montoya</v>
      </c>
      <c r="C21" s="40" t="str">
        <f aca="false">IF(A21="","",INDEX(cg_AcctClass,16))</f>
        <v>Personal</v>
      </c>
      <c r="D21" s="40" t="str">
        <f aca="false">IF(A21="","",IF(C21="Business","CCD","PPD"))</f>
        <v>PPD</v>
      </c>
      <c r="E21" s="45" t="n">
        <f aca="false">IF(A21="","",SUMIFS(in_Units,in_CGID,A21,in_PayStatus,"Pay"))</f>
        <v>50</v>
      </c>
      <c r="F21" s="41" t="n">
        <f aca="false">IF(A21="","",SUMIFS(in_ServicePay,in_CGID,A21,in_PayStatus,"Pay"))</f>
        <v>212.5</v>
      </c>
      <c r="G21" s="41" t="n">
        <f aca="false">IF(A21="","",SUMIFS(in_MilePay,in_CGID,A21,in_PayStatus,"Pay"))</f>
        <v>14.26</v>
      </c>
      <c r="H21" s="41" t="n">
        <f aca="false">IF(A21="","",ROUND(F21+G21,2))</f>
        <v>226.76</v>
      </c>
      <c r="I21" s="40" t="str">
        <f aca="false">IF(A21="","",IF(OR(INDEX(cg_Routing,16)="",INDEX(cg_Account,16)=""),"Missing","On file"))</f>
        <v>On file</v>
      </c>
      <c r="J21" s="26" t="str">
        <f aca="false">IF(A21="","",IF(H21=0,"No pay this week",IF(I21="Missing","Held: no bank details","Ready")))</f>
        <v>Ready</v>
      </c>
      <c r="K21" s="42" t="n">
        <f aca="false">IF(AND(J21="Ready",D21="PPD"),ROW(),"")</f>
        <v>21</v>
      </c>
      <c r="L21" s="42" t="str">
        <f aca="false">IF(AND(J21="Ready",D21="CCD"),ROW(),"")</f>
        <v/>
      </c>
    </row>
    <row r="22" customFormat="false" ht="15" hidden="false" customHeight="false" outlineLevel="0" collapsed="false">
      <c r="A22" s="40" t="str">
        <f aca="false">IF(INDEX(cg_ID,17)="","",INDEX(cg_ID,17))</f>
        <v>CG-1017</v>
      </c>
      <c r="B22" s="26" t="str">
        <f aca="false">IF(A22="","",INDEX(cg_Name,17))</f>
        <v>Corinne Prewitt</v>
      </c>
      <c r="C22" s="40" t="str">
        <f aca="false">IF(A22="","",INDEX(cg_AcctClass,17))</f>
        <v>Personal</v>
      </c>
      <c r="D22" s="40" t="str">
        <f aca="false">IF(A22="","",IF(C22="Business","CCD","PPD"))</f>
        <v>PPD</v>
      </c>
      <c r="E22" s="45" t="n">
        <f aca="false">IF(A22="","",SUMIFS(in_Units,in_CGID,A22,in_PayStatus,"Pay"))</f>
        <v>22</v>
      </c>
      <c r="F22" s="41" t="n">
        <f aca="false">IF(A22="","",SUMIFS(in_ServicePay,in_CGID,A22,in_PayStatus,"Pay"))</f>
        <v>101.2</v>
      </c>
      <c r="G22" s="41" t="n">
        <f aca="false">IF(A22="","",SUMIFS(in_MilePay,in_CGID,A22,in_PayStatus,"Pay"))</f>
        <v>0</v>
      </c>
      <c r="H22" s="41" t="n">
        <f aca="false">IF(A22="","",ROUND(F22+G22,2))</f>
        <v>101.2</v>
      </c>
      <c r="I22" s="40" t="str">
        <f aca="false">IF(A22="","",IF(OR(INDEX(cg_Routing,17)="",INDEX(cg_Account,17)=""),"Missing","On file"))</f>
        <v>On file</v>
      </c>
      <c r="J22" s="26" t="str">
        <f aca="false">IF(A22="","",IF(H22=0,"No pay this week",IF(I22="Missing","Held: no bank details","Ready")))</f>
        <v>Ready</v>
      </c>
      <c r="K22" s="42" t="n">
        <f aca="false">IF(AND(J22="Ready",D22="PPD"),ROW(),"")</f>
        <v>22</v>
      </c>
      <c r="L22" s="42" t="str">
        <f aca="false">IF(AND(J22="Ready",D22="CCD"),ROW(),"")</f>
        <v/>
      </c>
    </row>
    <row r="23" customFormat="false" ht="15" hidden="false" customHeight="false" outlineLevel="0" collapsed="false">
      <c r="A23" s="40" t="str">
        <f aca="false">IF(INDEX(cg_ID,18)="","",INDEX(cg_ID,18))</f>
        <v>CG-1018</v>
      </c>
      <c r="B23" s="26" t="str">
        <f aca="false">IF(A23="","",INDEX(cg_Name,18))</f>
        <v>Aria Mercer</v>
      </c>
      <c r="C23" s="40" t="str">
        <f aca="false">IF(A23="","",INDEX(cg_AcctClass,18))</f>
        <v>Personal</v>
      </c>
      <c r="D23" s="40" t="str">
        <f aca="false">IF(A23="","",IF(C23="Business","CCD","PPD"))</f>
        <v>PPD</v>
      </c>
      <c r="E23" s="45" t="n">
        <f aca="false">IF(A23="","",SUMIFS(in_Units,in_CGID,A23,in_PayStatus,"Pay"))</f>
        <v>30</v>
      </c>
      <c r="F23" s="41" t="n">
        <f aca="false">IF(A23="","",SUMIFS(in_ServicePay,in_CGID,A23,in_PayStatus,"Pay"))</f>
        <v>138</v>
      </c>
      <c r="G23" s="41" t="n">
        <f aca="false">IF(A23="","",SUMIFS(in_MilePay,in_CGID,A23,in_PayStatus,"Pay"))</f>
        <v>13.64</v>
      </c>
      <c r="H23" s="41" t="n">
        <f aca="false">IF(A23="","",ROUND(F23+G23,2))</f>
        <v>151.64</v>
      </c>
      <c r="I23" s="40" t="str">
        <f aca="false">IF(A23="","",IF(OR(INDEX(cg_Routing,18)="",INDEX(cg_Account,18)=""),"Missing","On file"))</f>
        <v>On file</v>
      </c>
      <c r="J23" s="26" t="str">
        <f aca="false">IF(A23="","",IF(H23=0,"No pay this week",IF(I23="Missing","Held: no bank details","Ready")))</f>
        <v>Ready</v>
      </c>
      <c r="K23" s="42" t="n">
        <f aca="false">IF(AND(J23="Ready",D23="PPD"),ROW(),"")</f>
        <v>23</v>
      </c>
      <c r="L23" s="42" t="str">
        <f aca="false">IF(AND(J23="Ready",D23="CCD"),ROW(),"")</f>
        <v/>
      </c>
    </row>
    <row r="24" customFormat="false" ht="15" hidden="false" customHeight="false" outlineLevel="0" collapsed="false">
      <c r="A24" s="40" t="str">
        <f aca="false">IF(INDEX(cg_ID,19)="","",INDEX(cg_ID,19))</f>
        <v>CG-1019</v>
      </c>
      <c r="B24" s="26" t="str">
        <f aca="false">IF(A24="","",INDEX(cg_Name,19))</f>
        <v>Elise Escobar</v>
      </c>
      <c r="C24" s="40" t="str">
        <f aca="false">IF(A24="","",INDEX(cg_AcctClass,19))</f>
        <v>Personal</v>
      </c>
      <c r="D24" s="40" t="str">
        <f aca="false">IF(A24="","",IF(C24="Business","CCD","PPD"))</f>
        <v>PPD</v>
      </c>
      <c r="E24" s="45" t="n">
        <f aca="false">IF(A24="","",SUMIFS(in_Units,in_CGID,A24,in_PayStatus,"Pay"))</f>
        <v>22</v>
      </c>
      <c r="F24" s="41" t="n">
        <f aca="false">IF(A24="","",SUMIFS(in_ServicePay,in_CGID,A24,in_PayStatus,"Pay"))</f>
        <v>93.5</v>
      </c>
      <c r="G24" s="41" t="n">
        <f aca="false">IF(A24="","",SUMIFS(in_MilePay,in_CGID,A24,in_PayStatus,"Pay"))</f>
        <v>5.58</v>
      </c>
      <c r="H24" s="41" t="n">
        <f aca="false">IF(A24="","",ROUND(F24+G24,2))</f>
        <v>99.08</v>
      </c>
      <c r="I24" s="40" t="str">
        <f aca="false">IF(A24="","",IF(OR(INDEX(cg_Routing,19)="",INDEX(cg_Account,19)=""),"Missing","On file"))</f>
        <v>On file</v>
      </c>
      <c r="J24" s="26" t="str">
        <f aca="false">IF(A24="","",IF(H24=0,"No pay this week",IF(I24="Missing","Held: no bank details","Ready")))</f>
        <v>Ready</v>
      </c>
      <c r="K24" s="42" t="n">
        <f aca="false">IF(AND(J24="Ready",D24="PPD"),ROW(),"")</f>
        <v>24</v>
      </c>
      <c r="L24" s="42" t="str">
        <f aca="false">IF(AND(J24="Ready",D24="CCD"),ROW(),"")</f>
        <v/>
      </c>
    </row>
    <row r="25" customFormat="false" ht="15" hidden="false" customHeight="false" outlineLevel="0" collapsed="false">
      <c r="A25" s="40" t="str">
        <f aca="false">IF(INDEX(cg_ID,20)="","",INDEX(cg_ID,20))</f>
        <v>CG-1020</v>
      </c>
      <c r="B25" s="26" t="str">
        <f aca="false">IF(A25="","",INDEX(cg_Name,20))</f>
        <v>Naomi Satterfield</v>
      </c>
      <c r="C25" s="40" t="str">
        <f aca="false">IF(A25="","",INDEX(cg_AcctClass,20))</f>
        <v>Personal</v>
      </c>
      <c r="D25" s="40" t="str">
        <f aca="false">IF(A25="","",IF(C25="Business","CCD","PPD"))</f>
        <v>PPD</v>
      </c>
      <c r="E25" s="45" t="n">
        <f aca="false">IF(A25="","",SUMIFS(in_Units,in_CGID,A25,in_PayStatus,"Pay"))</f>
        <v>45</v>
      </c>
      <c r="F25" s="41" t="n">
        <f aca="false">IF(A25="","",SUMIFS(in_ServicePay,in_CGID,A25,in_PayStatus,"Pay"))</f>
        <v>304</v>
      </c>
      <c r="G25" s="41" t="n">
        <f aca="false">IF(A25="","",SUMIFS(in_MilePay,in_CGID,A25,in_PayStatus,"Pay"))</f>
        <v>11.78</v>
      </c>
      <c r="H25" s="41" t="n">
        <f aca="false">IF(A25="","",ROUND(F25+G25,2))</f>
        <v>315.78</v>
      </c>
      <c r="I25" s="40" t="str">
        <f aca="false">IF(A25="","",IF(OR(INDEX(cg_Routing,20)="",INDEX(cg_Account,20)=""),"Missing","On file"))</f>
        <v>On file</v>
      </c>
      <c r="J25" s="26" t="str">
        <f aca="false">IF(A25="","",IF(H25=0,"No pay this week",IF(I25="Missing","Held: no bank details","Ready")))</f>
        <v>Ready</v>
      </c>
      <c r="K25" s="42" t="n">
        <f aca="false">IF(AND(J25="Ready",D25="PPD"),ROW(),"")</f>
        <v>25</v>
      </c>
      <c r="L25" s="42" t="str">
        <f aca="false">IF(AND(J25="Ready",D25="CCD"),ROW(),"")</f>
        <v/>
      </c>
    </row>
    <row r="26" customFormat="false" ht="15" hidden="false" customHeight="false" outlineLevel="0" collapsed="false">
      <c r="A26" s="40" t="str">
        <f aca="false">IF(INDEX(cg_ID,21)="","",INDEX(cg_ID,21))</f>
        <v>CG-1021</v>
      </c>
      <c r="B26" s="26" t="str">
        <f aca="false">IF(A26="","",INDEX(cg_Name,21))</f>
        <v>Elise Kowalski</v>
      </c>
      <c r="C26" s="40" t="str">
        <f aca="false">IF(A26="","",INDEX(cg_AcctClass,21))</f>
        <v>Personal</v>
      </c>
      <c r="D26" s="40" t="str">
        <f aca="false">IF(A26="","",IF(C26="Business","CCD","PPD"))</f>
        <v>PPD</v>
      </c>
      <c r="E26" s="45" t="n">
        <f aca="false">IF(A26="","",SUMIFS(in_Units,in_CGID,A26,in_PayStatus,"Pay"))</f>
        <v>102</v>
      </c>
      <c r="F26" s="41" t="n">
        <f aca="false">IF(A26="","",SUMIFS(in_ServicePay,in_CGID,A26,in_PayStatus,"Pay"))</f>
        <v>519.6</v>
      </c>
      <c r="G26" s="41" t="n">
        <f aca="false">IF(A26="","",SUMIFS(in_MilePay,in_CGID,A26,in_PayStatus,"Pay"))</f>
        <v>0</v>
      </c>
      <c r="H26" s="41" t="n">
        <f aca="false">IF(A26="","",ROUND(F26+G26,2))</f>
        <v>519.6</v>
      </c>
      <c r="I26" s="40" t="str">
        <f aca="false">IF(A26="","",IF(OR(INDEX(cg_Routing,21)="",INDEX(cg_Account,21)=""),"Missing","On file"))</f>
        <v>On file</v>
      </c>
      <c r="J26" s="26" t="str">
        <f aca="false">IF(A26="","",IF(H26=0,"No pay this week",IF(I26="Missing","Held: no bank details","Ready")))</f>
        <v>Ready</v>
      </c>
      <c r="K26" s="42" t="n">
        <f aca="false">IF(AND(J26="Ready",D26="PPD"),ROW(),"")</f>
        <v>26</v>
      </c>
      <c r="L26" s="42" t="str">
        <f aca="false">IF(AND(J26="Ready",D26="CCD"),ROW(),"")</f>
        <v/>
      </c>
    </row>
    <row r="27" customFormat="false" ht="15" hidden="false" customHeight="false" outlineLevel="0" collapsed="false">
      <c r="A27" s="40" t="str">
        <f aca="false">IF(INDEX(cg_ID,22)="","",INDEX(cg_ID,22))</f>
        <v>CG-1022</v>
      </c>
      <c r="B27" s="26" t="str">
        <f aca="false">IF(A27="","",INDEX(cg_Name,22))</f>
        <v>Hana Ledbetter</v>
      </c>
      <c r="C27" s="40" t="str">
        <f aca="false">IF(A27="","",INDEX(cg_AcctClass,22))</f>
        <v>Business</v>
      </c>
      <c r="D27" s="40" t="str">
        <f aca="false">IF(A27="","",IF(C27="Business","CCD","PPD"))</f>
        <v>CCD</v>
      </c>
      <c r="E27" s="45" t="n">
        <f aca="false">IF(A27="","",SUMIFS(in_Units,in_CGID,A27,in_PayStatus,"Pay"))</f>
        <v>72</v>
      </c>
      <c r="F27" s="41" t="n">
        <f aca="false">IF(A27="","",SUMIFS(in_ServicePay,in_CGID,A27,in_PayStatus,"Pay"))</f>
        <v>369</v>
      </c>
      <c r="G27" s="41" t="n">
        <f aca="false">IF(A27="","",SUMIFS(in_MilePay,in_CGID,A27,in_PayStatus,"Pay"))</f>
        <v>0</v>
      </c>
      <c r="H27" s="41" t="n">
        <f aca="false">IF(A27="","",ROUND(F27+G27,2))</f>
        <v>369</v>
      </c>
      <c r="I27" s="40" t="str">
        <f aca="false">IF(A27="","",IF(OR(INDEX(cg_Routing,22)="",INDEX(cg_Account,22)=""),"Missing","On file"))</f>
        <v>On file</v>
      </c>
      <c r="J27" s="26" t="str">
        <f aca="false">IF(A27="","",IF(H27=0,"No pay this week",IF(I27="Missing","Held: no bank details","Ready")))</f>
        <v>Ready</v>
      </c>
      <c r="K27" s="42" t="str">
        <f aca="false">IF(AND(J27="Ready",D27="PPD"),ROW(),"")</f>
        <v/>
      </c>
      <c r="L27" s="42" t="n">
        <f aca="false">IF(AND(J27="Ready",D27="CCD"),ROW(),"")</f>
        <v>27</v>
      </c>
    </row>
    <row r="28" customFormat="false" ht="15" hidden="false" customHeight="false" outlineLevel="0" collapsed="false">
      <c r="A28" s="40" t="str">
        <f aca="false">IF(INDEX(cg_ID,23)="","",INDEX(cg_ID,23))</f>
        <v>CG-1023</v>
      </c>
      <c r="B28" s="26" t="str">
        <f aca="false">IF(A28="","",INDEX(cg_Name,23))</f>
        <v>Nadia Delgado</v>
      </c>
      <c r="C28" s="40" t="str">
        <f aca="false">IF(A28="","",INDEX(cg_AcctClass,23))</f>
        <v>Personal</v>
      </c>
      <c r="D28" s="40" t="str">
        <f aca="false">IF(A28="","",IF(C28="Business","CCD","PPD"))</f>
        <v>PPD</v>
      </c>
      <c r="E28" s="45" t="n">
        <f aca="false">IF(A28="","",SUMIFS(in_Units,in_CGID,A28,in_PayStatus,"Pay"))</f>
        <v>142</v>
      </c>
      <c r="F28" s="41" t="n">
        <f aca="false">IF(A28="","",SUMIFS(in_ServicePay,in_CGID,A28,in_PayStatus,"Pay"))</f>
        <v>736</v>
      </c>
      <c r="G28" s="41" t="n">
        <f aca="false">IF(A28="","",SUMIFS(in_MilePay,in_CGID,A28,in_PayStatus,"Pay"))</f>
        <v>0</v>
      </c>
      <c r="H28" s="41" t="n">
        <f aca="false">IF(A28="","",ROUND(F28+G28,2))</f>
        <v>736</v>
      </c>
      <c r="I28" s="40" t="str">
        <f aca="false">IF(A28="","",IF(OR(INDEX(cg_Routing,23)="",INDEX(cg_Account,23)=""),"Missing","On file"))</f>
        <v>On file</v>
      </c>
      <c r="J28" s="26" t="str">
        <f aca="false">IF(A28="","",IF(H28=0,"No pay this week",IF(I28="Missing","Held: no bank details","Ready")))</f>
        <v>Ready</v>
      </c>
      <c r="K28" s="42" t="n">
        <f aca="false">IF(AND(J28="Ready",D28="PPD"),ROW(),"")</f>
        <v>28</v>
      </c>
      <c r="L28" s="42" t="str">
        <f aca="false">IF(AND(J28="Ready",D28="CCD"),ROW(),"")</f>
        <v/>
      </c>
    </row>
    <row r="29" customFormat="false" ht="15" hidden="false" customHeight="false" outlineLevel="0" collapsed="false">
      <c r="A29" s="40" t="str">
        <f aca="false">IF(INDEX(cg_ID,24)="","",INDEX(cg_ID,24))</f>
        <v>CG-1024</v>
      </c>
      <c r="B29" s="26" t="str">
        <f aca="false">IF(A29="","",INDEX(cg_Name,24))</f>
        <v>Curtis Sampson</v>
      </c>
      <c r="C29" s="40" t="str">
        <f aca="false">IF(A29="","",INDEX(cg_AcctClass,24))</f>
        <v>Personal</v>
      </c>
      <c r="D29" s="40" t="str">
        <f aca="false">IF(A29="","",IF(C29="Business","CCD","PPD"))</f>
        <v>PPD</v>
      </c>
      <c r="E29" s="45" t="n">
        <f aca="false">IF(A29="","",SUMIFS(in_Units,in_CGID,A29,in_PayStatus,"Pay"))</f>
        <v>142</v>
      </c>
      <c r="F29" s="41" t="n">
        <f aca="false">IF(A29="","",SUMIFS(in_ServicePay,in_CGID,A29,in_PayStatus,"Pay"))</f>
        <v>716</v>
      </c>
      <c r="G29" s="41" t="n">
        <f aca="false">IF(A29="","",SUMIFS(in_MilePay,in_CGID,A29,in_PayStatus,"Pay"))</f>
        <v>26.66</v>
      </c>
      <c r="H29" s="41" t="n">
        <f aca="false">IF(A29="","",ROUND(F29+G29,2))</f>
        <v>742.66</v>
      </c>
      <c r="I29" s="40" t="str">
        <f aca="false">IF(A29="","",IF(OR(INDEX(cg_Routing,24)="",INDEX(cg_Account,24)=""),"Missing","On file"))</f>
        <v>On file</v>
      </c>
      <c r="J29" s="26" t="str">
        <f aca="false">IF(A29="","",IF(H29=0,"No pay this week",IF(I29="Missing","Held: no bank details","Ready")))</f>
        <v>Ready</v>
      </c>
      <c r="K29" s="42" t="n">
        <f aca="false">IF(AND(J29="Ready",D29="PPD"),ROW(),"")</f>
        <v>29</v>
      </c>
      <c r="L29" s="42" t="str">
        <f aca="false">IF(AND(J29="Ready",D29="CCD"),ROW(),"")</f>
        <v/>
      </c>
    </row>
    <row r="30" customFormat="false" ht="15" hidden="false" customHeight="false" outlineLevel="0" collapsed="false">
      <c r="A30" s="40" t="str">
        <f aca="false">IF(INDEX(cg_ID,25)="","",INDEX(cg_ID,25))</f>
        <v>CG-1025</v>
      </c>
      <c r="B30" s="26" t="str">
        <f aca="false">IF(A30="","",INDEX(cg_Name,25))</f>
        <v>Aria Fulton</v>
      </c>
      <c r="C30" s="40" t="str">
        <f aca="false">IF(A30="","",INDEX(cg_AcctClass,25))</f>
        <v>Business</v>
      </c>
      <c r="D30" s="40" t="str">
        <f aca="false">IF(A30="","",IF(C30="Business","CCD","PPD"))</f>
        <v>CCD</v>
      </c>
      <c r="E30" s="45" t="n">
        <f aca="false">IF(A30="","",SUMIFS(in_Units,in_CGID,A30,in_PayStatus,"Pay"))</f>
        <v>104</v>
      </c>
      <c r="F30" s="41" t="n">
        <f aca="false">IF(A30="","",SUMIFS(in_ServicePay,in_CGID,A30,in_PayStatus,"Pay"))</f>
        <v>550.4</v>
      </c>
      <c r="G30" s="41" t="n">
        <f aca="false">IF(A30="","",SUMIFS(in_MilePay,in_CGID,A30,in_PayStatus,"Pay"))</f>
        <v>3.72</v>
      </c>
      <c r="H30" s="41" t="n">
        <f aca="false">IF(A30="","",ROUND(F30+G30,2))</f>
        <v>554.12</v>
      </c>
      <c r="I30" s="40" t="str">
        <f aca="false">IF(A30="","",IF(OR(INDEX(cg_Routing,25)="",INDEX(cg_Account,25)=""),"Missing","On file"))</f>
        <v>On file</v>
      </c>
      <c r="J30" s="26" t="str">
        <f aca="false">IF(A30="","",IF(H30=0,"No pay this week",IF(I30="Missing","Held: no bank details","Ready")))</f>
        <v>Ready</v>
      </c>
      <c r="K30" s="42" t="str">
        <f aca="false">IF(AND(J30="Ready",D30="PPD"),ROW(),"")</f>
        <v/>
      </c>
      <c r="L30" s="42" t="n">
        <f aca="false">IF(AND(J30="Ready",D30="CCD"),ROW(),"")</f>
        <v>30</v>
      </c>
    </row>
    <row r="31" customFormat="false" ht="15" hidden="false" customHeight="false" outlineLevel="0" collapsed="false">
      <c r="A31" s="40" t="str">
        <f aca="false">IF(INDEX(cg_ID,26)="","",INDEX(cg_ID,26))</f>
        <v>CG-1026</v>
      </c>
      <c r="B31" s="26" t="str">
        <f aca="false">IF(A31="","",INDEX(cg_Name,26))</f>
        <v>Marlene Yancey</v>
      </c>
      <c r="C31" s="40" t="str">
        <f aca="false">IF(A31="","",INDEX(cg_AcctClass,26))</f>
        <v>Personal</v>
      </c>
      <c r="D31" s="40" t="str">
        <f aca="false">IF(A31="","",IF(C31="Business","CCD","PPD"))</f>
        <v>PPD</v>
      </c>
      <c r="E31" s="45" t="n">
        <f aca="false">IF(A31="","",SUMIFS(in_Units,in_CGID,A31,in_PayStatus,"Pay"))</f>
        <v>54</v>
      </c>
      <c r="F31" s="41" t="n">
        <f aca="false">IF(A31="","",SUMIFS(in_ServicePay,in_CGID,A31,in_PayStatus,"Pay"))</f>
        <v>297</v>
      </c>
      <c r="G31" s="41" t="n">
        <f aca="false">IF(A31="","",SUMIFS(in_MilePay,in_CGID,A31,in_PayStatus,"Pay"))</f>
        <v>0</v>
      </c>
      <c r="H31" s="41" t="n">
        <f aca="false">IF(A31="","",ROUND(F31+G31,2))</f>
        <v>297</v>
      </c>
      <c r="I31" s="40" t="str">
        <f aca="false">IF(A31="","",IF(OR(INDEX(cg_Routing,26)="",INDEX(cg_Account,26)=""),"Missing","On file"))</f>
        <v>On file</v>
      </c>
      <c r="J31" s="26" t="str">
        <f aca="false">IF(A31="","",IF(H31=0,"No pay this week",IF(I31="Missing","Held: no bank details","Ready")))</f>
        <v>Ready</v>
      </c>
      <c r="K31" s="42" t="n">
        <f aca="false">IF(AND(J31="Ready",D31="PPD"),ROW(),"")</f>
        <v>31</v>
      </c>
      <c r="L31" s="42" t="str">
        <f aca="false">IF(AND(J31="Ready",D31="CCD"),ROW(),"")</f>
        <v/>
      </c>
    </row>
    <row r="32" customFormat="false" ht="15" hidden="false" customHeight="false" outlineLevel="0" collapsed="false">
      <c r="A32" s="40" t="str">
        <f aca="false">IF(INDEX(cg_ID,27)="","",INDEX(cg_ID,27))</f>
        <v>CG-1027</v>
      </c>
      <c r="B32" s="26" t="str">
        <f aca="false">IF(A32="","",INDEX(cg_Name,27))</f>
        <v>Andre Coleman</v>
      </c>
      <c r="C32" s="40" t="str">
        <f aca="false">IF(A32="","",INDEX(cg_AcctClass,27))</f>
        <v>Personal</v>
      </c>
      <c r="D32" s="40" t="str">
        <f aca="false">IF(A32="","",IF(C32="Business","CCD","PPD"))</f>
        <v>PPD</v>
      </c>
      <c r="E32" s="45" t="n">
        <f aca="false">IF(A32="","",SUMIFS(in_Units,in_CGID,A32,in_PayStatus,"Pay"))</f>
        <v>28</v>
      </c>
      <c r="F32" s="41" t="n">
        <f aca="false">IF(A32="","",SUMIFS(in_ServicePay,in_CGID,A32,in_PayStatus,"Pay"))</f>
        <v>154</v>
      </c>
      <c r="G32" s="41" t="n">
        <f aca="false">IF(A32="","",SUMIFS(in_MilePay,in_CGID,A32,in_PayStatus,"Pay"))</f>
        <v>2.48</v>
      </c>
      <c r="H32" s="41" t="n">
        <f aca="false">IF(A32="","",ROUND(F32+G32,2))</f>
        <v>156.48</v>
      </c>
      <c r="I32" s="40" t="str">
        <f aca="false">IF(A32="","",IF(OR(INDEX(cg_Routing,27)="",INDEX(cg_Account,27)=""),"Missing","On file"))</f>
        <v>On file</v>
      </c>
      <c r="J32" s="26" t="str">
        <f aca="false">IF(A32="","",IF(H32=0,"No pay this week",IF(I32="Missing","Held: no bank details","Ready")))</f>
        <v>Ready</v>
      </c>
      <c r="K32" s="42" t="n">
        <f aca="false">IF(AND(J32="Ready",D32="PPD"),ROW(),"")</f>
        <v>32</v>
      </c>
      <c r="L32" s="42" t="str">
        <f aca="false">IF(AND(J32="Ready",D32="CCD"),ROW(),"")</f>
        <v/>
      </c>
    </row>
    <row r="33" customFormat="false" ht="15" hidden="false" customHeight="false" outlineLevel="0" collapsed="false">
      <c r="A33" s="40" t="str">
        <f aca="false">IF(INDEX(cg_ID,28)="","",INDEX(cg_ID,28))</f>
        <v>CG-1028</v>
      </c>
      <c r="B33" s="26" t="str">
        <f aca="false">IF(A33="","",INDEX(cg_Name,28))</f>
        <v>Zora Coleman</v>
      </c>
      <c r="C33" s="40" t="str">
        <f aca="false">IF(A33="","",INDEX(cg_AcctClass,28))</f>
        <v>Personal</v>
      </c>
      <c r="D33" s="40" t="str">
        <f aca="false">IF(A33="","",IF(C33="Business","CCD","PPD"))</f>
        <v>PPD</v>
      </c>
      <c r="E33" s="45" t="n">
        <f aca="false">IF(A33="","",SUMIFS(in_Units,in_CGID,A33,in_PayStatus,"Pay"))</f>
        <v>52</v>
      </c>
      <c r="F33" s="41" t="n">
        <f aca="false">IF(A33="","",SUMIFS(in_ServicePay,in_CGID,A33,in_PayStatus,"Pay"))</f>
        <v>265.2</v>
      </c>
      <c r="G33" s="41" t="n">
        <f aca="false">IF(A33="","",SUMIFS(in_MilePay,in_CGID,A33,in_PayStatus,"Pay"))</f>
        <v>0</v>
      </c>
      <c r="H33" s="41" t="n">
        <f aca="false">IF(A33="","",ROUND(F33+G33,2))</f>
        <v>265.2</v>
      </c>
      <c r="I33" s="40" t="str">
        <f aca="false">IF(A33="","",IF(OR(INDEX(cg_Routing,28)="",INDEX(cg_Account,28)=""),"Missing","On file"))</f>
        <v>On file</v>
      </c>
      <c r="J33" s="26" t="str">
        <f aca="false">IF(A33="","",IF(H33=0,"No pay this week",IF(I33="Missing","Held: no bank details","Ready")))</f>
        <v>Ready</v>
      </c>
      <c r="K33" s="42" t="n">
        <f aca="false">IF(AND(J33="Ready",D33="PPD"),ROW(),"")</f>
        <v>33</v>
      </c>
      <c r="L33" s="42" t="str">
        <f aca="false">IF(AND(J33="Ready",D33="CCD"),ROW(),"")</f>
        <v/>
      </c>
    </row>
    <row r="34" customFormat="false" ht="15" hidden="false" customHeight="false" outlineLevel="0" collapsed="false">
      <c r="A34" s="40" t="str">
        <f aca="false">IF(INDEX(cg_ID,29)="","",INDEX(cg_ID,29))</f>
        <v>CG-1029</v>
      </c>
      <c r="B34" s="26" t="str">
        <f aca="false">IF(A34="","",INDEX(cg_Name,29))</f>
        <v>Dalia Parrish</v>
      </c>
      <c r="C34" s="40" t="str">
        <f aca="false">IF(A34="","",INDEX(cg_AcctClass,29))</f>
        <v>Business</v>
      </c>
      <c r="D34" s="40" t="str">
        <f aca="false">IF(A34="","",IF(C34="Business","CCD","PPD"))</f>
        <v>CCD</v>
      </c>
      <c r="E34" s="45" t="n">
        <f aca="false">IF(A34="","",SUMIFS(in_Units,in_CGID,A34,in_PayStatus,"Pay"))</f>
        <v>47</v>
      </c>
      <c r="F34" s="41" t="n">
        <f aca="false">IF(A34="","",SUMIFS(in_ServicePay,in_CGID,A34,in_PayStatus,"Pay"))</f>
        <v>315</v>
      </c>
      <c r="G34" s="41" t="n">
        <f aca="false">IF(A34="","",SUMIFS(in_MilePay,in_CGID,A34,in_PayStatus,"Pay"))</f>
        <v>4.34</v>
      </c>
      <c r="H34" s="41" t="n">
        <f aca="false">IF(A34="","",ROUND(F34+G34,2))</f>
        <v>319.34</v>
      </c>
      <c r="I34" s="40" t="str">
        <f aca="false">IF(A34="","",IF(OR(INDEX(cg_Routing,29)="",INDEX(cg_Account,29)=""),"Missing","On file"))</f>
        <v>On file</v>
      </c>
      <c r="J34" s="26" t="str">
        <f aca="false">IF(A34="","",IF(H34=0,"No pay this week",IF(I34="Missing","Held: no bank details","Ready")))</f>
        <v>Ready</v>
      </c>
      <c r="K34" s="42" t="str">
        <f aca="false">IF(AND(J34="Ready",D34="PPD"),ROW(),"")</f>
        <v/>
      </c>
      <c r="L34" s="42" t="n">
        <f aca="false">IF(AND(J34="Ready",D34="CCD"),ROW(),"")</f>
        <v>34</v>
      </c>
    </row>
    <row r="35" customFormat="false" ht="15" hidden="false" customHeight="false" outlineLevel="0" collapsed="false">
      <c r="A35" s="40" t="str">
        <f aca="false">IF(INDEX(cg_ID,30)="","",INDEX(cg_ID,30))</f>
        <v>CG-1030</v>
      </c>
      <c r="B35" s="26" t="str">
        <f aca="false">IF(A35="","",INDEX(cg_Name,30))</f>
        <v>Brianna Tolliver</v>
      </c>
      <c r="C35" s="40" t="str">
        <f aca="false">IF(A35="","",INDEX(cg_AcctClass,30))</f>
        <v>Personal</v>
      </c>
      <c r="D35" s="40" t="str">
        <f aca="false">IF(A35="","",IF(C35="Business","CCD","PPD"))</f>
        <v>PPD</v>
      </c>
      <c r="E35" s="45" t="n">
        <f aca="false">IF(A35="","",SUMIFS(in_Units,in_CGID,A35,in_PayStatus,"Pay"))</f>
        <v>66</v>
      </c>
      <c r="F35" s="41" t="n">
        <f aca="false">IF(A35="","",SUMIFS(in_ServicePay,in_CGID,A35,in_PayStatus,"Pay"))</f>
        <v>363</v>
      </c>
      <c r="G35" s="41" t="n">
        <f aca="false">IF(A35="","",SUMIFS(in_MilePay,in_CGID,A35,in_PayStatus,"Pay"))</f>
        <v>16.74</v>
      </c>
      <c r="H35" s="41" t="n">
        <f aca="false">IF(A35="","",ROUND(F35+G35,2))</f>
        <v>379.74</v>
      </c>
      <c r="I35" s="40" t="str">
        <f aca="false">IF(A35="","",IF(OR(INDEX(cg_Routing,30)="",INDEX(cg_Account,30)=""),"Missing","On file"))</f>
        <v>On file</v>
      </c>
      <c r="J35" s="26" t="str">
        <f aca="false">IF(A35="","",IF(H35=0,"No pay this week",IF(I35="Missing","Held: no bank details","Ready")))</f>
        <v>Ready</v>
      </c>
      <c r="K35" s="42" t="n">
        <f aca="false">IF(AND(J35="Ready",D35="PPD"),ROW(),"")</f>
        <v>35</v>
      </c>
      <c r="L35" s="42" t="str">
        <f aca="false">IF(AND(J35="Ready",D35="CCD"),ROW(),"")</f>
        <v/>
      </c>
    </row>
    <row r="36" customFormat="false" ht="15" hidden="false" customHeight="false" outlineLevel="0" collapsed="false">
      <c r="A36" s="40" t="str">
        <f aca="false">IF(INDEX(cg_ID,31)="","",INDEX(cg_ID,31))</f>
        <v>CG-1031</v>
      </c>
      <c r="B36" s="26" t="str">
        <f aca="false">IF(A36="","",INDEX(cg_Name,31))</f>
        <v>Jasmine Mendoza</v>
      </c>
      <c r="C36" s="40" t="str">
        <f aca="false">IF(A36="","",INDEX(cg_AcctClass,31))</f>
        <v>Business</v>
      </c>
      <c r="D36" s="40" t="str">
        <f aca="false">IF(A36="","",IF(C36="Business","CCD","PPD"))</f>
        <v>CCD</v>
      </c>
      <c r="E36" s="45" t="n">
        <f aca="false">IF(A36="","",SUMIFS(in_Units,in_CGID,A36,in_PayStatus,"Pay"))</f>
        <v>58</v>
      </c>
      <c r="F36" s="41" t="n">
        <f aca="false">IF(A36="","",SUMIFS(in_ServicePay,in_CGID,A36,in_PayStatus,"Pay"))</f>
        <v>319</v>
      </c>
      <c r="G36" s="41" t="n">
        <f aca="false">IF(A36="","",SUMIFS(in_MilePay,in_CGID,A36,in_PayStatus,"Pay"))</f>
        <v>0</v>
      </c>
      <c r="H36" s="41" t="n">
        <f aca="false">IF(A36="","",ROUND(F36+G36,2))</f>
        <v>319</v>
      </c>
      <c r="I36" s="40" t="str">
        <f aca="false">IF(A36="","",IF(OR(INDEX(cg_Routing,31)="",INDEX(cg_Account,31)=""),"Missing","On file"))</f>
        <v>On file</v>
      </c>
      <c r="J36" s="26" t="str">
        <f aca="false">IF(A36="","",IF(H36=0,"No pay this week",IF(I36="Missing","Held: no bank details","Ready")))</f>
        <v>Ready</v>
      </c>
      <c r="K36" s="42" t="str">
        <f aca="false">IF(AND(J36="Ready",D36="PPD"),ROW(),"")</f>
        <v/>
      </c>
      <c r="L36" s="42" t="n">
        <f aca="false">IF(AND(J36="Ready",D36="CCD"),ROW(),"")</f>
        <v>36</v>
      </c>
    </row>
    <row r="37" customFormat="false" ht="15" hidden="false" customHeight="false" outlineLevel="0" collapsed="false">
      <c r="A37" s="40" t="str">
        <f aca="false">IF(INDEX(cg_ID,32)="","",INDEX(cg_ID,32))</f>
        <v>CG-1032</v>
      </c>
      <c r="B37" s="26" t="str">
        <f aca="false">IF(A37="","",INDEX(cg_Name,32))</f>
        <v>Veronica Garnett</v>
      </c>
      <c r="C37" s="40" t="str">
        <f aca="false">IF(A37="","",INDEX(cg_AcctClass,32))</f>
        <v>Personal</v>
      </c>
      <c r="D37" s="40" t="str">
        <f aca="false">IF(A37="","",IF(C37="Business","CCD","PPD"))</f>
        <v>PPD</v>
      </c>
      <c r="E37" s="45" t="n">
        <f aca="false">IF(A37="","",SUMIFS(in_Units,in_CGID,A37,in_PayStatus,"Pay"))</f>
        <v>98</v>
      </c>
      <c r="F37" s="41" t="n">
        <f aca="false">IF(A37="","",SUMIFS(in_ServicePay,in_CGID,A37,in_PayStatus,"Pay"))</f>
        <v>539</v>
      </c>
      <c r="G37" s="41" t="n">
        <f aca="false">IF(A37="","",SUMIFS(in_MilePay,in_CGID,A37,in_PayStatus,"Pay"))</f>
        <v>13.64</v>
      </c>
      <c r="H37" s="41" t="n">
        <f aca="false">IF(A37="","",ROUND(F37+G37,2))</f>
        <v>552.64</v>
      </c>
      <c r="I37" s="40" t="str">
        <f aca="false">IF(A37="","",IF(OR(INDEX(cg_Routing,32)="",INDEX(cg_Account,32)=""),"Missing","On file"))</f>
        <v>On file</v>
      </c>
      <c r="J37" s="26" t="str">
        <f aca="false">IF(A37="","",IF(H37=0,"No pay this week",IF(I37="Missing","Held: no bank details","Ready")))</f>
        <v>Ready</v>
      </c>
      <c r="K37" s="42" t="n">
        <f aca="false">IF(AND(J37="Ready",D37="PPD"),ROW(),"")</f>
        <v>37</v>
      </c>
      <c r="L37" s="42" t="str">
        <f aca="false">IF(AND(J37="Ready",D37="CCD"),ROW(),"")</f>
        <v/>
      </c>
    </row>
    <row r="38" customFormat="false" ht="15" hidden="false" customHeight="false" outlineLevel="0" collapsed="false">
      <c r="A38" s="40" t="str">
        <f aca="false">IF(INDEX(cg_ID,33)="","",INDEX(cg_ID,33))</f>
        <v>CG-1033</v>
      </c>
      <c r="B38" s="26" t="str">
        <f aca="false">IF(A38="","",INDEX(cg_Name,33))</f>
        <v>Rosa Ochoa</v>
      </c>
      <c r="C38" s="40" t="str">
        <f aca="false">IF(A38="","",INDEX(cg_AcctClass,33))</f>
        <v>Personal</v>
      </c>
      <c r="D38" s="40" t="str">
        <f aca="false">IF(A38="","",IF(C38="Business","CCD","PPD"))</f>
        <v>PPD</v>
      </c>
      <c r="E38" s="45" t="n">
        <f aca="false">IF(A38="","",SUMIFS(in_Units,in_CGID,A38,in_PayStatus,"Pay"))</f>
        <v>104</v>
      </c>
      <c r="F38" s="41" t="n">
        <f aca="false">IF(A38="","",SUMIFS(in_ServicePay,in_CGID,A38,in_PayStatus,"Pay"))</f>
        <v>548.8</v>
      </c>
      <c r="G38" s="41" t="n">
        <f aca="false">IF(A38="","",SUMIFS(in_MilePay,in_CGID,A38,in_PayStatus,"Pay"))</f>
        <v>0</v>
      </c>
      <c r="H38" s="41" t="n">
        <f aca="false">IF(A38="","",ROUND(F38+G38,2))</f>
        <v>548.8</v>
      </c>
      <c r="I38" s="40" t="str">
        <f aca="false">IF(A38="","",IF(OR(INDEX(cg_Routing,33)="",INDEX(cg_Account,33)=""),"Missing","On file"))</f>
        <v>On file</v>
      </c>
      <c r="J38" s="26" t="str">
        <f aca="false">IF(A38="","",IF(H38=0,"No pay this week",IF(I38="Missing","Held: no bank details","Ready")))</f>
        <v>Ready</v>
      </c>
      <c r="K38" s="42" t="n">
        <f aca="false">IF(AND(J38="Ready",D38="PPD"),ROW(),"")</f>
        <v>38</v>
      </c>
      <c r="L38" s="42" t="str">
        <f aca="false">IF(AND(J38="Ready",D38="CCD"),ROW(),"")</f>
        <v/>
      </c>
    </row>
    <row r="39" customFormat="false" ht="15" hidden="false" customHeight="false" outlineLevel="0" collapsed="false">
      <c r="A39" s="40" t="str">
        <f aca="false">IF(INDEX(cg_ID,34)="","",INDEX(cg_ID,34))</f>
        <v>CG-1034</v>
      </c>
      <c r="B39" s="26" t="str">
        <f aca="false">IF(A39="","",INDEX(cg_Name,34))</f>
        <v>Elise Odom</v>
      </c>
      <c r="C39" s="40" t="str">
        <f aca="false">IF(A39="","",INDEX(cg_AcctClass,34))</f>
        <v>Personal</v>
      </c>
      <c r="D39" s="40" t="str">
        <f aca="false">IF(A39="","",IF(C39="Business","CCD","PPD"))</f>
        <v>PPD</v>
      </c>
      <c r="E39" s="45" t="n">
        <f aca="false">IF(A39="","",SUMIFS(in_Units,in_CGID,A39,in_PayStatus,"Pay"))</f>
        <v>68</v>
      </c>
      <c r="F39" s="41" t="n">
        <f aca="false">IF(A39="","",SUMIFS(in_ServicePay,in_CGID,A39,in_PayStatus,"Pay"))</f>
        <v>359.6</v>
      </c>
      <c r="G39" s="41" t="n">
        <f aca="false">IF(A39="","",SUMIFS(in_MilePay,in_CGID,A39,in_PayStatus,"Pay"))</f>
        <v>0</v>
      </c>
      <c r="H39" s="41" t="n">
        <f aca="false">IF(A39="","",ROUND(F39+G39,2))</f>
        <v>359.6</v>
      </c>
      <c r="I39" s="40" t="str">
        <f aca="false">IF(A39="","",IF(OR(INDEX(cg_Routing,34)="",INDEX(cg_Account,34)=""),"Missing","On file"))</f>
        <v>On file</v>
      </c>
      <c r="J39" s="26" t="str">
        <f aca="false">IF(A39="","",IF(H39=0,"No pay this week",IF(I39="Missing","Held: no bank details","Ready")))</f>
        <v>Ready</v>
      </c>
      <c r="K39" s="42" t="n">
        <f aca="false">IF(AND(J39="Ready",D39="PPD"),ROW(),"")</f>
        <v>39</v>
      </c>
      <c r="L39" s="42" t="str">
        <f aca="false">IF(AND(J39="Ready",D39="CCD"),ROW(),"")</f>
        <v/>
      </c>
    </row>
    <row r="40" customFormat="false" ht="15" hidden="false" customHeight="false" outlineLevel="0" collapsed="false">
      <c r="A40" s="40" t="str">
        <f aca="false">IF(INDEX(cg_ID,35)="","",INDEX(cg_ID,35))</f>
        <v>CG-1035</v>
      </c>
      <c r="B40" s="26" t="str">
        <f aca="false">IF(A40="","",INDEX(cg_Name,35))</f>
        <v>Hector Rosales</v>
      </c>
      <c r="C40" s="40" t="str">
        <f aca="false">IF(A40="","",INDEX(cg_AcctClass,35))</f>
        <v>Personal</v>
      </c>
      <c r="D40" s="40" t="str">
        <f aca="false">IF(A40="","",IF(C40="Business","CCD","PPD"))</f>
        <v>PPD</v>
      </c>
      <c r="E40" s="45" t="n">
        <f aca="false">IF(A40="","",SUMIFS(in_Units,in_CGID,A40,in_PayStatus,"Pay"))</f>
        <v>42</v>
      </c>
      <c r="F40" s="41" t="n">
        <f aca="false">IF(A40="","",SUMIFS(in_ServicePay,in_CGID,A40,in_PayStatus,"Pay"))</f>
        <v>216.6</v>
      </c>
      <c r="G40" s="41" t="n">
        <f aca="false">IF(A40="","",SUMIFS(in_MilePay,in_CGID,A40,in_PayStatus,"Pay"))</f>
        <v>8.06</v>
      </c>
      <c r="H40" s="41" t="n">
        <f aca="false">IF(A40="","",ROUND(F40+G40,2))</f>
        <v>224.66</v>
      </c>
      <c r="I40" s="40" t="str">
        <f aca="false">IF(A40="","",IF(OR(INDEX(cg_Routing,35)="",INDEX(cg_Account,35)=""),"Missing","On file"))</f>
        <v>On file</v>
      </c>
      <c r="J40" s="26" t="str">
        <f aca="false">IF(A40="","",IF(H40=0,"No pay this week",IF(I40="Missing","Held: no bank details","Ready")))</f>
        <v>Ready</v>
      </c>
      <c r="K40" s="42" t="n">
        <f aca="false">IF(AND(J40="Ready",D40="PPD"),ROW(),"")</f>
        <v>40</v>
      </c>
      <c r="L40" s="42" t="str">
        <f aca="false">IF(AND(J40="Ready",D40="CCD"),ROW(),"")</f>
        <v/>
      </c>
    </row>
    <row r="41" customFormat="false" ht="15" hidden="false" customHeight="false" outlineLevel="0" collapsed="false">
      <c r="A41" s="40" t="str">
        <f aca="false">IF(INDEX(cg_ID,36)="","",INDEX(cg_ID,36))</f>
        <v>CG-1036</v>
      </c>
      <c r="B41" s="26" t="str">
        <f aca="false">IF(A41="","",INDEX(cg_Name,36))</f>
        <v>Kendra Acosta</v>
      </c>
      <c r="C41" s="40" t="str">
        <f aca="false">IF(A41="","",INDEX(cg_AcctClass,36))</f>
        <v>Personal</v>
      </c>
      <c r="D41" s="40" t="str">
        <f aca="false">IF(A41="","",IF(C41="Business","CCD","PPD"))</f>
        <v>PPD</v>
      </c>
      <c r="E41" s="45" t="n">
        <f aca="false">IF(A41="","",SUMIFS(in_Units,in_CGID,A41,in_PayStatus,"Pay"))</f>
        <v>172</v>
      </c>
      <c r="F41" s="41" t="n">
        <f aca="false">IF(A41="","",SUMIFS(in_ServicePay,in_CGID,A41,in_PayStatus,"Pay"))</f>
        <v>788.5</v>
      </c>
      <c r="G41" s="41" t="n">
        <f aca="false">IF(A41="","",SUMIFS(in_MilePay,in_CGID,A41,in_PayStatus,"Pay"))</f>
        <v>12.4</v>
      </c>
      <c r="H41" s="41" t="n">
        <f aca="false">IF(A41="","",ROUND(F41+G41,2))</f>
        <v>800.9</v>
      </c>
      <c r="I41" s="40" t="str">
        <f aca="false">IF(A41="","",IF(OR(INDEX(cg_Routing,36)="",INDEX(cg_Account,36)=""),"Missing","On file"))</f>
        <v>On file</v>
      </c>
      <c r="J41" s="26" t="str">
        <f aca="false">IF(A41="","",IF(H41=0,"No pay this week",IF(I41="Missing","Held: no bank details","Ready")))</f>
        <v>Ready</v>
      </c>
      <c r="K41" s="42" t="n">
        <f aca="false">IF(AND(J41="Ready",D41="PPD"),ROW(),"")</f>
        <v>41</v>
      </c>
      <c r="L41" s="42" t="str">
        <f aca="false">IF(AND(J41="Ready",D41="CCD"),ROW(),"")</f>
        <v/>
      </c>
    </row>
    <row r="42" customFormat="false" ht="15" hidden="false" customHeight="false" outlineLevel="0" collapsed="false">
      <c r="A42" s="40" t="str">
        <f aca="false">IF(INDEX(cg_ID,37)="","",INDEX(cg_ID,37))</f>
        <v>CG-1037</v>
      </c>
      <c r="B42" s="26" t="str">
        <f aca="false">IF(A42="","",INDEX(cg_Name,37))</f>
        <v>Josefina Simmons</v>
      </c>
      <c r="C42" s="40" t="str">
        <f aca="false">IF(A42="","",INDEX(cg_AcctClass,37))</f>
        <v>Personal</v>
      </c>
      <c r="D42" s="40" t="str">
        <f aca="false">IF(A42="","",IF(C42="Business","CCD","PPD"))</f>
        <v>PPD</v>
      </c>
      <c r="E42" s="45" t="n">
        <f aca="false">IF(A42="","",SUMIFS(in_Units,in_CGID,A42,in_PayStatus,"Pay"))</f>
        <v>76</v>
      </c>
      <c r="F42" s="41" t="n">
        <f aca="false">IF(A42="","",SUMIFS(in_ServicePay,in_CGID,A42,in_PayStatus,"Pay"))</f>
        <v>387.6</v>
      </c>
      <c r="G42" s="41" t="n">
        <f aca="false">IF(A42="","",SUMIFS(in_MilePay,in_CGID,A42,in_PayStatus,"Pay"))</f>
        <v>2.48</v>
      </c>
      <c r="H42" s="41" t="n">
        <f aca="false">IF(A42="","",ROUND(F42+G42,2))</f>
        <v>390.08</v>
      </c>
      <c r="I42" s="40" t="str">
        <f aca="false">IF(A42="","",IF(OR(INDEX(cg_Routing,37)="",INDEX(cg_Account,37)=""),"Missing","On file"))</f>
        <v>On file</v>
      </c>
      <c r="J42" s="26" t="str">
        <f aca="false">IF(A42="","",IF(H42=0,"No pay this week",IF(I42="Missing","Held: no bank details","Ready")))</f>
        <v>Ready</v>
      </c>
      <c r="K42" s="42" t="n">
        <f aca="false">IF(AND(J42="Ready",D42="PPD"),ROW(),"")</f>
        <v>42</v>
      </c>
      <c r="L42" s="42" t="str">
        <f aca="false">IF(AND(J42="Ready",D42="CCD"),ROW(),"")</f>
        <v/>
      </c>
    </row>
    <row r="43" customFormat="false" ht="15" hidden="false" customHeight="false" outlineLevel="0" collapsed="false">
      <c r="A43" s="40" t="str">
        <f aca="false">IF(INDEX(cg_ID,38)="","",INDEX(cg_ID,38))</f>
        <v>CG-1038</v>
      </c>
      <c r="B43" s="26" t="str">
        <f aca="false">IF(A43="","",INDEX(cg_Name,38))</f>
        <v>Zora Burrell</v>
      </c>
      <c r="C43" s="40" t="str">
        <f aca="false">IF(A43="","",INDEX(cg_AcctClass,38))</f>
        <v>Personal</v>
      </c>
      <c r="D43" s="40" t="str">
        <f aca="false">IF(A43="","",IF(C43="Business","CCD","PPD"))</f>
        <v>PPD</v>
      </c>
      <c r="E43" s="45" t="n">
        <f aca="false">IF(A43="","",SUMIFS(in_Units,in_CGID,A43,in_PayStatus,"Pay"))</f>
        <v>20</v>
      </c>
      <c r="F43" s="41" t="n">
        <f aca="false">IF(A43="","",SUMIFS(in_ServicePay,in_CGID,A43,in_PayStatus,"Pay"))</f>
        <v>102</v>
      </c>
      <c r="G43" s="41" t="n">
        <f aca="false">IF(A43="","",SUMIFS(in_MilePay,in_CGID,A43,in_PayStatus,"Pay"))</f>
        <v>0</v>
      </c>
      <c r="H43" s="41" t="n">
        <f aca="false">IF(A43="","",ROUND(F43+G43,2))</f>
        <v>102</v>
      </c>
      <c r="I43" s="40" t="str">
        <f aca="false">IF(A43="","",IF(OR(INDEX(cg_Routing,38)="",INDEX(cg_Account,38)=""),"Missing","On file"))</f>
        <v>On file</v>
      </c>
      <c r="J43" s="26" t="str">
        <f aca="false">IF(A43="","",IF(H43=0,"No pay this week",IF(I43="Missing","Held: no bank details","Ready")))</f>
        <v>Ready</v>
      </c>
      <c r="K43" s="42" t="n">
        <f aca="false">IF(AND(J43="Ready",D43="PPD"),ROW(),"")</f>
        <v>43</v>
      </c>
      <c r="L43" s="42" t="str">
        <f aca="false">IF(AND(J43="Ready",D43="CCD"),ROW(),"")</f>
        <v/>
      </c>
    </row>
    <row r="44" customFormat="false" ht="15" hidden="false" customHeight="false" outlineLevel="0" collapsed="false">
      <c r="A44" s="40" t="str">
        <f aca="false">IF(INDEX(cg_ID,39)="","",INDEX(cg_ID,39))</f>
        <v>CG-1039</v>
      </c>
      <c r="B44" s="26" t="str">
        <f aca="false">IF(A44="","",INDEX(cg_Name,39))</f>
        <v>Darnell Thibodeaux</v>
      </c>
      <c r="C44" s="40" t="str">
        <f aca="false">IF(A44="","",INDEX(cg_AcctClass,39))</f>
        <v>Personal</v>
      </c>
      <c r="D44" s="40" t="str">
        <f aca="false">IF(A44="","",IF(C44="Business","CCD","PPD"))</f>
        <v>PPD</v>
      </c>
      <c r="E44" s="45" t="n">
        <f aca="false">IF(A44="","",SUMIFS(in_Units,in_CGID,A44,in_PayStatus,"Pay"))</f>
        <v>0</v>
      </c>
      <c r="F44" s="41" t="n">
        <f aca="false">IF(A44="","",SUMIFS(in_ServicePay,in_CGID,A44,in_PayStatus,"Pay"))</f>
        <v>0</v>
      </c>
      <c r="G44" s="41" t="n">
        <f aca="false">IF(A44="","",SUMIFS(in_MilePay,in_CGID,A44,in_PayStatus,"Pay"))</f>
        <v>0</v>
      </c>
      <c r="H44" s="41" t="n">
        <f aca="false">IF(A44="","",ROUND(F44+G44,2))</f>
        <v>0</v>
      </c>
      <c r="I44" s="40" t="str">
        <f aca="false">IF(A44="","",IF(OR(INDEX(cg_Routing,39)="",INDEX(cg_Account,39)=""),"Missing","On file"))</f>
        <v>On file</v>
      </c>
      <c r="J44" s="26" t="str">
        <f aca="false">IF(A44="","",IF(H44=0,"No pay this week",IF(I44="Missing","Held: no bank details","Ready")))</f>
        <v>No pay this week</v>
      </c>
      <c r="K44" s="42" t="str">
        <f aca="false">IF(AND(J44="Ready",D44="PPD"),ROW(),"")</f>
        <v/>
      </c>
      <c r="L44" s="42" t="str">
        <f aca="false">IF(AND(J44="Ready",D44="CCD"),ROW(),"")</f>
        <v/>
      </c>
    </row>
    <row r="45" customFormat="false" ht="15" hidden="false" customHeight="false" outlineLevel="0" collapsed="false">
      <c r="A45" s="40" t="str">
        <f aca="false">IF(INDEX(cg_ID,40)="","",INDEX(cg_ID,40))</f>
        <v>CG-1040</v>
      </c>
      <c r="B45" s="26" t="str">
        <f aca="false">IF(A45="","",INDEX(cg_Name,40))</f>
        <v>Brianna Waddell</v>
      </c>
      <c r="C45" s="40" t="str">
        <f aca="false">IF(A45="","",INDEX(cg_AcctClass,40))</f>
        <v>Business</v>
      </c>
      <c r="D45" s="40" t="str">
        <f aca="false">IF(A45="","",IF(C45="Business","CCD","PPD"))</f>
        <v>CCD</v>
      </c>
      <c r="E45" s="45" t="n">
        <f aca="false">IF(A45="","",SUMIFS(in_Units,in_CGID,A45,in_PayStatus,"Pay"))</f>
        <v>94</v>
      </c>
      <c r="F45" s="41" t="n">
        <f aca="false">IF(A45="","",SUMIFS(in_ServicePay,in_CGID,A45,in_PayStatus,"Pay"))</f>
        <v>517</v>
      </c>
      <c r="G45" s="41" t="n">
        <f aca="false">IF(A45="","",SUMIFS(in_MilePay,in_CGID,A45,in_PayStatus,"Pay"))</f>
        <v>8.68</v>
      </c>
      <c r="H45" s="41" t="n">
        <f aca="false">IF(A45="","",ROUND(F45+G45,2))</f>
        <v>525.68</v>
      </c>
      <c r="I45" s="40" t="str">
        <f aca="false">IF(A45="","",IF(OR(INDEX(cg_Routing,40)="",INDEX(cg_Account,40)=""),"Missing","On file"))</f>
        <v>On file</v>
      </c>
      <c r="J45" s="26" t="str">
        <f aca="false">IF(A45="","",IF(H45=0,"No pay this week",IF(I45="Missing","Held: no bank details","Ready")))</f>
        <v>Ready</v>
      </c>
      <c r="K45" s="42" t="str">
        <f aca="false">IF(AND(J45="Ready",D45="PPD"),ROW(),"")</f>
        <v/>
      </c>
      <c r="L45" s="42" t="n">
        <f aca="false">IF(AND(J45="Ready",D45="CCD"),ROW(),"")</f>
        <v>45</v>
      </c>
    </row>
    <row r="46" customFormat="false" ht="15" hidden="false" customHeight="false" outlineLevel="0" collapsed="false">
      <c r="A46" s="40" t="str">
        <f aca="false">IF(INDEX(cg_ID,41)="","",INDEX(cg_ID,41))</f>
        <v>CG-1041</v>
      </c>
      <c r="B46" s="26" t="str">
        <f aca="false">IF(A46="","",INDEX(cg_Name,41))</f>
        <v>Yolanda Vance</v>
      </c>
      <c r="C46" s="40" t="str">
        <f aca="false">IF(A46="","",INDEX(cg_AcctClass,41))</f>
        <v>Personal</v>
      </c>
      <c r="D46" s="40" t="str">
        <f aca="false">IF(A46="","",IF(C46="Business","CCD","PPD"))</f>
        <v>PPD</v>
      </c>
      <c r="E46" s="45" t="n">
        <f aca="false">IF(A46="","",SUMIFS(in_Units,in_CGID,A46,in_PayStatus,"Pay"))</f>
        <v>38</v>
      </c>
      <c r="F46" s="41" t="n">
        <f aca="false">IF(A46="","",SUMIFS(in_ServicePay,in_CGID,A46,in_PayStatus,"Pay"))</f>
        <v>161.5</v>
      </c>
      <c r="G46" s="41" t="n">
        <f aca="false">IF(A46="","",SUMIFS(in_MilePay,in_CGID,A46,in_PayStatus,"Pay"))</f>
        <v>7.44</v>
      </c>
      <c r="H46" s="41" t="n">
        <f aca="false">IF(A46="","",ROUND(F46+G46,2))</f>
        <v>168.94</v>
      </c>
      <c r="I46" s="40" t="str">
        <f aca="false">IF(A46="","",IF(OR(INDEX(cg_Routing,41)="",INDEX(cg_Account,41)=""),"Missing","On file"))</f>
        <v>On file</v>
      </c>
      <c r="J46" s="26" t="str">
        <f aca="false">IF(A46="","",IF(H46=0,"No pay this week",IF(I46="Missing","Held: no bank details","Ready")))</f>
        <v>Ready</v>
      </c>
      <c r="K46" s="42" t="n">
        <f aca="false">IF(AND(J46="Ready",D46="PPD"),ROW(),"")</f>
        <v>46</v>
      </c>
      <c r="L46" s="42" t="str">
        <f aca="false">IF(AND(J46="Ready",D46="CCD"),ROW(),"")</f>
        <v/>
      </c>
    </row>
    <row r="47" customFormat="false" ht="15" hidden="false" customHeight="false" outlineLevel="0" collapsed="false">
      <c r="A47" s="40" t="str">
        <f aca="false">IF(INDEX(cg_ID,42)="","",INDEX(cg_ID,42))</f>
        <v>CG-1042</v>
      </c>
      <c r="B47" s="26" t="str">
        <f aca="false">IF(A47="","",INDEX(cg_Name,42))</f>
        <v>Desmond Overton</v>
      </c>
      <c r="C47" s="40" t="str">
        <f aca="false">IF(A47="","",INDEX(cg_AcctClass,42))</f>
        <v>Personal</v>
      </c>
      <c r="D47" s="40" t="str">
        <f aca="false">IF(A47="","",IF(C47="Business","CCD","PPD"))</f>
        <v>PPD</v>
      </c>
      <c r="E47" s="45" t="n">
        <f aca="false">IF(A47="","",SUMIFS(in_Units,in_CGID,A47,in_PayStatus,"Pay"))</f>
        <v>40</v>
      </c>
      <c r="F47" s="41" t="n">
        <f aca="false">IF(A47="","",SUMIFS(in_ServicePay,in_CGID,A47,in_PayStatus,"Pay"))</f>
        <v>204</v>
      </c>
      <c r="G47" s="41" t="n">
        <f aca="false">IF(A47="","",SUMIFS(in_MilePay,in_CGID,A47,in_PayStatus,"Pay"))</f>
        <v>0</v>
      </c>
      <c r="H47" s="41" t="n">
        <f aca="false">IF(A47="","",ROUND(F47+G47,2))</f>
        <v>204</v>
      </c>
      <c r="I47" s="40" t="str">
        <f aca="false">IF(A47="","",IF(OR(INDEX(cg_Routing,42)="",INDEX(cg_Account,42)=""),"Missing","On file"))</f>
        <v>On file</v>
      </c>
      <c r="J47" s="26" t="str">
        <f aca="false">IF(A47="","",IF(H47=0,"No pay this week",IF(I47="Missing","Held: no bank details","Ready")))</f>
        <v>Ready</v>
      </c>
      <c r="K47" s="42" t="n">
        <f aca="false">IF(AND(J47="Ready",D47="PPD"),ROW(),"")</f>
        <v>47</v>
      </c>
      <c r="L47" s="42" t="str">
        <f aca="false">IF(AND(J47="Ready",D47="CCD"),ROW(),"")</f>
        <v/>
      </c>
    </row>
    <row r="48" customFormat="false" ht="15" hidden="false" customHeight="false" outlineLevel="0" collapsed="false">
      <c r="A48" s="40" t="str">
        <f aca="false">IF(INDEX(cg_ID,43)="","",INDEX(cg_ID,43))</f>
        <v>CG-1043</v>
      </c>
      <c r="B48" s="26" t="str">
        <f aca="false">IF(A48="","",INDEX(cg_Name,43))</f>
        <v>Teresa Fontaine</v>
      </c>
      <c r="C48" s="40" t="str">
        <f aca="false">IF(A48="","",INDEX(cg_AcctClass,43))</f>
        <v>Business</v>
      </c>
      <c r="D48" s="40" t="str">
        <f aca="false">IF(A48="","",IF(C48="Business","CCD","PPD"))</f>
        <v>CCD</v>
      </c>
      <c r="E48" s="45" t="n">
        <f aca="false">IF(A48="","",SUMIFS(in_Units,in_CGID,A48,in_PayStatus,"Pay"))</f>
        <v>52</v>
      </c>
      <c r="F48" s="41" t="n">
        <f aca="false">IF(A48="","",SUMIFS(in_ServicePay,in_CGID,A48,in_PayStatus,"Pay"))</f>
        <v>239.2</v>
      </c>
      <c r="G48" s="41" t="n">
        <f aca="false">IF(A48="","",SUMIFS(in_MilePay,in_CGID,A48,in_PayStatus,"Pay"))</f>
        <v>0</v>
      </c>
      <c r="H48" s="41" t="n">
        <f aca="false">IF(A48="","",ROUND(F48+G48,2))</f>
        <v>239.2</v>
      </c>
      <c r="I48" s="40" t="str">
        <f aca="false">IF(A48="","",IF(OR(INDEX(cg_Routing,43)="",INDEX(cg_Account,43)=""),"Missing","On file"))</f>
        <v>On file</v>
      </c>
      <c r="J48" s="26" t="str">
        <f aca="false">IF(A48="","",IF(H48=0,"No pay this week",IF(I48="Missing","Held: no bank details","Ready")))</f>
        <v>Ready</v>
      </c>
      <c r="K48" s="42" t="str">
        <f aca="false">IF(AND(J48="Ready",D48="PPD"),ROW(),"")</f>
        <v/>
      </c>
      <c r="L48" s="42" t="n">
        <f aca="false">IF(AND(J48="Ready",D48="CCD"),ROW(),"")</f>
        <v>48</v>
      </c>
    </row>
    <row r="49" customFormat="false" ht="15" hidden="false" customHeight="false" outlineLevel="0" collapsed="false">
      <c r="A49" s="40" t="str">
        <f aca="false">IF(INDEX(cg_ID,44)="","",INDEX(cg_ID,44))</f>
        <v>CG-1044</v>
      </c>
      <c r="B49" s="26" t="str">
        <f aca="false">IF(A49="","",INDEX(cg_Name,44))</f>
        <v>Selena Quintero</v>
      </c>
      <c r="C49" s="40" t="str">
        <f aca="false">IF(A49="","",INDEX(cg_AcctClass,44))</f>
        <v>Personal</v>
      </c>
      <c r="D49" s="40" t="str">
        <f aca="false">IF(A49="","",IF(C49="Business","CCD","PPD"))</f>
        <v>PPD</v>
      </c>
      <c r="E49" s="45" t="n">
        <f aca="false">IF(A49="","",SUMIFS(in_Units,in_CGID,A49,in_PayStatus,"Pay"))</f>
        <v>40</v>
      </c>
      <c r="F49" s="41" t="n">
        <f aca="false">IF(A49="","",SUMIFS(in_ServicePay,in_CGID,A49,in_PayStatus,"Pay"))</f>
        <v>170</v>
      </c>
      <c r="G49" s="41" t="n">
        <f aca="false">IF(A49="","",SUMIFS(in_MilePay,in_CGID,A49,in_PayStatus,"Pay"))</f>
        <v>0</v>
      </c>
      <c r="H49" s="41" t="n">
        <f aca="false">IF(A49="","",ROUND(F49+G49,2))</f>
        <v>170</v>
      </c>
      <c r="I49" s="40" t="str">
        <f aca="false">IF(A49="","",IF(OR(INDEX(cg_Routing,44)="",INDEX(cg_Account,44)=""),"Missing","On file"))</f>
        <v>On file</v>
      </c>
      <c r="J49" s="26" t="str">
        <f aca="false">IF(A49="","",IF(H49=0,"No pay this week",IF(I49="Missing","Held: no bank details","Ready")))</f>
        <v>Ready</v>
      </c>
      <c r="K49" s="42" t="n">
        <f aca="false">IF(AND(J49="Ready",D49="PPD"),ROW(),"")</f>
        <v>49</v>
      </c>
      <c r="L49" s="42" t="str">
        <f aca="false">IF(AND(J49="Ready",D49="CCD"),ROW(),"")</f>
        <v/>
      </c>
    </row>
    <row r="50" customFormat="false" ht="15" hidden="false" customHeight="false" outlineLevel="0" collapsed="false">
      <c r="A50" s="40" t="str">
        <f aca="false">IF(INDEX(cg_ID,45)="","",INDEX(cg_ID,45))</f>
        <v>CG-1045</v>
      </c>
      <c r="B50" s="26" t="str">
        <f aca="false">IF(A50="","",INDEX(cg_Name,45))</f>
        <v>Bernice Corbett</v>
      </c>
      <c r="C50" s="40" t="str">
        <f aca="false">IF(A50="","",INDEX(cg_AcctClass,45))</f>
        <v>Personal</v>
      </c>
      <c r="D50" s="40" t="str">
        <f aca="false">IF(A50="","",IF(C50="Business","CCD","PPD"))</f>
        <v>PPD</v>
      </c>
      <c r="E50" s="45" t="n">
        <f aca="false">IF(A50="","",SUMIFS(in_Units,in_CGID,A50,in_PayStatus,"Pay"))</f>
        <v>40</v>
      </c>
      <c r="F50" s="41" t="n">
        <f aca="false">IF(A50="","",SUMIFS(in_ServicePay,in_CGID,A50,in_PayStatus,"Pay"))</f>
        <v>184</v>
      </c>
      <c r="G50" s="41" t="n">
        <f aca="false">IF(A50="","",SUMIFS(in_MilePay,in_CGID,A50,in_PayStatus,"Pay"))</f>
        <v>11.78</v>
      </c>
      <c r="H50" s="41" t="n">
        <f aca="false">IF(A50="","",ROUND(F50+G50,2))</f>
        <v>195.78</v>
      </c>
      <c r="I50" s="40" t="str">
        <f aca="false">IF(A50="","",IF(OR(INDEX(cg_Routing,45)="",INDEX(cg_Account,45)=""),"Missing","On file"))</f>
        <v>Missing</v>
      </c>
      <c r="J50" s="26" t="str">
        <f aca="false">IF(A50="","",IF(H50=0,"No pay this week",IF(I50="Missing","Held: no bank details","Ready")))</f>
        <v>Held: no bank details</v>
      </c>
      <c r="K50" s="42" t="str">
        <f aca="false">IF(AND(J50="Ready",D50="PPD"),ROW(),"")</f>
        <v/>
      </c>
      <c r="L50" s="42" t="str">
        <f aca="false">IF(AND(J50="Ready",D50="CCD"),ROW(),"")</f>
        <v/>
      </c>
    </row>
    <row r="51" customFormat="false" ht="15" hidden="false" customHeight="false" outlineLevel="0" collapsed="false">
      <c r="A51" s="40" t="str">
        <f aca="false">IF(INDEX(cg_ID,46)="","",INDEX(cg_ID,46))</f>
        <v/>
      </c>
      <c r="B51" s="26" t="str">
        <f aca="false">IF(A51="","",INDEX(cg_Name,46))</f>
        <v/>
      </c>
      <c r="C51" s="40" t="str">
        <f aca="false">IF(A51="","",INDEX(cg_AcctClass,46))</f>
        <v/>
      </c>
      <c r="D51" s="40" t="str">
        <f aca="false">IF(A51="","",IF(C51="Business","CCD","PPD"))</f>
        <v/>
      </c>
      <c r="E51" s="45" t="str">
        <f aca="false">IF(A51="","",SUMIFS(in_Units,in_CGID,A51,in_PayStatus,"Pay"))</f>
        <v/>
      </c>
      <c r="F51" s="41" t="str">
        <f aca="false">IF(A51="","",SUMIFS(in_ServicePay,in_CGID,A51,in_PayStatus,"Pay"))</f>
        <v/>
      </c>
      <c r="G51" s="41" t="str">
        <f aca="false">IF(A51="","",SUMIFS(in_MilePay,in_CGID,A51,in_PayStatus,"Pay"))</f>
        <v/>
      </c>
      <c r="H51" s="41" t="str">
        <f aca="false">IF(A51="","",ROUND(F51+G51,2))</f>
        <v/>
      </c>
      <c r="I51" s="40" t="str">
        <f aca="false">IF(A51="","",IF(OR(INDEX(cg_Routing,46)="",INDEX(cg_Account,46)=""),"Missing","On file"))</f>
        <v/>
      </c>
      <c r="J51" s="26" t="str">
        <f aca="false">IF(A51="","",IF(H51=0,"No pay this week",IF(I51="Missing","Held: no bank details","Ready")))</f>
        <v/>
      </c>
      <c r="K51" s="42" t="str">
        <f aca="false">IF(AND(J51="Ready",D51="PPD"),ROW(),"")</f>
        <v/>
      </c>
      <c r="L51" s="42" t="str">
        <f aca="false">IF(AND(J51="Ready",D51="CCD"),ROW(),"")</f>
        <v/>
      </c>
    </row>
    <row r="52" customFormat="false" ht="15" hidden="false" customHeight="false" outlineLevel="0" collapsed="false">
      <c r="A52" s="40" t="str">
        <f aca="false">IF(INDEX(cg_ID,47)="","",INDEX(cg_ID,47))</f>
        <v/>
      </c>
      <c r="B52" s="26" t="str">
        <f aca="false">IF(A52="","",INDEX(cg_Name,47))</f>
        <v/>
      </c>
      <c r="C52" s="40" t="str">
        <f aca="false">IF(A52="","",INDEX(cg_AcctClass,47))</f>
        <v/>
      </c>
      <c r="D52" s="40" t="str">
        <f aca="false">IF(A52="","",IF(C52="Business","CCD","PPD"))</f>
        <v/>
      </c>
      <c r="E52" s="45" t="str">
        <f aca="false">IF(A52="","",SUMIFS(in_Units,in_CGID,A52,in_PayStatus,"Pay"))</f>
        <v/>
      </c>
      <c r="F52" s="41" t="str">
        <f aca="false">IF(A52="","",SUMIFS(in_ServicePay,in_CGID,A52,in_PayStatus,"Pay"))</f>
        <v/>
      </c>
      <c r="G52" s="41" t="str">
        <f aca="false">IF(A52="","",SUMIFS(in_MilePay,in_CGID,A52,in_PayStatus,"Pay"))</f>
        <v/>
      </c>
      <c r="H52" s="41" t="str">
        <f aca="false">IF(A52="","",ROUND(F52+G52,2))</f>
        <v/>
      </c>
      <c r="I52" s="40" t="str">
        <f aca="false">IF(A52="","",IF(OR(INDEX(cg_Routing,47)="",INDEX(cg_Account,47)=""),"Missing","On file"))</f>
        <v/>
      </c>
      <c r="J52" s="26" t="str">
        <f aca="false">IF(A52="","",IF(H52=0,"No pay this week",IF(I52="Missing","Held: no bank details","Ready")))</f>
        <v/>
      </c>
      <c r="K52" s="42" t="str">
        <f aca="false">IF(AND(J52="Ready",D52="PPD"),ROW(),"")</f>
        <v/>
      </c>
      <c r="L52" s="42" t="str">
        <f aca="false">IF(AND(J52="Ready",D52="CCD"),ROW(),"")</f>
        <v/>
      </c>
    </row>
    <row r="53" customFormat="false" ht="15" hidden="false" customHeight="false" outlineLevel="0" collapsed="false">
      <c r="A53" s="40" t="str">
        <f aca="false">IF(INDEX(cg_ID,48)="","",INDEX(cg_ID,48))</f>
        <v/>
      </c>
      <c r="B53" s="26" t="str">
        <f aca="false">IF(A53="","",INDEX(cg_Name,48))</f>
        <v/>
      </c>
      <c r="C53" s="40" t="str">
        <f aca="false">IF(A53="","",INDEX(cg_AcctClass,48))</f>
        <v/>
      </c>
      <c r="D53" s="40" t="str">
        <f aca="false">IF(A53="","",IF(C53="Business","CCD","PPD"))</f>
        <v/>
      </c>
      <c r="E53" s="45" t="str">
        <f aca="false">IF(A53="","",SUMIFS(in_Units,in_CGID,A53,in_PayStatus,"Pay"))</f>
        <v/>
      </c>
      <c r="F53" s="41" t="str">
        <f aca="false">IF(A53="","",SUMIFS(in_ServicePay,in_CGID,A53,in_PayStatus,"Pay"))</f>
        <v/>
      </c>
      <c r="G53" s="41" t="str">
        <f aca="false">IF(A53="","",SUMIFS(in_MilePay,in_CGID,A53,in_PayStatus,"Pay"))</f>
        <v/>
      </c>
      <c r="H53" s="41" t="str">
        <f aca="false">IF(A53="","",ROUND(F53+G53,2))</f>
        <v/>
      </c>
      <c r="I53" s="40" t="str">
        <f aca="false">IF(A53="","",IF(OR(INDEX(cg_Routing,48)="",INDEX(cg_Account,48)=""),"Missing","On file"))</f>
        <v/>
      </c>
      <c r="J53" s="26" t="str">
        <f aca="false">IF(A53="","",IF(H53=0,"No pay this week",IF(I53="Missing","Held: no bank details","Ready")))</f>
        <v/>
      </c>
      <c r="K53" s="42" t="str">
        <f aca="false">IF(AND(J53="Ready",D53="PPD"),ROW(),"")</f>
        <v/>
      </c>
      <c r="L53" s="42" t="str">
        <f aca="false">IF(AND(J53="Ready",D53="CCD"),ROW(),"")</f>
        <v/>
      </c>
    </row>
    <row r="54" customFormat="false" ht="15" hidden="false" customHeight="false" outlineLevel="0" collapsed="false">
      <c r="A54" s="40" t="str">
        <f aca="false">IF(INDEX(cg_ID,49)="","",INDEX(cg_ID,49))</f>
        <v/>
      </c>
      <c r="B54" s="26" t="str">
        <f aca="false">IF(A54="","",INDEX(cg_Name,49))</f>
        <v/>
      </c>
      <c r="C54" s="40" t="str">
        <f aca="false">IF(A54="","",INDEX(cg_AcctClass,49))</f>
        <v/>
      </c>
      <c r="D54" s="40" t="str">
        <f aca="false">IF(A54="","",IF(C54="Business","CCD","PPD"))</f>
        <v/>
      </c>
      <c r="E54" s="45" t="str">
        <f aca="false">IF(A54="","",SUMIFS(in_Units,in_CGID,A54,in_PayStatus,"Pay"))</f>
        <v/>
      </c>
      <c r="F54" s="41" t="str">
        <f aca="false">IF(A54="","",SUMIFS(in_ServicePay,in_CGID,A54,in_PayStatus,"Pay"))</f>
        <v/>
      </c>
      <c r="G54" s="41" t="str">
        <f aca="false">IF(A54="","",SUMIFS(in_MilePay,in_CGID,A54,in_PayStatus,"Pay"))</f>
        <v/>
      </c>
      <c r="H54" s="41" t="str">
        <f aca="false">IF(A54="","",ROUND(F54+G54,2))</f>
        <v/>
      </c>
      <c r="I54" s="40" t="str">
        <f aca="false">IF(A54="","",IF(OR(INDEX(cg_Routing,49)="",INDEX(cg_Account,49)=""),"Missing","On file"))</f>
        <v/>
      </c>
      <c r="J54" s="26" t="str">
        <f aca="false">IF(A54="","",IF(H54=0,"No pay this week",IF(I54="Missing","Held: no bank details","Ready")))</f>
        <v/>
      </c>
      <c r="K54" s="42" t="str">
        <f aca="false">IF(AND(J54="Ready",D54="PPD"),ROW(),"")</f>
        <v/>
      </c>
      <c r="L54" s="42" t="str">
        <f aca="false">IF(AND(J54="Ready",D54="CCD"),ROW(),"")</f>
        <v/>
      </c>
    </row>
    <row r="55" customFormat="false" ht="15" hidden="false" customHeight="false" outlineLevel="0" collapsed="false">
      <c r="A55" s="40" t="str">
        <f aca="false">IF(INDEX(cg_ID,50)="","",INDEX(cg_ID,50))</f>
        <v/>
      </c>
      <c r="B55" s="26" t="str">
        <f aca="false">IF(A55="","",INDEX(cg_Name,50))</f>
        <v/>
      </c>
      <c r="C55" s="40" t="str">
        <f aca="false">IF(A55="","",INDEX(cg_AcctClass,50))</f>
        <v/>
      </c>
      <c r="D55" s="40" t="str">
        <f aca="false">IF(A55="","",IF(C55="Business","CCD","PPD"))</f>
        <v/>
      </c>
      <c r="E55" s="45" t="str">
        <f aca="false">IF(A55="","",SUMIFS(in_Units,in_CGID,A55,in_PayStatus,"Pay"))</f>
        <v/>
      </c>
      <c r="F55" s="41" t="str">
        <f aca="false">IF(A55="","",SUMIFS(in_ServicePay,in_CGID,A55,in_PayStatus,"Pay"))</f>
        <v/>
      </c>
      <c r="G55" s="41" t="str">
        <f aca="false">IF(A55="","",SUMIFS(in_MilePay,in_CGID,A55,in_PayStatus,"Pay"))</f>
        <v/>
      </c>
      <c r="H55" s="41" t="str">
        <f aca="false">IF(A55="","",ROUND(F55+G55,2))</f>
        <v/>
      </c>
      <c r="I55" s="40" t="str">
        <f aca="false">IF(A55="","",IF(OR(INDEX(cg_Routing,50)="",INDEX(cg_Account,50)=""),"Missing","On file"))</f>
        <v/>
      </c>
      <c r="J55" s="26" t="str">
        <f aca="false">IF(A55="","",IF(H55=0,"No pay this week",IF(I55="Missing","Held: no bank details","Ready")))</f>
        <v/>
      </c>
      <c r="K55" s="42" t="str">
        <f aca="false">IF(AND(J55="Ready",D55="PPD"),ROW(),"")</f>
        <v/>
      </c>
      <c r="L55" s="42" t="str">
        <f aca="false">IF(AND(J55="Ready",D55="CCD"),ROW(),"")</f>
        <v/>
      </c>
    </row>
    <row r="56" customFormat="false" ht="15" hidden="false" customHeight="false" outlineLevel="0" collapsed="false">
      <c r="A56" s="40" t="str">
        <f aca="false">IF(INDEX(cg_ID,51)="","",INDEX(cg_ID,51))</f>
        <v/>
      </c>
      <c r="B56" s="26" t="str">
        <f aca="false">IF(A56="","",INDEX(cg_Name,51))</f>
        <v/>
      </c>
      <c r="C56" s="40" t="str">
        <f aca="false">IF(A56="","",INDEX(cg_AcctClass,51))</f>
        <v/>
      </c>
      <c r="D56" s="40" t="str">
        <f aca="false">IF(A56="","",IF(C56="Business","CCD","PPD"))</f>
        <v/>
      </c>
      <c r="E56" s="45" t="str">
        <f aca="false">IF(A56="","",SUMIFS(in_Units,in_CGID,A56,in_PayStatus,"Pay"))</f>
        <v/>
      </c>
      <c r="F56" s="41" t="str">
        <f aca="false">IF(A56="","",SUMIFS(in_ServicePay,in_CGID,A56,in_PayStatus,"Pay"))</f>
        <v/>
      </c>
      <c r="G56" s="41" t="str">
        <f aca="false">IF(A56="","",SUMIFS(in_MilePay,in_CGID,A56,in_PayStatus,"Pay"))</f>
        <v/>
      </c>
      <c r="H56" s="41" t="str">
        <f aca="false">IF(A56="","",ROUND(F56+G56,2))</f>
        <v/>
      </c>
      <c r="I56" s="40" t="str">
        <f aca="false">IF(A56="","",IF(OR(INDEX(cg_Routing,51)="",INDEX(cg_Account,51)=""),"Missing","On file"))</f>
        <v/>
      </c>
      <c r="J56" s="26" t="str">
        <f aca="false">IF(A56="","",IF(H56=0,"No pay this week",IF(I56="Missing","Held: no bank details","Ready")))</f>
        <v/>
      </c>
      <c r="K56" s="42" t="str">
        <f aca="false">IF(AND(J56="Ready",D56="PPD"),ROW(),"")</f>
        <v/>
      </c>
      <c r="L56" s="42" t="str">
        <f aca="false">IF(AND(J56="Ready",D56="CCD"),ROW(),"")</f>
        <v/>
      </c>
    </row>
    <row r="57" customFormat="false" ht="15" hidden="false" customHeight="false" outlineLevel="0" collapsed="false">
      <c r="A57" s="40" t="str">
        <f aca="false">IF(INDEX(cg_ID,52)="","",INDEX(cg_ID,52))</f>
        <v/>
      </c>
      <c r="B57" s="26" t="str">
        <f aca="false">IF(A57="","",INDEX(cg_Name,52))</f>
        <v/>
      </c>
      <c r="C57" s="40" t="str">
        <f aca="false">IF(A57="","",INDEX(cg_AcctClass,52))</f>
        <v/>
      </c>
      <c r="D57" s="40" t="str">
        <f aca="false">IF(A57="","",IF(C57="Business","CCD","PPD"))</f>
        <v/>
      </c>
      <c r="E57" s="45" t="str">
        <f aca="false">IF(A57="","",SUMIFS(in_Units,in_CGID,A57,in_PayStatus,"Pay"))</f>
        <v/>
      </c>
      <c r="F57" s="41" t="str">
        <f aca="false">IF(A57="","",SUMIFS(in_ServicePay,in_CGID,A57,in_PayStatus,"Pay"))</f>
        <v/>
      </c>
      <c r="G57" s="41" t="str">
        <f aca="false">IF(A57="","",SUMIFS(in_MilePay,in_CGID,A57,in_PayStatus,"Pay"))</f>
        <v/>
      </c>
      <c r="H57" s="41" t="str">
        <f aca="false">IF(A57="","",ROUND(F57+G57,2))</f>
        <v/>
      </c>
      <c r="I57" s="40" t="str">
        <f aca="false">IF(A57="","",IF(OR(INDEX(cg_Routing,52)="",INDEX(cg_Account,52)=""),"Missing","On file"))</f>
        <v/>
      </c>
      <c r="J57" s="26" t="str">
        <f aca="false">IF(A57="","",IF(H57=0,"No pay this week",IF(I57="Missing","Held: no bank details","Ready")))</f>
        <v/>
      </c>
      <c r="K57" s="42" t="str">
        <f aca="false">IF(AND(J57="Ready",D57="PPD"),ROW(),"")</f>
        <v/>
      </c>
      <c r="L57" s="42" t="str">
        <f aca="false">IF(AND(J57="Ready",D57="CCD"),ROW(),"")</f>
        <v/>
      </c>
    </row>
    <row r="58" customFormat="false" ht="15" hidden="false" customHeight="false" outlineLevel="0" collapsed="false">
      <c r="A58" s="40" t="str">
        <f aca="false">IF(INDEX(cg_ID,53)="","",INDEX(cg_ID,53))</f>
        <v/>
      </c>
      <c r="B58" s="26" t="str">
        <f aca="false">IF(A58="","",INDEX(cg_Name,53))</f>
        <v/>
      </c>
      <c r="C58" s="40" t="str">
        <f aca="false">IF(A58="","",INDEX(cg_AcctClass,53))</f>
        <v/>
      </c>
      <c r="D58" s="40" t="str">
        <f aca="false">IF(A58="","",IF(C58="Business","CCD","PPD"))</f>
        <v/>
      </c>
      <c r="E58" s="45" t="str">
        <f aca="false">IF(A58="","",SUMIFS(in_Units,in_CGID,A58,in_PayStatus,"Pay"))</f>
        <v/>
      </c>
      <c r="F58" s="41" t="str">
        <f aca="false">IF(A58="","",SUMIFS(in_ServicePay,in_CGID,A58,in_PayStatus,"Pay"))</f>
        <v/>
      </c>
      <c r="G58" s="41" t="str">
        <f aca="false">IF(A58="","",SUMIFS(in_MilePay,in_CGID,A58,in_PayStatus,"Pay"))</f>
        <v/>
      </c>
      <c r="H58" s="41" t="str">
        <f aca="false">IF(A58="","",ROUND(F58+G58,2))</f>
        <v/>
      </c>
      <c r="I58" s="40" t="str">
        <f aca="false">IF(A58="","",IF(OR(INDEX(cg_Routing,53)="",INDEX(cg_Account,53)=""),"Missing","On file"))</f>
        <v/>
      </c>
      <c r="J58" s="26" t="str">
        <f aca="false">IF(A58="","",IF(H58=0,"No pay this week",IF(I58="Missing","Held: no bank details","Ready")))</f>
        <v/>
      </c>
      <c r="K58" s="42" t="str">
        <f aca="false">IF(AND(J58="Ready",D58="PPD"),ROW(),"")</f>
        <v/>
      </c>
      <c r="L58" s="42" t="str">
        <f aca="false">IF(AND(J58="Ready",D58="CCD"),ROW(),"")</f>
        <v/>
      </c>
    </row>
    <row r="59" customFormat="false" ht="15" hidden="false" customHeight="false" outlineLevel="0" collapsed="false">
      <c r="A59" s="40" t="str">
        <f aca="false">IF(INDEX(cg_ID,54)="","",INDEX(cg_ID,54))</f>
        <v/>
      </c>
      <c r="B59" s="26" t="str">
        <f aca="false">IF(A59="","",INDEX(cg_Name,54))</f>
        <v/>
      </c>
      <c r="C59" s="40" t="str">
        <f aca="false">IF(A59="","",INDEX(cg_AcctClass,54))</f>
        <v/>
      </c>
      <c r="D59" s="40" t="str">
        <f aca="false">IF(A59="","",IF(C59="Business","CCD","PPD"))</f>
        <v/>
      </c>
      <c r="E59" s="45" t="str">
        <f aca="false">IF(A59="","",SUMIFS(in_Units,in_CGID,A59,in_PayStatus,"Pay"))</f>
        <v/>
      </c>
      <c r="F59" s="41" t="str">
        <f aca="false">IF(A59="","",SUMIFS(in_ServicePay,in_CGID,A59,in_PayStatus,"Pay"))</f>
        <v/>
      </c>
      <c r="G59" s="41" t="str">
        <f aca="false">IF(A59="","",SUMIFS(in_MilePay,in_CGID,A59,in_PayStatus,"Pay"))</f>
        <v/>
      </c>
      <c r="H59" s="41" t="str">
        <f aca="false">IF(A59="","",ROUND(F59+G59,2))</f>
        <v/>
      </c>
      <c r="I59" s="40" t="str">
        <f aca="false">IF(A59="","",IF(OR(INDEX(cg_Routing,54)="",INDEX(cg_Account,54)=""),"Missing","On file"))</f>
        <v/>
      </c>
      <c r="J59" s="26" t="str">
        <f aca="false">IF(A59="","",IF(H59=0,"No pay this week",IF(I59="Missing","Held: no bank details","Ready")))</f>
        <v/>
      </c>
      <c r="K59" s="42" t="str">
        <f aca="false">IF(AND(J59="Ready",D59="PPD"),ROW(),"")</f>
        <v/>
      </c>
      <c r="L59" s="42" t="str">
        <f aca="false">IF(AND(J59="Ready",D59="CCD"),ROW(),"")</f>
        <v/>
      </c>
    </row>
    <row r="60" customFormat="false" ht="15" hidden="false" customHeight="false" outlineLevel="0" collapsed="false">
      <c r="A60" s="40" t="str">
        <f aca="false">IF(INDEX(cg_ID,55)="","",INDEX(cg_ID,55))</f>
        <v/>
      </c>
      <c r="B60" s="26" t="str">
        <f aca="false">IF(A60="","",INDEX(cg_Name,55))</f>
        <v/>
      </c>
      <c r="C60" s="40" t="str">
        <f aca="false">IF(A60="","",INDEX(cg_AcctClass,55))</f>
        <v/>
      </c>
      <c r="D60" s="40" t="str">
        <f aca="false">IF(A60="","",IF(C60="Business","CCD","PPD"))</f>
        <v/>
      </c>
      <c r="E60" s="45" t="str">
        <f aca="false">IF(A60="","",SUMIFS(in_Units,in_CGID,A60,in_PayStatus,"Pay"))</f>
        <v/>
      </c>
      <c r="F60" s="41" t="str">
        <f aca="false">IF(A60="","",SUMIFS(in_ServicePay,in_CGID,A60,in_PayStatus,"Pay"))</f>
        <v/>
      </c>
      <c r="G60" s="41" t="str">
        <f aca="false">IF(A60="","",SUMIFS(in_MilePay,in_CGID,A60,in_PayStatus,"Pay"))</f>
        <v/>
      </c>
      <c r="H60" s="41" t="str">
        <f aca="false">IF(A60="","",ROUND(F60+G60,2))</f>
        <v/>
      </c>
      <c r="I60" s="40" t="str">
        <f aca="false">IF(A60="","",IF(OR(INDEX(cg_Routing,55)="",INDEX(cg_Account,55)=""),"Missing","On file"))</f>
        <v/>
      </c>
      <c r="J60" s="26" t="str">
        <f aca="false">IF(A60="","",IF(H60=0,"No pay this week",IF(I60="Missing","Held: no bank details","Ready")))</f>
        <v/>
      </c>
      <c r="K60" s="42" t="str">
        <f aca="false">IF(AND(J60="Ready",D60="PPD"),ROW(),"")</f>
        <v/>
      </c>
      <c r="L60" s="42" t="str">
        <f aca="false">IF(AND(J60="Ready",D60="CCD"),ROW(),"")</f>
        <v/>
      </c>
    </row>
    <row r="61" customFormat="false" ht="15" hidden="false" customHeight="false" outlineLevel="0" collapsed="false">
      <c r="A61" s="40" t="str">
        <f aca="false">IF(INDEX(cg_ID,56)="","",INDEX(cg_ID,56))</f>
        <v/>
      </c>
      <c r="B61" s="26" t="str">
        <f aca="false">IF(A61="","",INDEX(cg_Name,56))</f>
        <v/>
      </c>
      <c r="C61" s="40" t="str">
        <f aca="false">IF(A61="","",INDEX(cg_AcctClass,56))</f>
        <v/>
      </c>
      <c r="D61" s="40" t="str">
        <f aca="false">IF(A61="","",IF(C61="Business","CCD","PPD"))</f>
        <v/>
      </c>
      <c r="E61" s="45" t="str">
        <f aca="false">IF(A61="","",SUMIFS(in_Units,in_CGID,A61,in_PayStatus,"Pay"))</f>
        <v/>
      </c>
      <c r="F61" s="41" t="str">
        <f aca="false">IF(A61="","",SUMIFS(in_ServicePay,in_CGID,A61,in_PayStatus,"Pay"))</f>
        <v/>
      </c>
      <c r="G61" s="41" t="str">
        <f aca="false">IF(A61="","",SUMIFS(in_MilePay,in_CGID,A61,in_PayStatus,"Pay"))</f>
        <v/>
      </c>
      <c r="H61" s="41" t="str">
        <f aca="false">IF(A61="","",ROUND(F61+G61,2))</f>
        <v/>
      </c>
      <c r="I61" s="40" t="str">
        <f aca="false">IF(A61="","",IF(OR(INDEX(cg_Routing,56)="",INDEX(cg_Account,56)=""),"Missing","On file"))</f>
        <v/>
      </c>
      <c r="J61" s="26" t="str">
        <f aca="false">IF(A61="","",IF(H61=0,"No pay this week",IF(I61="Missing","Held: no bank details","Ready")))</f>
        <v/>
      </c>
      <c r="K61" s="42" t="str">
        <f aca="false">IF(AND(J61="Ready",D61="PPD"),ROW(),"")</f>
        <v/>
      </c>
      <c r="L61" s="42" t="str">
        <f aca="false">IF(AND(J61="Ready",D61="CCD"),ROW(),"")</f>
        <v/>
      </c>
    </row>
    <row r="62" customFormat="false" ht="15" hidden="false" customHeight="false" outlineLevel="0" collapsed="false">
      <c r="A62" s="40" t="str">
        <f aca="false">IF(INDEX(cg_ID,57)="","",INDEX(cg_ID,57))</f>
        <v/>
      </c>
      <c r="B62" s="26" t="str">
        <f aca="false">IF(A62="","",INDEX(cg_Name,57))</f>
        <v/>
      </c>
      <c r="C62" s="40" t="str">
        <f aca="false">IF(A62="","",INDEX(cg_AcctClass,57))</f>
        <v/>
      </c>
      <c r="D62" s="40" t="str">
        <f aca="false">IF(A62="","",IF(C62="Business","CCD","PPD"))</f>
        <v/>
      </c>
      <c r="E62" s="45" t="str">
        <f aca="false">IF(A62="","",SUMIFS(in_Units,in_CGID,A62,in_PayStatus,"Pay"))</f>
        <v/>
      </c>
      <c r="F62" s="41" t="str">
        <f aca="false">IF(A62="","",SUMIFS(in_ServicePay,in_CGID,A62,in_PayStatus,"Pay"))</f>
        <v/>
      </c>
      <c r="G62" s="41" t="str">
        <f aca="false">IF(A62="","",SUMIFS(in_MilePay,in_CGID,A62,in_PayStatus,"Pay"))</f>
        <v/>
      </c>
      <c r="H62" s="41" t="str">
        <f aca="false">IF(A62="","",ROUND(F62+G62,2))</f>
        <v/>
      </c>
      <c r="I62" s="40" t="str">
        <f aca="false">IF(A62="","",IF(OR(INDEX(cg_Routing,57)="",INDEX(cg_Account,57)=""),"Missing","On file"))</f>
        <v/>
      </c>
      <c r="J62" s="26" t="str">
        <f aca="false">IF(A62="","",IF(H62=0,"No pay this week",IF(I62="Missing","Held: no bank details","Ready")))</f>
        <v/>
      </c>
      <c r="K62" s="42" t="str">
        <f aca="false">IF(AND(J62="Ready",D62="PPD"),ROW(),"")</f>
        <v/>
      </c>
      <c r="L62" s="42" t="str">
        <f aca="false">IF(AND(J62="Ready",D62="CCD"),ROW(),"")</f>
        <v/>
      </c>
    </row>
    <row r="63" customFormat="false" ht="15" hidden="false" customHeight="false" outlineLevel="0" collapsed="false">
      <c r="A63" s="40" t="str">
        <f aca="false">IF(INDEX(cg_ID,58)="","",INDEX(cg_ID,58))</f>
        <v/>
      </c>
      <c r="B63" s="26" t="str">
        <f aca="false">IF(A63="","",INDEX(cg_Name,58))</f>
        <v/>
      </c>
      <c r="C63" s="40" t="str">
        <f aca="false">IF(A63="","",INDEX(cg_AcctClass,58))</f>
        <v/>
      </c>
      <c r="D63" s="40" t="str">
        <f aca="false">IF(A63="","",IF(C63="Business","CCD","PPD"))</f>
        <v/>
      </c>
      <c r="E63" s="45" t="str">
        <f aca="false">IF(A63="","",SUMIFS(in_Units,in_CGID,A63,in_PayStatus,"Pay"))</f>
        <v/>
      </c>
      <c r="F63" s="41" t="str">
        <f aca="false">IF(A63="","",SUMIFS(in_ServicePay,in_CGID,A63,in_PayStatus,"Pay"))</f>
        <v/>
      </c>
      <c r="G63" s="41" t="str">
        <f aca="false">IF(A63="","",SUMIFS(in_MilePay,in_CGID,A63,in_PayStatus,"Pay"))</f>
        <v/>
      </c>
      <c r="H63" s="41" t="str">
        <f aca="false">IF(A63="","",ROUND(F63+G63,2))</f>
        <v/>
      </c>
      <c r="I63" s="40" t="str">
        <f aca="false">IF(A63="","",IF(OR(INDEX(cg_Routing,58)="",INDEX(cg_Account,58)=""),"Missing","On file"))</f>
        <v/>
      </c>
      <c r="J63" s="26" t="str">
        <f aca="false">IF(A63="","",IF(H63=0,"No pay this week",IF(I63="Missing","Held: no bank details","Ready")))</f>
        <v/>
      </c>
      <c r="K63" s="42" t="str">
        <f aca="false">IF(AND(J63="Ready",D63="PPD"),ROW(),"")</f>
        <v/>
      </c>
      <c r="L63" s="42" t="str">
        <f aca="false">IF(AND(J63="Ready",D63="CCD"),ROW(),"")</f>
        <v/>
      </c>
    </row>
    <row r="64" customFormat="false" ht="15" hidden="false" customHeight="false" outlineLevel="0" collapsed="false">
      <c r="A64" s="40" t="str">
        <f aca="false">IF(INDEX(cg_ID,59)="","",INDEX(cg_ID,59))</f>
        <v/>
      </c>
      <c r="B64" s="26" t="str">
        <f aca="false">IF(A64="","",INDEX(cg_Name,59))</f>
        <v/>
      </c>
      <c r="C64" s="40" t="str">
        <f aca="false">IF(A64="","",INDEX(cg_AcctClass,59))</f>
        <v/>
      </c>
      <c r="D64" s="40" t="str">
        <f aca="false">IF(A64="","",IF(C64="Business","CCD","PPD"))</f>
        <v/>
      </c>
      <c r="E64" s="45" t="str">
        <f aca="false">IF(A64="","",SUMIFS(in_Units,in_CGID,A64,in_PayStatus,"Pay"))</f>
        <v/>
      </c>
      <c r="F64" s="41" t="str">
        <f aca="false">IF(A64="","",SUMIFS(in_ServicePay,in_CGID,A64,in_PayStatus,"Pay"))</f>
        <v/>
      </c>
      <c r="G64" s="41" t="str">
        <f aca="false">IF(A64="","",SUMIFS(in_MilePay,in_CGID,A64,in_PayStatus,"Pay"))</f>
        <v/>
      </c>
      <c r="H64" s="41" t="str">
        <f aca="false">IF(A64="","",ROUND(F64+G64,2))</f>
        <v/>
      </c>
      <c r="I64" s="40" t="str">
        <f aca="false">IF(A64="","",IF(OR(INDEX(cg_Routing,59)="",INDEX(cg_Account,59)=""),"Missing","On file"))</f>
        <v/>
      </c>
      <c r="J64" s="26" t="str">
        <f aca="false">IF(A64="","",IF(H64=0,"No pay this week",IF(I64="Missing","Held: no bank details","Ready")))</f>
        <v/>
      </c>
      <c r="K64" s="42" t="str">
        <f aca="false">IF(AND(J64="Ready",D64="PPD"),ROW(),"")</f>
        <v/>
      </c>
      <c r="L64" s="42" t="str">
        <f aca="false">IF(AND(J64="Ready",D64="CCD"),ROW(),"")</f>
        <v/>
      </c>
    </row>
    <row r="65" customFormat="false" ht="15" hidden="false" customHeight="false" outlineLevel="0" collapsed="false">
      <c r="A65" s="40" t="str">
        <f aca="false">IF(INDEX(cg_ID,60)="","",INDEX(cg_ID,60))</f>
        <v/>
      </c>
      <c r="B65" s="26" t="str">
        <f aca="false">IF(A65="","",INDEX(cg_Name,60))</f>
        <v/>
      </c>
      <c r="C65" s="40" t="str">
        <f aca="false">IF(A65="","",INDEX(cg_AcctClass,60))</f>
        <v/>
      </c>
      <c r="D65" s="40" t="str">
        <f aca="false">IF(A65="","",IF(C65="Business","CCD","PPD"))</f>
        <v/>
      </c>
      <c r="E65" s="45" t="str">
        <f aca="false">IF(A65="","",SUMIFS(in_Units,in_CGID,A65,in_PayStatus,"Pay"))</f>
        <v/>
      </c>
      <c r="F65" s="41" t="str">
        <f aca="false">IF(A65="","",SUMIFS(in_ServicePay,in_CGID,A65,in_PayStatus,"Pay"))</f>
        <v/>
      </c>
      <c r="G65" s="41" t="str">
        <f aca="false">IF(A65="","",SUMIFS(in_MilePay,in_CGID,A65,in_PayStatus,"Pay"))</f>
        <v/>
      </c>
      <c r="H65" s="41" t="str">
        <f aca="false">IF(A65="","",ROUND(F65+G65,2))</f>
        <v/>
      </c>
      <c r="I65" s="40" t="str">
        <f aca="false">IF(A65="","",IF(OR(INDEX(cg_Routing,60)="",INDEX(cg_Account,60)=""),"Missing","On file"))</f>
        <v/>
      </c>
      <c r="J65" s="26" t="str">
        <f aca="false">IF(A65="","",IF(H65=0,"No pay this week",IF(I65="Missing","Held: no bank details","Ready")))</f>
        <v/>
      </c>
      <c r="K65" s="42" t="str">
        <f aca="false">IF(AND(J65="Ready",D65="PPD"),ROW(),"")</f>
        <v/>
      </c>
      <c r="L65" s="42" t="str">
        <f aca="false">IF(AND(J65="Ready",D65="CCD"),ROW(),"")</f>
        <v/>
      </c>
    </row>
  </sheetData>
  <sheetProtection sheet="true" formatColumns="false" formatRows="false" sort="false" autoFilter="false"/>
  <autoFilter ref="A5:J65"/>
  <conditionalFormatting sqref="J6:J65">
    <cfRule type="expression" priority="2" aboveAverage="0" equalAverage="0" bottom="0" percent="0" rank="0" text="" dxfId="1">
      <formula>$J6="Held: no bank details"</formula>
    </cfRule>
    <cfRule type="expression" priority="3" aboveAverage="0" equalAverage="0" bottom="0" percent="0" rank="0" text="" dxfId="16">
      <formula>$J6="Ready"</formula>
    </cfRule>
  </conditionalFormatting>
  <conditionalFormatting sqref="A6:I65">
    <cfRule type="expression" priority="4" aboveAverage="0" equalAverage="0" bottom="0" percent="0" rank="0" text="" dxfId="23">
      <formula>$J6="No pay this week"</formula>
    </cfRule>
  </conditionalFormatting>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E7F8C"/>
    <pageSetUpPr fitToPage="true"/>
  </sheetPr>
  <dimension ref="A1:L1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3" min="1" style="0" width="8"/>
    <col collapsed="false" customWidth="true" hidden="false" outlineLevel="0" max="4" min="4" style="0" width="11"/>
    <col collapsed="false" customWidth="true" hidden="false" outlineLevel="0" max="5" min="5" style="0" width="32"/>
    <col collapsed="false" customWidth="true" hidden="false" outlineLevel="0" max="8" min="6" style="0" width="12"/>
    <col collapsed="false" customWidth="true" hidden="false" outlineLevel="0" max="9" min="9" style="0" width="13"/>
    <col collapsed="false" customWidth="true" hidden="false" outlineLevel="0" max="10" min="10" style="0" width="34"/>
    <col collapsed="false" customWidth="true" hidden="true" outlineLevel="0" max="11" min="11" style="0" width="7"/>
    <col collapsed="false" customWidth="true" hidden="true" outlineLevel="0" max="12" min="12" style="0" width="6"/>
  </cols>
  <sheetData>
    <row r="1" customFormat="false" ht="33.75" hidden="false" customHeight="true" outlineLevel="0" collapsed="false">
      <c r="A1" s="1" t="s">
        <v>219</v>
      </c>
    </row>
    <row r="2" customFormat="false" ht="18" hidden="false" customHeight="true" outlineLevel="0" collapsed="false">
      <c r="A2" s="30" t="s">
        <v>220</v>
      </c>
    </row>
    <row r="4" customFormat="false" ht="19.5" hidden="false" customHeight="true" outlineLevel="0" collapsed="false">
      <c r="A4" s="2" t="s">
        <v>221</v>
      </c>
      <c r="D4" s="46" t="str">
        <f aca="false">BankCoName</f>
        <v>LARCH HOLLOW HC</v>
      </c>
      <c r="E4" s="46"/>
      <c r="G4" s="19" t="s">
        <v>222</v>
      </c>
      <c r="H4" s="19" t="s">
        <v>223</v>
      </c>
      <c r="I4" s="19" t="s">
        <v>224</v>
      </c>
    </row>
    <row r="5" customFormat="false" ht="15" hidden="false" customHeight="false" outlineLevel="0" collapsed="false">
      <c r="A5" s="2" t="s">
        <v>225</v>
      </c>
      <c r="D5" s="47" t="n">
        <f aca="false">PayDate</f>
        <v>46290</v>
      </c>
      <c r="E5" s="47"/>
      <c r="G5" s="40" t="s">
        <v>226</v>
      </c>
      <c r="H5" s="48" t="n">
        <f aca="false">COUNT(H13:H72)</f>
        <v>32</v>
      </c>
      <c r="I5" s="28" t="n">
        <f aca="false">SUM(H13:H72)</f>
        <v>11128</v>
      </c>
    </row>
    <row r="6" customFormat="false" ht="15" hidden="false" customHeight="false" outlineLevel="0" collapsed="false">
      <c r="A6" s="2" t="s">
        <v>227</v>
      </c>
      <c r="D6" s="46" t="str">
        <f aca="false">EntryDesc</f>
        <v>CG PAY</v>
      </c>
      <c r="E6" s="46"/>
      <c r="G6" s="40" t="s">
        <v>228</v>
      </c>
      <c r="H6" s="48" t="n">
        <f aca="false">COUNT(H77:H136)</f>
        <v>8</v>
      </c>
      <c r="I6" s="28" t="n">
        <f aca="false">SUM(H77:H136)</f>
        <v>2854.92</v>
      </c>
    </row>
    <row r="7" customFormat="false" ht="15" hidden="false" customHeight="false" outlineLevel="0" collapsed="false">
      <c r="A7" s="2" t="s">
        <v>229</v>
      </c>
      <c r="D7" s="46" t="str">
        <f aca="false">TEXT(WeekStart,"mmm d")&amp;" to "&amp;TEXT(WeekEnd,"mmm d, yyyy")</f>
        <v>Sep 14 to Sep 20, 2026</v>
      </c>
      <c r="E7" s="46"/>
      <c r="G7" s="49" t="s">
        <v>230</v>
      </c>
      <c r="H7" s="50" t="n">
        <f aca="false">H5+H6</f>
        <v>40</v>
      </c>
      <c r="I7" s="51" t="n">
        <f aca="false">I5+I6</f>
        <v>13982.92</v>
      </c>
    </row>
    <row r="9" customFormat="false" ht="15" hidden="false" customHeight="false" outlineLevel="0" collapsed="false">
      <c r="A9" s="29" t="s">
        <v>231</v>
      </c>
    </row>
    <row r="11" customFormat="false" ht="21.75" hidden="false" customHeight="true" outlineLevel="0" collapsed="false">
      <c r="A11" s="3" t="s">
        <v>232</v>
      </c>
    </row>
    <row r="12" customFormat="false" ht="30" hidden="false" customHeight="true" outlineLevel="0" collapsed="false">
      <c r="A12" s="34" t="s">
        <v>233</v>
      </c>
      <c r="B12" s="34" t="s">
        <v>214</v>
      </c>
      <c r="C12" s="34" t="s">
        <v>234</v>
      </c>
      <c r="D12" s="34" t="s">
        <v>235</v>
      </c>
      <c r="E12" s="34" t="s">
        <v>236</v>
      </c>
      <c r="F12" s="34" t="s">
        <v>237</v>
      </c>
      <c r="G12" s="34" t="s">
        <v>238</v>
      </c>
      <c r="H12" s="34" t="s">
        <v>239</v>
      </c>
      <c r="I12" s="34" t="s">
        <v>240</v>
      </c>
      <c r="J12" s="34" t="s">
        <v>241</v>
      </c>
      <c r="K12" s="34" t="s">
        <v>242</v>
      </c>
      <c r="L12" s="34" t="s">
        <v>243</v>
      </c>
    </row>
    <row r="13" customFormat="false" ht="15" hidden="false" customHeight="false" outlineLevel="0" collapsed="false">
      <c r="A13" s="36" t="n">
        <f aca="false">IF(L13="","",1)</f>
        <v>1</v>
      </c>
      <c r="B13" s="40" t="str">
        <f aca="false">IF(L13="","","PPD")</f>
        <v>PPD</v>
      </c>
      <c r="C13" s="52" t="n">
        <f aca="false">IF(L13="","",IF(INDEX(cg_AcctKind,MATCH(D13,cg_ID,0))="Savings",32,22))</f>
        <v>22</v>
      </c>
      <c r="D13" s="40" t="str">
        <f aca="false">IF(L13="","",INDEX(ps_ID,L13))</f>
        <v>CG-1001</v>
      </c>
      <c r="E13" s="26" t="str">
        <f aca="false">IF(L13="","",IF(INDEX(cg_PayeeType,MATCH(D13,cg_ID,0))="Business",INDEX(cg_Business,MATCH(D13,cg_ID,0)),INDEX(ps_Name,L13)))</f>
        <v>Wanda Easley</v>
      </c>
      <c r="F13" s="40" t="str">
        <f aca="false">IF(L13="","",INDEX(cg_Routing,MATCH(D13,cg_ID,0)))</f>
        <v>XXXXX5242</v>
      </c>
      <c r="G13" s="40" t="str">
        <f aca="false">IF(L13="","",INDEX(cg_Account,MATCH(D13,cg_ID,0)))</f>
        <v>XXXX1011</v>
      </c>
      <c r="H13" s="28" t="n">
        <f aca="false">IF(L13="","",INDEX(ps_Total,L13))</f>
        <v>401.2</v>
      </c>
      <c r="I13" s="40" t="str">
        <f aca="false">IF(L13="","",EntryDesc)</f>
        <v>CG PAY</v>
      </c>
      <c r="J13" s="26" t="str">
        <f aca="false">IF(L13="","","Caregiver services "&amp;TEXT(WeekStart,"mmm d")&amp;" to "&amp;TEXT(WeekEnd,"mmm d"))</f>
        <v>Caregiver services Sep 14 to Sep 20</v>
      </c>
      <c r="K13" s="42" t="n">
        <f aca="false">IFERROR(SMALL(ps_KeyPPD,1),"")</f>
        <v>6</v>
      </c>
      <c r="L13" s="42" t="n">
        <f aca="false">IF(K13="","",MATCH(K13,ps_KeyPPD,0))</f>
        <v>1</v>
      </c>
    </row>
    <row r="14" customFormat="false" ht="15" hidden="false" customHeight="false" outlineLevel="0" collapsed="false">
      <c r="A14" s="36" t="n">
        <f aca="false">IF(L14="","",2)</f>
        <v>2</v>
      </c>
      <c r="B14" s="40" t="str">
        <f aca="false">IF(L14="","","PPD")</f>
        <v>PPD</v>
      </c>
      <c r="C14" s="52" t="n">
        <f aca="false">IF(L14="","",IF(INDEX(cg_AcctKind,MATCH(D14,cg_ID,0))="Savings",32,22))</f>
        <v>22</v>
      </c>
      <c r="D14" s="40" t="str">
        <f aca="false">IF(L14="","",INDEX(ps_ID,L14))</f>
        <v>CG-1002</v>
      </c>
      <c r="E14" s="26" t="str">
        <f aca="false">IF(L14="","",IF(INDEX(cg_PayeeType,MATCH(D14,cg_ID,0))="Business",INDEX(cg_Business,MATCH(D14,cg_ID,0)),INDEX(ps_Name,L14)))</f>
        <v>Mireille Beasley</v>
      </c>
      <c r="F14" s="40" t="str">
        <f aca="false">IF(L14="","",INDEX(cg_Routing,MATCH(D14,cg_ID,0)))</f>
        <v>XXXXX8997</v>
      </c>
      <c r="G14" s="40" t="str">
        <f aca="false">IF(L14="","",INDEX(cg_Account,MATCH(D14,cg_ID,0)))</f>
        <v>XXXX3000</v>
      </c>
      <c r="H14" s="28" t="n">
        <f aca="false">IF(L14="","",INDEX(ps_Total,L14))</f>
        <v>222.26</v>
      </c>
      <c r="I14" s="40" t="str">
        <f aca="false">IF(L14="","",EntryDesc)</f>
        <v>CG PAY</v>
      </c>
      <c r="J14" s="26" t="str">
        <f aca="false">IF(L14="","","Caregiver services "&amp;TEXT(WeekStart,"mmm d")&amp;" to "&amp;TEXT(WeekEnd,"mmm d"))</f>
        <v>Caregiver services Sep 14 to Sep 20</v>
      </c>
      <c r="K14" s="42" t="n">
        <f aca="false">IFERROR(SMALL(ps_KeyPPD,2),"")</f>
        <v>7</v>
      </c>
      <c r="L14" s="42" t="n">
        <f aca="false">IF(K14="","",MATCH(K14,ps_KeyPPD,0))</f>
        <v>2</v>
      </c>
    </row>
    <row r="15" customFormat="false" ht="15" hidden="false" customHeight="false" outlineLevel="0" collapsed="false">
      <c r="A15" s="36" t="n">
        <f aca="false">IF(L15="","",3)</f>
        <v>3</v>
      </c>
      <c r="B15" s="40" t="str">
        <f aca="false">IF(L15="","","PPD")</f>
        <v>PPD</v>
      </c>
      <c r="C15" s="52" t="n">
        <f aca="false">IF(L15="","",IF(INDEX(cg_AcctKind,MATCH(D15,cg_ID,0))="Savings",32,22))</f>
        <v>22</v>
      </c>
      <c r="D15" s="40" t="str">
        <f aca="false">IF(L15="","",INDEX(ps_ID,L15))</f>
        <v>CG-1003</v>
      </c>
      <c r="E15" s="26" t="str">
        <f aca="false">IF(L15="","",IF(INDEX(cg_PayeeType,MATCH(D15,cg_ID,0))="Business",INDEX(cg_Business,MATCH(D15,cg_ID,0)),INDEX(ps_Name,L15)))</f>
        <v>Adrienne Macias</v>
      </c>
      <c r="F15" s="40" t="str">
        <f aca="false">IF(L15="","",INDEX(cg_Routing,MATCH(D15,cg_ID,0)))</f>
        <v>XXXXX1309</v>
      </c>
      <c r="G15" s="40" t="str">
        <f aca="false">IF(L15="","",INDEX(cg_Account,MATCH(D15,cg_ID,0)))</f>
        <v>XXXX4236</v>
      </c>
      <c r="H15" s="28" t="n">
        <f aca="false">IF(L15="","",INDEX(ps_Total,L15))</f>
        <v>341</v>
      </c>
      <c r="I15" s="40" t="str">
        <f aca="false">IF(L15="","",EntryDesc)</f>
        <v>CG PAY</v>
      </c>
      <c r="J15" s="26" t="str">
        <f aca="false">IF(L15="","","Caregiver services "&amp;TEXT(WeekStart,"mmm d")&amp;" to "&amp;TEXT(WeekEnd,"mmm d"))</f>
        <v>Caregiver services Sep 14 to Sep 20</v>
      </c>
      <c r="K15" s="42" t="n">
        <f aca="false">IFERROR(SMALL(ps_KeyPPD,3),"")</f>
        <v>8</v>
      </c>
      <c r="L15" s="42" t="n">
        <f aca="false">IF(K15="","",MATCH(K15,ps_KeyPPD,0))</f>
        <v>3</v>
      </c>
    </row>
    <row r="16" customFormat="false" ht="15" hidden="false" customHeight="false" outlineLevel="0" collapsed="false">
      <c r="A16" s="36" t="n">
        <f aca="false">IF(L16="","",4)</f>
        <v>4</v>
      </c>
      <c r="B16" s="40" t="str">
        <f aca="false">IF(L16="","","PPD")</f>
        <v>PPD</v>
      </c>
      <c r="C16" s="52" t="n">
        <f aca="false">IF(L16="","",IF(INDEX(cg_AcctKind,MATCH(D16,cg_ID,0))="Savings",32,22))</f>
        <v>22</v>
      </c>
      <c r="D16" s="40" t="str">
        <f aca="false">IF(L16="","",INDEX(ps_ID,L16))</f>
        <v>CG-1005</v>
      </c>
      <c r="E16" s="26" t="str">
        <f aca="false">IF(L16="","",IF(INDEX(cg_PayeeType,MATCH(D16,cg_ID,0))="Business",INDEX(cg_Business,MATCH(D16,cg_ID,0)),INDEX(ps_Name,L16)))</f>
        <v>Valeria Grayson</v>
      </c>
      <c r="F16" s="40" t="str">
        <f aca="false">IF(L16="","",INDEX(cg_Routing,MATCH(D16,cg_ID,0)))</f>
        <v>XXXXX6316</v>
      </c>
      <c r="G16" s="40" t="str">
        <f aca="false">IF(L16="","",INDEX(cg_Account,MATCH(D16,cg_ID,0)))</f>
        <v>XXXX3183</v>
      </c>
      <c r="H16" s="28" t="n">
        <f aca="false">IF(L16="","",INDEX(ps_Total,L16))</f>
        <v>332.64</v>
      </c>
      <c r="I16" s="40" t="str">
        <f aca="false">IF(L16="","",EntryDesc)</f>
        <v>CG PAY</v>
      </c>
      <c r="J16" s="26" t="str">
        <f aca="false">IF(L16="","","Caregiver services "&amp;TEXT(WeekStart,"mmm d")&amp;" to "&amp;TEXT(WeekEnd,"mmm d"))</f>
        <v>Caregiver services Sep 14 to Sep 20</v>
      </c>
      <c r="K16" s="42" t="n">
        <f aca="false">IFERROR(SMALL(ps_KeyPPD,4),"")</f>
        <v>10</v>
      </c>
      <c r="L16" s="42" t="n">
        <f aca="false">IF(K16="","",MATCH(K16,ps_KeyPPD,0))</f>
        <v>5</v>
      </c>
    </row>
    <row r="17" customFormat="false" ht="15" hidden="false" customHeight="false" outlineLevel="0" collapsed="false">
      <c r="A17" s="36" t="n">
        <f aca="false">IF(L17="","",5)</f>
        <v>5</v>
      </c>
      <c r="B17" s="40" t="str">
        <f aca="false">IF(L17="","","PPD")</f>
        <v>PPD</v>
      </c>
      <c r="C17" s="52" t="n">
        <f aca="false">IF(L17="","",IF(INDEX(cg_AcctKind,MATCH(D17,cg_ID,0))="Savings",32,22))</f>
        <v>22</v>
      </c>
      <c r="D17" s="40" t="str">
        <f aca="false">IF(L17="","",INDEX(ps_ID,L17))</f>
        <v>CG-1007</v>
      </c>
      <c r="E17" s="26" t="str">
        <f aca="false">IF(L17="","",IF(INDEX(cg_PayeeType,MATCH(D17,cg_ID,0))="Business",INDEX(cg_Business,MATCH(D17,cg_ID,0)),INDEX(ps_Name,L17)))</f>
        <v>Jamal Dabney</v>
      </c>
      <c r="F17" s="40" t="str">
        <f aca="false">IF(L17="","",INDEX(cg_Routing,MATCH(D17,cg_ID,0)))</f>
        <v>XXXXX3411</v>
      </c>
      <c r="G17" s="40" t="str">
        <f aca="false">IF(L17="","",INDEX(cg_Account,MATCH(D17,cg_ID,0)))</f>
        <v>XXXX5873</v>
      </c>
      <c r="H17" s="28" t="n">
        <f aca="false">IF(L17="","",INDEX(ps_Total,L17))</f>
        <v>346.8</v>
      </c>
      <c r="I17" s="40" t="str">
        <f aca="false">IF(L17="","",EntryDesc)</f>
        <v>CG PAY</v>
      </c>
      <c r="J17" s="26" t="str">
        <f aca="false">IF(L17="","","Caregiver services "&amp;TEXT(WeekStart,"mmm d")&amp;" to "&amp;TEXT(WeekEnd,"mmm d"))</f>
        <v>Caregiver services Sep 14 to Sep 20</v>
      </c>
      <c r="K17" s="42" t="n">
        <f aca="false">IFERROR(SMALL(ps_KeyPPD,5),"")</f>
        <v>12</v>
      </c>
      <c r="L17" s="42" t="n">
        <f aca="false">IF(K17="","",MATCH(K17,ps_KeyPPD,0))</f>
        <v>7</v>
      </c>
    </row>
    <row r="18" customFormat="false" ht="15" hidden="false" customHeight="false" outlineLevel="0" collapsed="false">
      <c r="A18" s="36" t="n">
        <f aca="false">IF(L18="","",6)</f>
        <v>6</v>
      </c>
      <c r="B18" s="40" t="str">
        <f aca="false">IF(L18="","","PPD")</f>
        <v>PPD</v>
      </c>
      <c r="C18" s="52" t="n">
        <f aca="false">IF(L18="","",IF(INDEX(cg_AcctKind,MATCH(D18,cg_ID,0))="Savings",32,22))</f>
        <v>22</v>
      </c>
      <c r="D18" s="40" t="str">
        <f aca="false">IF(L18="","",INDEX(ps_ID,L18))</f>
        <v>CG-1008</v>
      </c>
      <c r="E18" s="26" t="str">
        <f aca="false">IF(L18="","",IF(INDEX(cg_PayeeType,MATCH(D18,cg_ID,0))="Business",INDEX(cg_Business,MATCH(D18,cg_ID,0)),INDEX(ps_Name,L18)))</f>
        <v>Nadia Corbett</v>
      </c>
      <c r="F18" s="40" t="str">
        <f aca="false">IF(L18="","",INDEX(cg_Routing,MATCH(D18,cg_ID,0)))</f>
        <v>XXXXX9753</v>
      </c>
      <c r="G18" s="40" t="str">
        <f aca="false">IF(L18="","",INDEX(cg_Account,MATCH(D18,cg_ID,0)))</f>
        <v>XXXX6131</v>
      </c>
      <c r="H18" s="28" t="n">
        <f aca="false">IF(L18="","",INDEX(ps_Total,L18))</f>
        <v>644.02</v>
      </c>
      <c r="I18" s="40" t="str">
        <f aca="false">IF(L18="","",EntryDesc)</f>
        <v>CG PAY</v>
      </c>
      <c r="J18" s="26" t="str">
        <f aca="false">IF(L18="","","Caregiver services "&amp;TEXT(WeekStart,"mmm d")&amp;" to "&amp;TEXT(WeekEnd,"mmm d"))</f>
        <v>Caregiver services Sep 14 to Sep 20</v>
      </c>
      <c r="K18" s="42" t="n">
        <f aca="false">IFERROR(SMALL(ps_KeyPPD,6),"")</f>
        <v>13</v>
      </c>
      <c r="L18" s="42" t="n">
        <f aca="false">IF(K18="","",MATCH(K18,ps_KeyPPD,0))</f>
        <v>8</v>
      </c>
    </row>
    <row r="19" customFormat="false" ht="15" hidden="false" customHeight="false" outlineLevel="0" collapsed="false">
      <c r="A19" s="36" t="n">
        <f aca="false">IF(L19="","",7)</f>
        <v>7</v>
      </c>
      <c r="B19" s="40" t="str">
        <f aca="false">IF(L19="","","PPD")</f>
        <v>PPD</v>
      </c>
      <c r="C19" s="52" t="n">
        <f aca="false">IF(L19="","",IF(INDEX(cg_AcctKind,MATCH(D19,cg_ID,0))="Savings",32,22))</f>
        <v>32</v>
      </c>
      <c r="D19" s="40" t="str">
        <f aca="false">IF(L19="","",INDEX(ps_ID,L19))</f>
        <v>CG-1009</v>
      </c>
      <c r="E19" s="26" t="str">
        <f aca="false">IF(L19="","",IF(INDEX(cg_PayeeType,MATCH(D19,cg_ID,0))="Business",INDEX(cg_Business,MATCH(D19,cg_ID,0)),INDEX(ps_Name,L19)))</f>
        <v>Jada Barajas</v>
      </c>
      <c r="F19" s="40" t="str">
        <f aca="false">IF(L19="","",INDEX(cg_Routing,MATCH(D19,cg_ID,0)))</f>
        <v>XXXXX2355</v>
      </c>
      <c r="G19" s="40" t="str">
        <f aca="false">IF(L19="","",INDEX(cg_Account,MATCH(D19,cg_ID,0)))</f>
        <v>XXXX4747</v>
      </c>
      <c r="H19" s="28" t="n">
        <f aca="false">IF(L19="","",INDEX(ps_Total,L19))</f>
        <v>467.9</v>
      </c>
      <c r="I19" s="40" t="str">
        <f aca="false">IF(L19="","",EntryDesc)</f>
        <v>CG PAY</v>
      </c>
      <c r="J19" s="26" t="str">
        <f aca="false">IF(L19="","","Caregiver services "&amp;TEXT(WeekStart,"mmm d")&amp;" to "&amp;TEXT(WeekEnd,"mmm d"))</f>
        <v>Caregiver services Sep 14 to Sep 20</v>
      </c>
      <c r="K19" s="42" t="n">
        <f aca="false">IFERROR(SMALL(ps_KeyPPD,7),"")</f>
        <v>14</v>
      </c>
      <c r="L19" s="42" t="n">
        <f aca="false">IF(K19="","",MATCH(K19,ps_KeyPPD,0))</f>
        <v>9</v>
      </c>
    </row>
    <row r="20" customFormat="false" ht="15" hidden="false" customHeight="false" outlineLevel="0" collapsed="false">
      <c r="A20" s="36" t="n">
        <f aca="false">IF(L20="","",8)</f>
        <v>8</v>
      </c>
      <c r="B20" s="40" t="str">
        <f aca="false">IF(L20="","","PPD")</f>
        <v>PPD</v>
      </c>
      <c r="C20" s="52" t="n">
        <f aca="false">IF(L20="","",IF(INDEX(cg_AcctKind,MATCH(D20,cg_ID,0))="Savings",32,22))</f>
        <v>22</v>
      </c>
      <c r="D20" s="40" t="str">
        <f aca="false">IF(L20="","",INDEX(ps_ID,L20))</f>
        <v>CG-1011</v>
      </c>
      <c r="E20" s="26" t="str">
        <f aca="false">IF(L20="","",IF(INDEX(cg_PayeeType,MATCH(D20,cg_ID,0))="Business",INDEX(cg_Business,MATCH(D20,cg_ID,0)),INDEX(ps_Name,L20)))</f>
        <v>Vanessa Bledsoe</v>
      </c>
      <c r="F20" s="40" t="str">
        <f aca="false">IF(L20="","",INDEX(cg_Routing,MATCH(D20,cg_ID,0)))</f>
        <v>XXXXX7011</v>
      </c>
      <c r="G20" s="40" t="str">
        <f aca="false">IF(L20="","",INDEX(cg_Account,MATCH(D20,cg_ID,0)))</f>
        <v>XXXX6922</v>
      </c>
      <c r="H20" s="28" t="n">
        <f aca="false">IF(L20="","",INDEX(ps_Total,L20))</f>
        <v>710.28</v>
      </c>
      <c r="I20" s="40" t="str">
        <f aca="false">IF(L20="","",EntryDesc)</f>
        <v>CG PAY</v>
      </c>
      <c r="J20" s="26" t="str">
        <f aca="false">IF(L20="","","Caregiver services "&amp;TEXT(WeekStart,"mmm d")&amp;" to "&amp;TEXT(WeekEnd,"mmm d"))</f>
        <v>Caregiver services Sep 14 to Sep 20</v>
      </c>
      <c r="K20" s="42" t="n">
        <f aca="false">IFERROR(SMALL(ps_KeyPPD,8),"")</f>
        <v>16</v>
      </c>
      <c r="L20" s="42" t="n">
        <f aca="false">IF(K20="","",MATCH(K20,ps_KeyPPD,0))</f>
        <v>11</v>
      </c>
    </row>
    <row r="21" customFormat="false" ht="15" hidden="false" customHeight="false" outlineLevel="0" collapsed="false">
      <c r="A21" s="36" t="n">
        <f aca="false">IF(L21="","",9)</f>
        <v>9</v>
      </c>
      <c r="B21" s="40" t="str">
        <f aca="false">IF(L21="","","PPD")</f>
        <v>PPD</v>
      </c>
      <c r="C21" s="52" t="n">
        <f aca="false">IF(L21="","",IF(INDEX(cg_AcctKind,MATCH(D21,cg_ID,0))="Savings",32,22))</f>
        <v>32</v>
      </c>
      <c r="D21" s="40" t="str">
        <f aca="false">IF(L21="","",INDEX(ps_ID,L21))</f>
        <v>CG-1013</v>
      </c>
      <c r="E21" s="26" t="str">
        <f aca="false">IF(L21="","",IF(INDEX(cg_PayeeType,MATCH(D21,cg_ID,0))="Business",INDEX(cg_Business,MATCH(D21,cg_ID,0)),INDEX(ps_Name,L21)))</f>
        <v>Amara Rainey</v>
      </c>
      <c r="F21" s="40" t="str">
        <f aca="false">IF(L21="","",INDEX(cg_Routing,MATCH(D21,cg_ID,0)))</f>
        <v>XXXXX7760</v>
      </c>
      <c r="G21" s="40" t="str">
        <f aca="false">IF(L21="","",INDEX(cg_Account,MATCH(D21,cg_ID,0)))</f>
        <v>XXXX6898</v>
      </c>
      <c r="H21" s="28" t="n">
        <f aca="false">IF(L21="","",INDEX(ps_Total,L21))</f>
        <v>82.8</v>
      </c>
      <c r="I21" s="40" t="str">
        <f aca="false">IF(L21="","",EntryDesc)</f>
        <v>CG PAY</v>
      </c>
      <c r="J21" s="26" t="str">
        <f aca="false">IF(L21="","","Caregiver services "&amp;TEXT(WeekStart,"mmm d")&amp;" to "&amp;TEXT(WeekEnd,"mmm d"))</f>
        <v>Caregiver services Sep 14 to Sep 20</v>
      </c>
      <c r="K21" s="42" t="n">
        <f aca="false">IFERROR(SMALL(ps_KeyPPD,9),"")</f>
        <v>18</v>
      </c>
      <c r="L21" s="42" t="n">
        <f aca="false">IF(K21="","",MATCH(K21,ps_KeyPPD,0))</f>
        <v>13</v>
      </c>
    </row>
    <row r="22" customFormat="false" ht="15" hidden="false" customHeight="false" outlineLevel="0" collapsed="false">
      <c r="A22" s="36" t="n">
        <f aca="false">IF(L22="","",10)</f>
        <v>10</v>
      </c>
      <c r="B22" s="40" t="str">
        <f aca="false">IF(L22="","","PPD")</f>
        <v>PPD</v>
      </c>
      <c r="C22" s="52" t="n">
        <f aca="false">IF(L22="","",IF(INDEX(cg_AcctKind,MATCH(D22,cg_ID,0))="Savings",32,22))</f>
        <v>22</v>
      </c>
      <c r="D22" s="40" t="str">
        <f aca="false">IF(L22="","",INDEX(ps_ID,L22))</f>
        <v>CG-1015</v>
      </c>
      <c r="E22" s="26" t="str">
        <f aca="false">IF(L22="","",IF(INDEX(cg_PayeeType,MATCH(D22,cg_ID,0))="Business",INDEX(cg_Business,MATCH(D22,cg_ID,0)),INDEX(ps_Name,L22)))</f>
        <v>Brianna Grayson</v>
      </c>
      <c r="F22" s="40" t="str">
        <f aca="false">IF(L22="","",INDEX(cg_Routing,MATCH(D22,cg_ID,0)))</f>
        <v>XXXXX9199</v>
      </c>
      <c r="G22" s="40" t="str">
        <f aca="false">IF(L22="","",INDEX(cg_Account,MATCH(D22,cg_ID,0)))</f>
        <v>XXXX7183</v>
      </c>
      <c r="H22" s="28" t="n">
        <f aca="false">IF(L22="","",INDEX(ps_Total,L22))</f>
        <v>66.34</v>
      </c>
      <c r="I22" s="40" t="str">
        <f aca="false">IF(L22="","",EntryDesc)</f>
        <v>CG PAY</v>
      </c>
      <c r="J22" s="26" t="str">
        <f aca="false">IF(L22="","","Caregiver services "&amp;TEXT(WeekStart,"mmm d")&amp;" to "&amp;TEXT(WeekEnd,"mmm d"))</f>
        <v>Caregiver services Sep 14 to Sep 20</v>
      </c>
      <c r="K22" s="42" t="n">
        <f aca="false">IFERROR(SMALL(ps_KeyPPD,10),"")</f>
        <v>20</v>
      </c>
      <c r="L22" s="42" t="n">
        <f aca="false">IF(K22="","",MATCH(K22,ps_KeyPPD,0))</f>
        <v>15</v>
      </c>
    </row>
    <row r="23" customFormat="false" ht="15" hidden="false" customHeight="false" outlineLevel="0" collapsed="false">
      <c r="A23" s="36" t="n">
        <f aca="false">IF(L23="","",11)</f>
        <v>11</v>
      </c>
      <c r="B23" s="40" t="str">
        <f aca="false">IF(L23="","","PPD")</f>
        <v>PPD</v>
      </c>
      <c r="C23" s="52" t="n">
        <f aca="false">IF(L23="","",IF(INDEX(cg_AcctKind,MATCH(D23,cg_ID,0))="Savings",32,22))</f>
        <v>22</v>
      </c>
      <c r="D23" s="40" t="str">
        <f aca="false">IF(L23="","",INDEX(ps_ID,L23))</f>
        <v>CG-1016</v>
      </c>
      <c r="E23" s="26" t="str">
        <f aca="false">IF(L23="","",IF(INDEX(cg_PayeeType,MATCH(D23,cg_ID,0))="Business",INDEX(cg_Business,MATCH(D23,cg_ID,0)),INDEX(ps_Name,L23)))</f>
        <v>Andre Montoya</v>
      </c>
      <c r="F23" s="40" t="str">
        <f aca="false">IF(L23="","",INDEX(cg_Routing,MATCH(D23,cg_ID,0)))</f>
        <v>XXXXX3522</v>
      </c>
      <c r="G23" s="40" t="str">
        <f aca="false">IF(L23="","",INDEX(cg_Account,MATCH(D23,cg_ID,0)))</f>
        <v>XXXX2089</v>
      </c>
      <c r="H23" s="28" t="n">
        <f aca="false">IF(L23="","",INDEX(ps_Total,L23))</f>
        <v>226.76</v>
      </c>
      <c r="I23" s="40" t="str">
        <f aca="false">IF(L23="","",EntryDesc)</f>
        <v>CG PAY</v>
      </c>
      <c r="J23" s="26" t="str">
        <f aca="false">IF(L23="","","Caregiver services "&amp;TEXT(WeekStart,"mmm d")&amp;" to "&amp;TEXT(WeekEnd,"mmm d"))</f>
        <v>Caregiver services Sep 14 to Sep 20</v>
      </c>
      <c r="K23" s="42" t="n">
        <f aca="false">IFERROR(SMALL(ps_KeyPPD,11),"")</f>
        <v>21</v>
      </c>
      <c r="L23" s="42" t="n">
        <f aca="false">IF(K23="","",MATCH(K23,ps_KeyPPD,0))</f>
        <v>16</v>
      </c>
    </row>
    <row r="24" customFormat="false" ht="15" hidden="false" customHeight="false" outlineLevel="0" collapsed="false">
      <c r="A24" s="36" t="n">
        <f aca="false">IF(L24="","",12)</f>
        <v>12</v>
      </c>
      <c r="B24" s="40" t="str">
        <f aca="false">IF(L24="","","PPD")</f>
        <v>PPD</v>
      </c>
      <c r="C24" s="52" t="n">
        <f aca="false">IF(L24="","",IF(INDEX(cg_AcctKind,MATCH(D24,cg_ID,0))="Savings",32,22))</f>
        <v>22</v>
      </c>
      <c r="D24" s="40" t="str">
        <f aca="false">IF(L24="","",INDEX(ps_ID,L24))</f>
        <v>CG-1017</v>
      </c>
      <c r="E24" s="26" t="str">
        <f aca="false">IF(L24="","",IF(INDEX(cg_PayeeType,MATCH(D24,cg_ID,0))="Business",INDEX(cg_Business,MATCH(D24,cg_ID,0)),INDEX(ps_Name,L24)))</f>
        <v>Corinne Prewitt</v>
      </c>
      <c r="F24" s="40" t="str">
        <f aca="false">IF(L24="","",INDEX(cg_Routing,MATCH(D24,cg_ID,0)))</f>
        <v>XXXXX6527</v>
      </c>
      <c r="G24" s="40" t="str">
        <f aca="false">IF(L24="","",INDEX(cg_Account,MATCH(D24,cg_ID,0)))</f>
        <v>XXXX5502</v>
      </c>
      <c r="H24" s="28" t="n">
        <f aca="false">IF(L24="","",INDEX(ps_Total,L24))</f>
        <v>101.2</v>
      </c>
      <c r="I24" s="40" t="str">
        <f aca="false">IF(L24="","",EntryDesc)</f>
        <v>CG PAY</v>
      </c>
      <c r="J24" s="26" t="str">
        <f aca="false">IF(L24="","","Caregiver services "&amp;TEXT(WeekStart,"mmm d")&amp;" to "&amp;TEXT(WeekEnd,"mmm d"))</f>
        <v>Caregiver services Sep 14 to Sep 20</v>
      </c>
      <c r="K24" s="42" t="n">
        <f aca="false">IFERROR(SMALL(ps_KeyPPD,12),"")</f>
        <v>22</v>
      </c>
      <c r="L24" s="42" t="n">
        <f aca="false">IF(K24="","",MATCH(K24,ps_KeyPPD,0))</f>
        <v>17</v>
      </c>
    </row>
    <row r="25" customFormat="false" ht="15" hidden="false" customHeight="false" outlineLevel="0" collapsed="false">
      <c r="A25" s="36" t="n">
        <f aca="false">IF(L25="","",13)</f>
        <v>13</v>
      </c>
      <c r="B25" s="40" t="str">
        <f aca="false">IF(L25="","","PPD")</f>
        <v>PPD</v>
      </c>
      <c r="C25" s="52" t="n">
        <f aca="false">IF(L25="","",IF(INDEX(cg_AcctKind,MATCH(D25,cg_ID,0))="Savings",32,22))</f>
        <v>22</v>
      </c>
      <c r="D25" s="40" t="str">
        <f aca="false">IF(L25="","",INDEX(ps_ID,L25))</f>
        <v>CG-1018</v>
      </c>
      <c r="E25" s="26" t="str">
        <f aca="false">IF(L25="","",IF(INDEX(cg_PayeeType,MATCH(D25,cg_ID,0))="Business",INDEX(cg_Business,MATCH(D25,cg_ID,0)),INDEX(ps_Name,L25)))</f>
        <v>Aria Mercer</v>
      </c>
      <c r="F25" s="40" t="str">
        <f aca="false">IF(L25="","",INDEX(cg_Routing,MATCH(D25,cg_ID,0)))</f>
        <v>XXXXX1335</v>
      </c>
      <c r="G25" s="40" t="str">
        <f aca="false">IF(L25="","",INDEX(cg_Account,MATCH(D25,cg_ID,0)))</f>
        <v>XXXX1299</v>
      </c>
      <c r="H25" s="28" t="n">
        <f aca="false">IF(L25="","",INDEX(ps_Total,L25))</f>
        <v>151.64</v>
      </c>
      <c r="I25" s="40" t="str">
        <f aca="false">IF(L25="","",EntryDesc)</f>
        <v>CG PAY</v>
      </c>
      <c r="J25" s="26" t="str">
        <f aca="false">IF(L25="","","Caregiver services "&amp;TEXT(WeekStart,"mmm d")&amp;" to "&amp;TEXT(WeekEnd,"mmm d"))</f>
        <v>Caregiver services Sep 14 to Sep 20</v>
      </c>
      <c r="K25" s="42" t="n">
        <f aca="false">IFERROR(SMALL(ps_KeyPPD,13),"")</f>
        <v>23</v>
      </c>
      <c r="L25" s="42" t="n">
        <f aca="false">IF(K25="","",MATCH(K25,ps_KeyPPD,0))</f>
        <v>18</v>
      </c>
    </row>
    <row r="26" customFormat="false" ht="15" hidden="false" customHeight="false" outlineLevel="0" collapsed="false">
      <c r="A26" s="36" t="n">
        <f aca="false">IF(L26="","",14)</f>
        <v>14</v>
      </c>
      <c r="B26" s="40" t="str">
        <f aca="false">IF(L26="","","PPD")</f>
        <v>PPD</v>
      </c>
      <c r="C26" s="52" t="n">
        <f aca="false">IF(L26="","",IF(INDEX(cg_AcctKind,MATCH(D26,cg_ID,0))="Savings",32,22))</f>
        <v>22</v>
      </c>
      <c r="D26" s="40" t="str">
        <f aca="false">IF(L26="","",INDEX(ps_ID,L26))</f>
        <v>CG-1019</v>
      </c>
      <c r="E26" s="26" t="str">
        <f aca="false">IF(L26="","",IF(INDEX(cg_PayeeType,MATCH(D26,cg_ID,0))="Business",INDEX(cg_Business,MATCH(D26,cg_ID,0)),INDEX(ps_Name,L26)))</f>
        <v>Elise Escobar</v>
      </c>
      <c r="F26" s="40" t="str">
        <f aca="false">IF(L26="","",INDEX(cg_Routing,MATCH(D26,cg_ID,0)))</f>
        <v>XXXXX5509</v>
      </c>
      <c r="G26" s="40" t="str">
        <f aca="false">IF(L26="","",INDEX(cg_Account,MATCH(D26,cg_ID,0)))</f>
        <v>XXXX7860</v>
      </c>
      <c r="H26" s="28" t="n">
        <f aca="false">IF(L26="","",INDEX(ps_Total,L26))</f>
        <v>99.08</v>
      </c>
      <c r="I26" s="40" t="str">
        <f aca="false">IF(L26="","",EntryDesc)</f>
        <v>CG PAY</v>
      </c>
      <c r="J26" s="26" t="str">
        <f aca="false">IF(L26="","","Caregiver services "&amp;TEXT(WeekStart,"mmm d")&amp;" to "&amp;TEXT(WeekEnd,"mmm d"))</f>
        <v>Caregiver services Sep 14 to Sep 20</v>
      </c>
      <c r="K26" s="42" t="n">
        <f aca="false">IFERROR(SMALL(ps_KeyPPD,14),"")</f>
        <v>24</v>
      </c>
      <c r="L26" s="42" t="n">
        <f aca="false">IF(K26="","",MATCH(K26,ps_KeyPPD,0))</f>
        <v>19</v>
      </c>
    </row>
    <row r="27" customFormat="false" ht="15" hidden="false" customHeight="false" outlineLevel="0" collapsed="false">
      <c r="A27" s="36" t="n">
        <f aca="false">IF(L27="","",15)</f>
        <v>15</v>
      </c>
      <c r="B27" s="40" t="str">
        <f aca="false">IF(L27="","","PPD")</f>
        <v>PPD</v>
      </c>
      <c r="C27" s="52" t="n">
        <f aca="false">IF(L27="","",IF(INDEX(cg_AcctKind,MATCH(D27,cg_ID,0))="Savings",32,22))</f>
        <v>22</v>
      </c>
      <c r="D27" s="40" t="str">
        <f aca="false">IF(L27="","",INDEX(ps_ID,L27))</f>
        <v>CG-1020</v>
      </c>
      <c r="E27" s="26" t="str">
        <f aca="false">IF(L27="","",IF(INDEX(cg_PayeeType,MATCH(D27,cg_ID,0))="Business",INDEX(cg_Business,MATCH(D27,cg_ID,0)),INDEX(ps_Name,L27)))</f>
        <v>Naomi Satterfield</v>
      </c>
      <c r="F27" s="40" t="str">
        <f aca="false">IF(L27="","",INDEX(cg_Routing,MATCH(D27,cg_ID,0)))</f>
        <v>XXXXX5867</v>
      </c>
      <c r="G27" s="40" t="str">
        <f aca="false">IF(L27="","",INDEX(cg_Account,MATCH(D27,cg_ID,0)))</f>
        <v>XXXX9741</v>
      </c>
      <c r="H27" s="28" t="n">
        <f aca="false">IF(L27="","",INDEX(ps_Total,L27))</f>
        <v>315.78</v>
      </c>
      <c r="I27" s="40" t="str">
        <f aca="false">IF(L27="","",EntryDesc)</f>
        <v>CG PAY</v>
      </c>
      <c r="J27" s="26" t="str">
        <f aca="false">IF(L27="","","Caregiver services "&amp;TEXT(WeekStart,"mmm d")&amp;" to "&amp;TEXT(WeekEnd,"mmm d"))</f>
        <v>Caregiver services Sep 14 to Sep 20</v>
      </c>
      <c r="K27" s="42" t="n">
        <f aca="false">IFERROR(SMALL(ps_KeyPPD,15),"")</f>
        <v>25</v>
      </c>
      <c r="L27" s="42" t="n">
        <f aca="false">IF(K27="","",MATCH(K27,ps_KeyPPD,0))</f>
        <v>20</v>
      </c>
    </row>
    <row r="28" customFormat="false" ht="15" hidden="false" customHeight="false" outlineLevel="0" collapsed="false">
      <c r="A28" s="36" t="n">
        <f aca="false">IF(L28="","",16)</f>
        <v>16</v>
      </c>
      <c r="B28" s="40" t="str">
        <f aca="false">IF(L28="","","PPD")</f>
        <v>PPD</v>
      </c>
      <c r="C28" s="52" t="n">
        <f aca="false">IF(L28="","",IF(INDEX(cg_AcctKind,MATCH(D28,cg_ID,0))="Savings",32,22))</f>
        <v>22</v>
      </c>
      <c r="D28" s="40" t="str">
        <f aca="false">IF(L28="","",INDEX(ps_ID,L28))</f>
        <v>CG-1021</v>
      </c>
      <c r="E28" s="26" t="str">
        <f aca="false">IF(L28="","",IF(INDEX(cg_PayeeType,MATCH(D28,cg_ID,0))="Business",INDEX(cg_Business,MATCH(D28,cg_ID,0)),INDEX(ps_Name,L28)))</f>
        <v>Elise Kowalski</v>
      </c>
      <c r="F28" s="40" t="str">
        <f aca="false">IF(L28="","",INDEX(cg_Routing,MATCH(D28,cg_ID,0)))</f>
        <v>XXXXX4431</v>
      </c>
      <c r="G28" s="40" t="str">
        <f aca="false">IF(L28="","",INDEX(cg_Account,MATCH(D28,cg_ID,0)))</f>
        <v>XXXX1632</v>
      </c>
      <c r="H28" s="28" t="n">
        <f aca="false">IF(L28="","",INDEX(ps_Total,L28))</f>
        <v>519.6</v>
      </c>
      <c r="I28" s="40" t="str">
        <f aca="false">IF(L28="","",EntryDesc)</f>
        <v>CG PAY</v>
      </c>
      <c r="J28" s="26" t="str">
        <f aca="false">IF(L28="","","Caregiver services "&amp;TEXT(WeekStart,"mmm d")&amp;" to "&amp;TEXT(WeekEnd,"mmm d"))</f>
        <v>Caregiver services Sep 14 to Sep 20</v>
      </c>
      <c r="K28" s="42" t="n">
        <f aca="false">IFERROR(SMALL(ps_KeyPPD,16),"")</f>
        <v>26</v>
      </c>
      <c r="L28" s="42" t="n">
        <f aca="false">IF(K28="","",MATCH(K28,ps_KeyPPD,0))</f>
        <v>21</v>
      </c>
    </row>
    <row r="29" customFormat="false" ht="15" hidden="false" customHeight="false" outlineLevel="0" collapsed="false">
      <c r="A29" s="36" t="n">
        <f aca="false">IF(L29="","",17)</f>
        <v>17</v>
      </c>
      <c r="B29" s="40" t="str">
        <f aca="false">IF(L29="","","PPD")</f>
        <v>PPD</v>
      </c>
      <c r="C29" s="52" t="n">
        <f aca="false">IF(L29="","",IF(INDEX(cg_AcctKind,MATCH(D29,cg_ID,0))="Savings",32,22))</f>
        <v>32</v>
      </c>
      <c r="D29" s="40" t="str">
        <f aca="false">IF(L29="","",INDEX(ps_ID,L29))</f>
        <v>CG-1023</v>
      </c>
      <c r="E29" s="26" t="str">
        <f aca="false">IF(L29="","",IF(INDEX(cg_PayeeType,MATCH(D29,cg_ID,0))="Business",INDEX(cg_Business,MATCH(D29,cg_ID,0)),INDEX(ps_Name,L29)))</f>
        <v>Nadia Delgado</v>
      </c>
      <c r="F29" s="40" t="str">
        <f aca="false">IF(L29="","",INDEX(cg_Routing,MATCH(D29,cg_ID,0)))</f>
        <v>XXXXX2946</v>
      </c>
      <c r="G29" s="40" t="str">
        <f aca="false">IF(L29="","",INDEX(cg_Account,MATCH(D29,cg_ID,0)))</f>
        <v>XXXX2610</v>
      </c>
      <c r="H29" s="28" t="n">
        <f aca="false">IF(L29="","",INDEX(ps_Total,L29))</f>
        <v>736</v>
      </c>
      <c r="I29" s="40" t="str">
        <f aca="false">IF(L29="","",EntryDesc)</f>
        <v>CG PAY</v>
      </c>
      <c r="J29" s="26" t="str">
        <f aca="false">IF(L29="","","Caregiver services "&amp;TEXT(WeekStart,"mmm d")&amp;" to "&amp;TEXT(WeekEnd,"mmm d"))</f>
        <v>Caregiver services Sep 14 to Sep 20</v>
      </c>
      <c r="K29" s="42" t="n">
        <f aca="false">IFERROR(SMALL(ps_KeyPPD,17),"")</f>
        <v>28</v>
      </c>
      <c r="L29" s="42" t="n">
        <f aca="false">IF(K29="","",MATCH(K29,ps_KeyPPD,0))</f>
        <v>23</v>
      </c>
    </row>
    <row r="30" customFormat="false" ht="15" hidden="false" customHeight="false" outlineLevel="0" collapsed="false">
      <c r="A30" s="36" t="n">
        <f aca="false">IF(L30="","",18)</f>
        <v>18</v>
      </c>
      <c r="B30" s="40" t="str">
        <f aca="false">IF(L30="","","PPD")</f>
        <v>PPD</v>
      </c>
      <c r="C30" s="52" t="n">
        <f aca="false">IF(L30="","",IF(INDEX(cg_AcctKind,MATCH(D30,cg_ID,0))="Savings",32,22))</f>
        <v>22</v>
      </c>
      <c r="D30" s="40" t="str">
        <f aca="false">IF(L30="","",INDEX(ps_ID,L30))</f>
        <v>CG-1024</v>
      </c>
      <c r="E30" s="26" t="str">
        <f aca="false">IF(L30="","",IF(INDEX(cg_PayeeType,MATCH(D30,cg_ID,0))="Business",INDEX(cg_Business,MATCH(D30,cg_ID,0)),INDEX(ps_Name,L30)))</f>
        <v>Curtis Sampson</v>
      </c>
      <c r="F30" s="40" t="str">
        <f aca="false">IF(L30="","",INDEX(cg_Routing,MATCH(D30,cg_ID,0)))</f>
        <v>XXXXX1027</v>
      </c>
      <c r="G30" s="40" t="str">
        <f aca="false">IF(L30="","",INDEX(cg_Account,MATCH(D30,cg_ID,0)))</f>
        <v>XXXX1250</v>
      </c>
      <c r="H30" s="28" t="n">
        <f aca="false">IF(L30="","",INDEX(ps_Total,L30))</f>
        <v>742.66</v>
      </c>
      <c r="I30" s="40" t="str">
        <f aca="false">IF(L30="","",EntryDesc)</f>
        <v>CG PAY</v>
      </c>
      <c r="J30" s="26" t="str">
        <f aca="false">IF(L30="","","Caregiver services "&amp;TEXT(WeekStart,"mmm d")&amp;" to "&amp;TEXT(WeekEnd,"mmm d"))</f>
        <v>Caregiver services Sep 14 to Sep 20</v>
      </c>
      <c r="K30" s="42" t="n">
        <f aca="false">IFERROR(SMALL(ps_KeyPPD,18),"")</f>
        <v>29</v>
      </c>
      <c r="L30" s="42" t="n">
        <f aca="false">IF(K30="","",MATCH(K30,ps_KeyPPD,0))</f>
        <v>24</v>
      </c>
    </row>
    <row r="31" customFormat="false" ht="15" hidden="false" customHeight="false" outlineLevel="0" collapsed="false">
      <c r="A31" s="36" t="n">
        <f aca="false">IF(L31="","",19)</f>
        <v>19</v>
      </c>
      <c r="B31" s="40" t="str">
        <f aca="false">IF(L31="","","PPD")</f>
        <v>PPD</v>
      </c>
      <c r="C31" s="52" t="n">
        <f aca="false">IF(L31="","",IF(INDEX(cg_AcctKind,MATCH(D31,cg_ID,0))="Savings",32,22))</f>
        <v>22</v>
      </c>
      <c r="D31" s="40" t="str">
        <f aca="false">IF(L31="","",INDEX(ps_ID,L31))</f>
        <v>CG-1026</v>
      </c>
      <c r="E31" s="26" t="str">
        <f aca="false">IF(L31="","",IF(INDEX(cg_PayeeType,MATCH(D31,cg_ID,0))="Business",INDEX(cg_Business,MATCH(D31,cg_ID,0)),INDEX(ps_Name,L31)))</f>
        <v>Marlene Yancey</v>
      </c>
      <c r="F31" s="40" t="str">
        <f aca="false">IF(L31="","",INDEX(cg_Routing,MATCH(D31,cg_ID,0)))</f>
        <v>XXXXX2688</v>
      </c>
      <c r="G31" s="40" t="str">
        <f aca="false">IF(L31="","",INDEX(cg_Account,MATCH(D31,cg_ID,0)))</f>
        <v>XXXX6504</v>
      </c>
      <c r="H31" s="28" t="n">
        <f aca="false">IF(L31="","",INDEX(ps_Total,L31))</f>
        <v>297</v>
      </c>
      <c r="I31" s="40" t="str">
        <f aca="false">IF(L31="","",EntryDesc)</f>
        <v>CG PAY</v>
      </c>
      <c r="J31" s="26" t="str">
        <f aca="false">IF(L31="","","Caregiver services "&amp;TEXT(WeekStart,"mmm d")&amp;" to "&amp;TEXT(WeekEnd,"mmm d"))</f>
        <v>Caregiver services Sep 14 to Sep 20</v>
      </c>
      <c r="K31" s="42" t="n">
        <f aca="false">IFERROR(SMALL(ps_KeyPPD,19),"")</f>
        <v>31</v>
      </c>
      <c r="L31" s="42" t="n">
        <f aca="false">IF(K31="","",MATCH(K31,ps_KeyPPD,0))</f>
        <v>26</v>
      </c>
    </row>
    <row r="32" customFormat="false" ht="15" hidden="false" customHeight="false" outlineLevel="0" collapsed="false">
      <c r="A32" s="36" t="n">
        <f aca="false">IF(L32="","",20)</f>
        <v>20</v>
      </c>
      <c r="B32" s="40" t="str">
        <f aca="false">IF(L32="","","PPD")</f>
        <v>PPD</v>
      </c>
      <c r="C32" s="52" t="n">
        <f aca="false">IF(L32="","",IF(INDEX(cg_AcctKind,MATCH(D32,cg_ID,0))="Savings",32,22))</f>
        <v>22</v>
      </c>
      <c r="D32" s="40" t="str">
        <f aca="false">IF(L32="","",INDEX(ps_ID,L32))</f>
        <v>CG-1027</v>
      </c>
      <c r="E32" s="26" t="str">
        <f aca="false">IF(L32="","",IF(INDEX(cg_PayeeType,MATCH(D32,cg_ID,0))="Business",INDEX(cg_Business,MATCH(D32,cg_ID,0)),INDEX(ps_Name,L32)))</f>
        <v>Andre Coleman</v>
      </c>
      <c r="F32" s="40" t="str">
        <f aca="false">IF(L32="","",INDEX(cg_Routing,MATCH(D32,cg_ID,0)))</f>
        <v>XXXXX9546</v>
      </c>
      <c r="G32" s="40" t="str">
        <f aca="false">IF(L32="","",INDEX(cg_Account,MATCH(D32,cg_ID,0)))</f>
        <v>XXXX7708</v>
      </c>
      <c r="H32" s="28" t="n">
        <f aca="false">IF(L32="","",INDEX(ps_Total,L32))</f>
        <v>156.48</v>
      </c>
      <c r="I32" s="40" t="str">
        <f aca="false">IF(L32="","",EntryDesc)</f>
        <v>CG PAY</v>
      </c>
      <c r="J32" s="26" t="str">
        <f aca="false">IF(L32="","","Caregiver services "&amp;TEXT(WeekStart,"mmm d")&amp;" to "&amp;TEXT(WeekEnd,"mmm d"))</f>
        <v>Caregiver services Sep 14 to Sep 20</v>
      </c>
      <c r="K32" s="42" t="n">
        <f aca="false">IFERROR(SMALL(ps_KeyPPD,20),"")</f>
        <v>32</v>
      </c>
      <c r="L32" s="42" t="n">
        <f aca="false">IF(K32="","",MATCH(K32,ps_KeyPPD,0))</f>
        <v>27</v>
      </c>
    </row>
    <row r="33" customFormat="false" ht="15" hidden="false" customHeight="false" outlineLevel="0" collapsed="false">
      <c r="A33" s="36" t="n">
        <f aca="false">IF(L33="","",21)</f>
        <v>21</v>
      </c>
      <c r="B33" s="40" t="str">
        <f aca="false">IF(L33="","","PPD")</f>
        <v>PPD</v>
      </c>
      <c r="C33" s="52" t="n">
        <f aca="false">IF(L33="","",IF(INDEX(cg_AcctKind,MATCH(D33,cg_ID,0))="Savings",32,22))</f>
        <v>22</v>
      </c>
      <c r="D33" s="40" t="str">
        <f aca="false">IF(L33="","",INDEX(ps_ID,L33))</f>
        <v>CG-1028</v>
      </c>
      <c r="E33" s="26" t="str">
        <f aca="false">IF(L33="","",IF(INDEX(cg_PayeeType,MATCH(D33,cg_ID,0))="Business",INDEX(cg_Business,MATCH(D33,cg_ID,0)),INDEX(ps_Name,L33)))</f>
        <v>Zora Coleman</v>
      </c>
      <c r="F33" s="40" t="str">
        <f aca="false">IF(L33="","",INDEX(cg_Routing,MATCH(D33,cg_ID,0)))</f>
        <v>XXXXX9956</v>
      </c>
      <c r="G33" s="40" t="str">
        <f aca="false">IF(L33="","",INDEX(cg_Account,MATCH(D33,cg_ID,0)))</f>
        <v>XXXX2605</v>
      </c>
      <c r="H33" s="28" t="n">
        <f aca="false">IF(L33="","",INDEX(ps_Total,L33))</f>
        <v>265.2</v>
      </c>
      <c r="I33" s="40" t="str">
        <f aca="false">IF(L33="","",EntryDesc)</f>
        <v>CG PAY</v>
      </c>
      <c r="J33" s="26" t="str">
        <f aca="false">IF(L33="","","Caregiver services "&amp;TEXT(WeekStart,"mmm d")&amp;" to "&amp;TEXT(WeekEnd,"mmm d"))</f>
        <v>Caregiver services Sep 14 to Sep 20</v>
      </c>
      <c r="K33" s="42" t="n">
        <f aca="false">IFERROR(SMALL(ps_KeyPPD,21),"")</f>
        <v>33</v>
      </c>
      <c r="L33" s="42" t="n">
        <f aca="false">IF(K33="","",MATCH(K33,ps_KeyPPD,0))</f>
        <v>28</v>
      </c>
    </row>
    <row r="34" customFormat="false" ht="15" hidden="false" customHeight="false" outlineLevel="0" collapsed="false">
      <c r="A34" s="36" t="n">
        <f aca="false">IF(L34="","",22)</f>
        <v>22</v>
      </c>
      <c r="B34" s="40" t="str">
        <f aca="false">IF(L34="","","PPD")</f>
        <v>PPD</v>
      </c>
      <c r="C34" s="52" t="n">
        <f aca="false">IF(L34="","",IF(INDEX(cg_AcctKind,MATCH(D34,cg_ID,0))="Savings",32,22))</f>
        <v>22</v>
      </c>
      <c r="D34" s="40" t="str">
        <f aca="false">IF(L34="","",INDEX(ps_ID,L34))</f>
        <v>CG-1030</v>
      </c>
      <c r="E34" s="26" t="str">
        <f aca="false">IF(L34="","",IF(INDEX(cg_PayeeType,MATCH(D34,cg_ID,0))="Business",INDEX(cg_Business,MATCH(D34,cg_ID,0)),INDEX(ps_Name,L34)))</f>
        <v>Brianna Tolliver</v>
      </c>
      <c r="F34" s="40" t="str">
        <f aca="false">IF(L34="","",INDEX(cg_Routing,MATCH(D34,cg_ID,0)))</f>
        <v>XXXXX1590</v>
      </c>
      <c r="G34" s="40" t="str">
        <f aca="false">IF(L34="","",INDEX(cg_Account,MATCH(D34,cg_ID,0)))</f>
        <v>XXXX3012</v>
      </c>
      <c r="H34" s="28" t="n">
        <f aca="false">IF(L34="","",INDEX(ps_Total,L34))</f>
        <v>379.74</v>
      </c>
      <c r="I34" s="40" t="str">
        <f aca="false">IF(L34="","",EntryDesc)</f>
        <v>CG PAY</v>
      </c>
      <c r="J34" s="26" t="str">
        <f aca="false">IF(L34="","","Caregiver services "&amp;TEXT(WeekStart,"mmm d")&amp;" to "&amp;TEXT(WeekEnd,"mmm d"))</f>
        <v>Caregiver services Sep 14 to Sep 20</v>
      </c>
      <c r="K34" s="42" t="n">
        <f aca="false">IFERROR(SMALL(ps_KeyPPD,22),"")</f>
        <v>35</v>
      </c>
      <c r="L34" s="42" t="n">
        <f aca="false">IF(K34="","",MATCH(K34,ps_KeyPPD,0))</f>
        <v>30</v>
      </c>
    </row>
    <row r="35" customFormat="false" ht="15" hidden="false" customHeight="false" outlineLevel="0" collapsed="false">
      <c r="A35" s="36" t="n">
        <f aca="false">IF(L35="","",23)</f>
        <v>23</v>
      </c>
      <c r="B35" s="40" t="str">
        <f aca="false">IF(L35="","","PPD")</f>
        <v>PPD</v>
      </c>
      <c r="C35" s="52" t="n">
        <f aca="false">IF(L35="","",IF(INDEX(cg_AcctKind,MATCH(D35,cg_ID,0))="Savings",32,22))</f>
        <v>22</v>
      </c>
      <c r="D35" s="40" t="str">
        <f aca="false">IF(L35="","",INDEX(ps_ID,L35))</f>
        <v>CG-1032</v>
      </c>
      <c r="E35" s="26" t="str">
        <f aca="false">IF(L35="","",IF(INDEX(cg_PayeeType,MATCH(D35,cg_ID,0))="Business",INDEX(cg_Business,MATCH(D35,cg_ID,0)),INDEX(ps_Name,L35)))</f>
        <v>Veronica Garnett</v>
      </c>
      <c r="F35" s="40" t="str">
        <f aca="false">IF(L35="","",INDEX(cg_Routing,MATCH(D35,cg_ID,0)))</f>
        <v>XXXXX2013</v>
      </c>
      <c r="G35" s="40" t="str">
        <f aca="false">IF(L35="","",INDEX(cg_Account,MATCH(D35,cg_ID,0)))</f>
        <v>XXXX7405</v>
      </c>
      <c r="H35" s="28" t="n">
        <f aca="false">IF(L35="","",INDEX(ps_Total,L35))</f>
        <v>552.64</v>
      </c>
      <c r="I35" s="40" t="str">
        <f aca="false">IF(L35="","",EntryDesc)</f>
        <v>CG PAY</v>
      </c>
      <c r="J35" s="26" t="str">
        <f aca="false">IF(L35="","","Caregiver services "&amp;TEXT(WeekStart,"mmm d")&amp;" to "&amp;TEXT(WeekEnd,"mmm d"))</f>
        <v>Caregiver services Sep 14 to Sep 20</v>
      </c>
      <c r="K35" s="42" t="n">
        <f aca="false">IFERROR(SMALL(ps_KeyPPD,23),"")</f>
        <v>37</v>
      </c>
      <c r="L35" s="42" t="n">
        <f aca="false">IF(K35="","",MATCH(K35,ps_KeyPPD,0))</f>
        <v>32</v>
      </c>
    </row>
    <row r="36" customFormat="false" ht="15" hidden="false" customHeight="false" outlineLevel="0" collapsed="false">
      <c r="A36" s="36" t="n">
        <f aca="false">IF(L36="","",24)</f>
        <v>24</v>
      </c>
      <c r="B36" s="40" t="str">
        <f aca="false">IF(L36="","","PPD")</f>
        <v>PPD</v>
      </c>
      <c r="C36" s="52" t="n">
        <f aca="false">IF(L36="","",IF(INDEX(cg_AcctKind,MATCH(D36,cg_ID,0))="Savings",32,22))</f>
        <v>32</v>
      </c>
      <c r="D36" s="40" t="str">
        <f aca="false">IF(L36="","",INDEX(ps_ID,L36))</f>
        <v>CG-1033</v>
      </c>
      <c r="E36" s="26" t="str">
        <f aca="false">IF(L36="","",IF(INDEX(cg_PayeeType,MATCH(D36,cg_ID,0))="Business",INDEX(cg_Business,MATCH(D36,cg_ID,0)),INDEX(ps_Name,L36)))</f>
        <v>Rosa Ochoa</v>
      </c>
      <c r="F36" s="40" t="str">
        <f aca="false">IF(L36="","",INDEX(cg_Routing,MATCH(D36,cg_ID,0)))</f>
        <v>XXXXX4951</v>
      </c>
      <c r="G36" s="40" t="str">
        <f aca="false">IF(L36="","",INDEX(cg_Account,MATCH(D36,cg_ID,0)))</f>
        <v>XXXX9869</v>
      </c>
      <c r="H36" s="28" t="n">
        <f aca="false">IF(L36="","",INDEX(ps_Total,L36))</f>
        <v>548.8</v>
      </c>
      <c r="I36" s="40" t="str">
        <f aca="false">IF(L36="","",EntryDesc)</f>
        <v>CG PAY</v>
      </c>
      <c r="J36" s="26" t="str">
        <f aca="false">IF(L36="","","Caregiver services "&amp;TEXT(WeekStart,"mmm d")&amp;" to "&amp;TEXT(WeekEnd,"mmm d"))</f>
        <v>Caregiver services Sep 14 to Sep 20</v>
      </c>
      <c r="K36" s="42" t="n">
        <f aca="false">IFERROR(SMALL(ps_KeyPPD,24),"")</f>
        <v>38</v>
      </c>
      <c r="L36" s="42" t="n">
        <f aca="false">IF(K36="","",MATCH(K36,ps_KeyPPD,0))</f>
        <v>33</v>
      </c>
    </row>
    <row r="37" customFormat="false" ht="15" hidden="false" customHeight="false" outlineLevel="0" collapsed="false">
      <c r="A37" s="36" t="n">
        <f aca="false">IF(L37="","",25)</f>
        <v>25</v>
      </c>
      <c r="B37" s="40" t="str">
        <f aca="false">IF(L37="","","PPD")</f>
        <v>PPD</v>
      </c>
      <c r="C37" s="52" t="n">
        <f aca="false">IF(L37="","",IF(INDEX(cg_AcctKind,MATCH(D37,cg_ID,0))="Savings",32,22))</f>
        <v>22</v>
      </c>
      <c r="D37" s="40" t="str">
        <f aca="false">IF(L37="","",INDEX(ps_ID,L37))</f>
        <v>CG-1034</v>
      </c>
      <c r="E37" s="26" t="str">
        <f aca="false">IF(L37="","",IF(INDEX(cg_PayeeType,MATCH(D37,cg_ID,0))="Business",INDEX(cg_Business,MATCH(D37,cg_ID,0)),INDEX(ps_Name,L37)))</f>
        <v>Elise Odom</v>
      </c>
      <c r="F37" s="40" t="str">
        <f aca="false">IF(L37="","",INDEX(cg_Routing,MATCH(D37,cg_ID,0)))</f>
        <v>XXXXX9799</v>
      </c>
      <c r="G37" s="40" t="str">
        <f aca="false">IF(L37="","",INDEX(cg_Account,MATCH(D37,cg_ID,0)))</f>
        <v>XXXX8210</v>
      </c>
      <c r="H37" s="28" t="n">
        <f aca="false">IF(L37="","",INDEX(ps_Total,L37))</f>
        <v>359.6</v>
      </c>
      <c r="I37" s="40" t="str">
        <f aca="false">IF(L37="","",EntryDesc)</f>
        <v>CG PAY</v>
      </c>
      <c r="J37" s="26" t="str">
        <f aca="false">IF(L37="","","Caregiver services "&amp;TEXT(WeekStart,"mmm d")&amp;" to "&amp;TEXT(WeekEnd,"mmm d"))</f>
        <v>Caregiver services Sep 14 to Sep 20</v>
      </c>
      <c r="K37" s="42" t="n">
        <f aca="false">IFERROR(SMALL(ps_KeyPPD,25),"")</f>
        <v>39</v>
      </c>
      <c r="L37" s="42" t="n">
        <f aca="false">IF(K37="","",MATCH(K37,ps_KeyPPD,0))</f>
        <v>34</v>
      </c>
    </row>
    <row r="38" customFormat="false" ht="15" hidden="false" customHeight="false" outlineLevel="0" collapsed="false">
      <c r="A38" s="36" t="n">
        <f aca="false">IF(L38="","",26)</f>
        <v>26</v>
      </c>
      <c r="B38" s="40" t="str">
        <f aca="false">IF(L38="","","PPD")</f>
        <v>PPD</v>
      </c>
      <c r="C38" s="52" t="n">
        <f aca="false">IF(L38="","",IF(INDEX(cg_AcctKind,MATCH(D38,cg_ID,0))="Savings",32,22))</f>
        <v>32</v>
      </c>
      <c r="D38" s="40" t="str">
        <f aca="false">IF(L38="","",INDEX(ps_ID,L38))</f>
        <v>CG-1035</v>
      </c>
      <c r="E38" s="26" t="str">
        <f aca="false">IF(L38="","",IF(INDEX(cg_PayeeType,MATCH(D38,cg_ID,0))="Business",INDEX(cg_Business,MATCH(D38,cg_ID,0)),INDEX(ps_Name,L38)))</f>
        <v>Hector Rosales</v>
      </c>
      <c r="F38" s="40" t="str">
        <f aca="false">IF(L38="","",INDEX(cg_Routing,MATCH(D38,cg_ID,0)))</f>
        <v>XXXXX2069</v>
      </c>
      <c r="G38" s="40" t="str">
        <f aca="false">IF(L38="","",INDEX(cg_Account,MATCH(D38,cg_ID,0)))</f>
        <v>XXXX5401</v>
      </c>
      <c r="H38" s="28" t="n">
        <f aca="false">IF(L38="","",INDEX(ps_Total,L38))</f>
        <v>224.66</v>
      </c>
      <c r="I38" s="40" t="str">
        <f aca="false">IF(L38="","",EntryDesc)</f>
        <v>CG PAY</v>
      </c>
      <c r="J38" s="26" t="str">
        <f aca="false">IF(L38="","","Caregiver services "&amp;TEXT(WeekStart,"mmm d")&amp;" to "&amp;TEXT(WeekEnd,"mmm d"))</f>
        <v>Caregiver services Sep 14 to Sep 20</v>
      </c>
      <c r="K38" s="42" t="n">
        <f aca="false">IFERROR(SMALL(ps_KeyPPD,26),"")</f>
        <v>40</v>
      </c>
      <c r="L38" s="42" t="n">
        <f aca="false">IF(K38="","",MATCH(K38,ps_KeyPPD,0))</f>
        <v>35</v>
      </c>
    </row>
    <row r="39" customFormat="false" ht="15" hidden="false" customHeight="false" outlineLevel="0" collapsed="false">
      <c r="A39" s="36" t="n">
        <f aca="false">IF(L39="","",27)</f>
        <v>27</v>
      </c>
      <c r="B39" s="40" t="str">
        <f aca="false">IF(L39="","","PPD")</f>
        <v>PPD</v>
      </c>
      <c r="C39" s="52" t="n">
        <f aca="false">IF(L39="","",IF(INDEX(cg_AcctKind,MATCH(D39,cg_ID,0))="Savings",32,22))</f>
        <v>22</v>
      </c>
      <c r="D39" s="40" t="str">
        <f aca="false">IF(L39="","",INDEX(ps_ID,L39))</f>
        <v>CG-1036</v>
      </c>
      <c r="E39" s="26" t="str">
        <f aca="false">IF(L39="","",IF(INDEX(cg_PayeeType,MATCH(D39,cg_ID,0))="Business",INDEX(cg_Business,MATCH(D39,cg_ID,0)),INDEX(ps_Name,L39)))</f>
        <v>Kendra Acosta</v>
      </c>
      <c r="F39" s="40" t="str">
        <f aca="false">IF(L39="","",INDEX(cg_Routing,MATCH(D39,cg_ID,0)))</f>
        <v>XXXXX5989</v>
      </c>
      <c r="G39" s="40" t="str">
        <f aca="false">IF(L39="","",INDEX(cg_Account,MATCH(D39,cg_ID,0)))</f>
        <v>XXXX6735</v>
      </c>
      <c r="H39" s="28" t="n">
        <f aca="false">IF(L39="","",INDEX(ps_Total,L39))</f>
        <v>800.9</v>
      </c>
      <c r="I39" s="40" t="str">
        <f aca="false">IF(L39="","",EntryDesc)</f>
        <v>CG PAY</v>
      </c>
      <c r="J39" s="26" t="str">
        <f aca="false">IF(L39="","","Caregiver services "&amp;TEXT(WeekStart,"mmm d")&amp;" to "&amp;TEXT(WeekEnd,"mmm d"))</f>
        <v>Caregiver services Sep 14 to Sep 20</v>
      </c>
      <c r="K39" s="42" t="n">
        <f aca="false">IFERROR(SMALL(ps_KeyPPD,27),"")</f>
        <v>41</v>
      </c>
      <c r="L39" s="42" t="n">
        <f aca="false">IF(K39="","",MATCH(K39,ps_KeyPPD,0))</f>
        <v>36</v>
      </c>
    </row>
    <row r="40" customFormat="false" ht="15" hidden="false" customHeight="false" outlineLevel="0" collapsed="false">
      <c r="A40" s="36" t="n">
        <f aca="false">IF(L40="","",28)</f>
        <v>28</v>
      </c>
      <c r="B40" s="40" t="str">
        <f aca="false">IF(L40="","","PPD")</f>
        <v>PPD</v>
      </c>
      <c r="C40" s="52" t="n">
        <f aca="false">IF(L40="","",IF(INDEX(cg_AcctKind,MATCH(D40,cg_ID,0))="Savings",32,22))</f>
        <v>22</v>
      </c>
      <c r="D40" s="40" t="str">
        <f aca="false">IF(L40="","",INDEX(ps_ID,L40))</f>
        <v>CG-1037</v>
      </c>
      <c r="E40" s="26" t="str">
        <f aca="false">IF(L40="","",IF(INDEX(cg_PayeeType,MATCH(D40,cg_ID,0))="Business",INDEX(cg_Business,MATCH(D40,cg_ID,0)),INDEX(ps_Name,L40)))</f>
        <v>Josefina Simmons</v>
      </c>
      <c r="F40" s="40" t="str">
        <f aca="false">IF(L40="","",INDEX(cg_Routing,MATCH(D40,cg_ID,0)))</f>
        <v>XXXXX2089</v>
      </c>
      <c r="G40" s="40" t="str">
        <f aca="false">IF(L40="","",INDEX(cg_Account,MATCH(D40,cg_ID,0)))</f>
        <v>XXXX1033</v>
      </c>
      <c r="H40" s="28" t="n">
        <f aca="false">IF(L40="","",INDEX(ps_Total,L40))</f>
        <v>390.08</v>
      </c>
      <c r="I40" s="40" t="str">
        <f aca="false">IF(L40="","",EntryDesc)</f>
        <v>CG PAY</v>
      </c>
      <c r="J40" s="26" t="str">
        <f aca="false">IF(L40="","","Caregiver services "&amp;TEXT(WeekStart,"mmm d")&amp;" to "&amp;TEXT(WeekEnd,"mmm d"))</f>
        <v>Caregiver services Sep 14 to Sep 20</v>
      </c>
      <c r="K40" s="42" t="n">
        <f aca="false">IFERROR(SMALL(ps_KeyPPD,28),"")</f>
        <v>42</v>
      </c>
      <c r="L40" s="42" t="n">
        <f aca="false">IF(K40="","",MATCH(K40,ps_KeyPPD,0))</f>
        <v>37</v>
      </c>
    </row>
    <row r="41" customFormat="false" ht="15" hidden="false" customHeight="false" outlineLevel="0" collapsed="false">
      <c r="A41" s="36" t="n">
        <f aca="false">IF(L41="","",29)</f>
        <v>29</v>
      </c>
      <c r="B41" s="40" t="str">
        <f aca="false">IF(L41="","","PPD")</f>
        <v>PPD</v>
      </c>
      <c r="C41" s="52" t="n">
        <f aca="false">IF(L41="","",IF(INDEX(cg_AcctKind,MATCH(D41,cg_ID,0))="Savings",32,22))</f>
        <v>22</v>
      </c>
      <c r="D41" s="40" t="str">
        <f aca="false">IF(L41="","",INDEX(ps_ID,L41))</f>
        <v>CG-1038</v>
      </c>
      <c r="E41" s="26" t="str">
        <f aca="false">IF(L41="","",IF(INDEX(cg_PayeeType,MATCH(D41,cg_ID,0))="Business",INDEX(cg_Business,MATCH(D41,cg_ID,0)),INDEX(ps_Name,L41)))</f>
        <v>Zora Burrell</v>
      </c>
      <c r="F41" s="40" t="str">
        <f aca="false">IF(L41="","",INDEX(cg_Routing,MATCH(D41,cg_ID,0)))</f>
        <v>XXXXX8938</v>
      </c>
      <c r="G41" s="40" t="str">
        <f aca="false">IF(L41="","",INDEX(cg_Account,MATCH(D41,cg_ID,0)))</f>
        <v>XXXX5664</v>
      </c>
      <c r="H41" s="28" t="n">
        <f aca="false">IF(L41="","",INDEX(ps_Total,L41))</f>
        <v>102</v>
      </c>
      <c r="I41" s="40" t="str">
        <f aca="false">IF(L41="","",EntryDesc)</f>
        <v>CG PAY</v>
      </c>
      <c r="J41" s="26" t="str">
        <f aca="false">IF(L41="","","Caregiver services "&amp;TEXT(WeekStart,"mmm d")&amp;" to "&amp;TEXT(WeekEnd,"mmm d"))</f>
        <v>Caregiver services Sep 14 to Sep 20</v>
      </c>
      <c r="K41" s="42" t="n">
        <f aca="false">IFERROR(SMALL(ps_KeyPPD,29),"")</f>
        <v>43</v>
      </c>
      <c r="L41" s="42" t="n">
        <f aca="false">IF(K41="","",MATCH(K41,ps_KeyPPD,0))</f>
        <v>38</v>
      </c>
    </row>
    <row r="42" customFormat="false" ht="15" hidden="false" customHeight="false" outlineLevel="0" collapsed="false">
      <c r="A42" s="36" t="n">
        <f aca="false">IF(L42="","",30)</f>
        <v>30</v>
      </c>
      <c r="B42" s="40" t="str">
        <f aca="false">IF(L42="","","PPD")</f>
        <v>PPD</v>
      </c>
      <c r="C42" s="52" t="n">
        <f aca="false">IF(L42="","",IF(INDEX(cg_AcctKind,MATCH(D42,cg_ID,0))="Savings",32,22))</f>
        <v>22</v>
      </c>
      <c r="D42" s="40" t="str">
        <f aca="false">IF(L42="","",INDEX(ps_ID,L42))</f>
        <v>CG-1041</v>
      </c>
      <c r="E42" s="26" t="str">
        <f aca="false">IF(L42="","",IF(INDEX(cg_PayeeType,MATCH(D42,cg_ID,0))="Business",INDEX(cg_Business,MATCH(D42,cg_ID,0)),INDEX(ps_Name,L42)))</f>
        <v>Yolanda Vance</v>
      </c>
      <c r="F42" s="40" t="str">
        <f aca="false">IF(L42="","",INDEX(cg_Routing,MATCH(D42,cg_ID,0)))</f>
        <v>XXXXX1548</v>
      </c>
      <c r="G42" s="40" t="str">
        <f aca="false">IF(L42="","",INDEX(cg_Account,MATCH(D42,cg_ID,0)))</f>
        <v>XXXX2329</v>
      </c>
      <c r="H42" s="28" t="n">
        <f aca="false">IF(L42="","",INDEX(ps_Total,L42))</f>
        <v>168.94</v>
      </c>
      <c r="I42" s="40" t="str">
        <f aca="false">IF(L42="","",EntryDesc)</f>
        <v>CG PAY</v>
      </c>
      <c r="J42" s="26" t="str">
        <f aca="false">IF(L42="","","Caregiver services "&amp;TEXT(WeekStart,"mmm d")&amp;" to "&amp;TEXT(WeekEnd,"mmm d"))</f>
        <v>Caregiver services Sep 14 to Sep 20</v>
      </c>
      <c r="K42" s="42" t="n">
        <f aca="false">IFERROR(SMALL(ps_KeyPPD,30),"")</f>
        <v>46</v>
      </c>
      <c r="L42" s="42" t="n">
        <f aca="false">IF(K42="","",MATCH(K42,ps_KeyPPD,0))</f>
        <v>41</v>
      </c>
    </row>
    <row r="43" customFormat="false" ht="15" hidden="false" customHeight="false" outlineLevel="0" collapsed="false">
      <c r="A43" s="36" t="n">
        <f aca="false">IF(L43="","",31)</f>
        <v>31</v>
      </c>
      <c r="B43" s="40" t="str">
        <f aca="false">IF(L43="","","PPD")</f>
        <v>PPD</v>
      </c>
      <c r="C43" s="52" t="n">
        <f aca="false">IF(L43="","",IF(INDEX(cg_AcctKind,MATCH(D43,cg_ID,0))="Savings",32,22))</f>
        <v>22</v>
      </c>
      <c r="D43" s="40" t="str">
        <f aca="false">IF(L43="","",INDEX(ps_ID,L43))</f>
        <v>CG-1042</v>
      </c>
      <c r="E43" s="26" t="str">
        <f aca="false">IF(L43="","",IF(INDEX(cg_PayeeType,MATCH(D43,cg_ID,0))="Business",INDEX(cg_Business,MATCH(D43,cg_ID,0)),INDEX(ps_Name,L43)))</f>
        <v>Desmond Overton</v>
      </c>
      <c r="F43" s="40" t="str">
        <f aca="false">IF(L43="","",INDEX(cg_Routing,MATCH(D43,cg_ID,0)))</f>
        <v>XXXXX4276</v>
      </c>
      <c r="G43" s="40" t="str">
        <f aca="false">IF(L43="","",INDEX(cg_Account,MATCH(D43,cg_ID,0)))</f>
        <v>XXXX4619</v>
      </c>
      <c r="H43" s="28" t="n">
        <f aca="false">IF(L43="","",INDEX(ps_Total,L43))</f>
        <v>204</v>
      </c>
      <c r="I43" s="40" t="str">
        <f aca="false">IF(L43="","",EntryDesc)</f>
        <v>CG PAY</v>
      </c>
      <c r="J43" s="26" t="str">
        <f aca="false">IF(L43="","","Caregiver services "&amp;TEXT(WeekStart,"mmm d")&amp;" to "&amp;TEXT(WeekEnd,"mmm d"))</f>
        <v>Caregiver services Sep 14 to Sep 20</v>
      </c>
      <c r="K43" s="42" t="n">
        <f aca="false">IFERROR(SMALL(ps_KeyPPD,31),"")</f>
        <v>47</v>
      </c>
      <c r="L43" s="42" t="n">
        <f aca="false">IF(K43="","",MATCH(K43,ps_KeyPPD,0))</f>
        <v>42</v>
      </c>
    </row>
    <row r="44" customFormat="false" ht="15" hidden="false" customHeight="false" outlineLevel="0" collapsed="false">
      <c r="A44" s="36" t="n">
        <f aca="false">IF(L44="","",32)</f>
        <v>32</v>
      </c>
      <c r="B44" s="40" t="str">
        <f aca="false">IF(L44="","","PPD")</f>
        <v>PPD</v>
      </c>
      <c r="C44" s="52" t="n">
        <f aca="false">IF(L44="","",IF(INDEX(cg_AcctKind,MATCH(D44,cg_ID,0))="Savings",32,22))</f>
        <v>22</v>
      </c>
      <c r="D44" s="40" t="str">
        <f aca="false">IF(L44="","",INDEX(ps_ID,L44))</f>
        <v>CG-1044</v>
      </c>
      <c r="E44" s="26" t="str">
        <f aca="false">IF(L44="","",IF(INDEX(cg_PayeeType,MATCH(D44,cg_ID,0))="Business",INDEX(cg_Business,MATCH(D44,cg_ID,0)),INDEX(ps_Name,L44)))</f>
        <v>Selena Quintero</v>
      </c>
      <c r="F44" s="40" t="str">
        <f aca="false">IF(L44="","",INDEX(cg_Routing,MATCH(D44,cg_ID,0)))</f>
        <v>XXXXX1027</v>
      </c>
      <c r="G44" s="40" t="str">
        <f aca="false">IF(L44="","",INDEX(cg_Account,MATCH(D44,cg_ID,0)))</f>
        <v>XXXX6053</v>
      </c>
      <c r="H44" s="28" t="n">
        <f aca="false">IF(L44="","",INDEX(ps_Total,L44))</f>
        <v>170</v>
      </c>
      <c r="I44" s="40" t="str">
        <f aca="false">IF(L44="","",EntryDesc)</f>
        <v>CG PAY</v>
      </c>
      <c r="J44" s="26" t="str">
        <f aca="false">IF(L44="","","Caregiver services "&amp;TEXT(WeekStart,"mmm d")&amp;" to "&amp;TEXT(WeekEnd,"mmm d"))</f>
        <v>Caregiver services Sep 14 to Sep 20</v>
      </c>
      <c r="K44" s="42" t="n">
        <f aca="false">IFERROR(SMALL(ps_KeyPPD,32),"")</f>
        <v>49</v>
      </c>
      <c r="L44" s="42" t="n">
        <f aca="false">IF(K44="","",MATCH(K44,ps_KeyPPD,0))</f>
        <v>44</v>
      </c>
    </row>
    <row r="45" customFormat="false" ht="15" hidden="false" customHeight="false" outlineLevel="0" collapsed="false">
      <c r="A45" s="36" t="str">
        <f aca="false">IF(L45="","",33)</f>
        <v/>
      </c>
      <c r="B45" s="40" t="str">
        <f aca="false">IF(L45="","","PPD")</f>
        <v/>
      </c>
      <c r="C45" s="52" t="str">
        <f aca="false">IF(L45="","",IF(INDEX(cg_AcctKind,MATCH(D45,cg_ID,0))="Savings",32,22))</f>
        <v/>
      </c>
      <c r="D45" s="40" t="str">
        <f aca="false">IF(L45="","",INDEX(ps_ID,L45))</f>
        <v/>
      </c>
      <c r="E45" s="26" t="str">
        <f aca="false">IF(L45="","",IF(INDEX(cg_PayeeType,MATCH(D45,cg_ID,0))="Business",INDEX(cg_Business,MATCH(D45,cg_ID,0)),INDEX(ps_Name,L45)))</f>
        <v/>
      </c>
      <c r="F45" s="40" t="str">
        <f aca="false">IF(L45="","",INDEX(cg_Routing,MATCH(D45,cg_ID,0)))</f>
        <v/>
      </c>
      <c r="G45" s="40" t="str">
        <f aca="false">IF(L45="","",INDEX(cg_Account,MATCH(D45,cg_ID,0)))</f>
        <v/>
      </c>
      <c r="H45" s="28" t="str">
        <f aca="false">IF(L45="","",INDEX(ps_Total,L45))</f>
        <v/>
      </c>
      <c r="I45" s="40" t="str">
        <f aca="false">IF(L45="","",EntryDesc)</f>
        <v/>
      </c>
      <c r="J45" s="26" t="str">
        <f aca="false">IF(L45="","","Caregiver services "&amp;TEXT(WeekStart,"mmm d")&amp;" to "&amp;TEXT(WeekEnd,"mmm d"))</f>
        <v/>
      </c>
      <c r="K45" s="42" t="str">
        <f aca="false">IFERROR(SMALL(ps_KeyPPD,33),"")</f>
        <v/>
      </c>
      <c r="L45" s="42" t="str">
        <f aca="false">IF(K45="","",MATCH(K45,ps_KeyPPD,0))</f>
        <v/>
      </c>
    </row>
    <row r="46" customFormat="false" ht="15" hidden="false" customHeight="false" outlineLevel="0" collapsed="false">
      <c r="A46" s="36" t="str">
        <f aca="false">IF(L46="","",34)</f>
        <v/>
      </c>
      <c r="B46" s="40" t="str">
        <f aca="false">IF(L46="","","PPD")</f>
        <v/>
      </c>
      <c r="C46" s="52" t="str">
        <f aca="false">IF(L46="","",IF(INDEX(cg_AcctKind,MATCH(D46,cg_ID,0))="Savings",32,22))</f>
        <v/>
      </c>
      <c r="D46" s="40" t="str">
        <f aca="false">IF(L46="","",INDEX(ps_ID,L46))</f>
        <v/>
      </c>
      <c r="E46" s="26" t="str">
        <f aca="false">IF(L46="","",IF(INDEX(cg_PayeeType,MATCH(D46,cg_ID,0))="Business",INDEX(cg_Business,MATCH(D46,cg_ID,0)),INDEX(ps_Name,L46)))</f>
        <v/>
      </c>
      <c r="F46" s="40" t="str">
        <f aca="false">IF(L46="","",INDEX(cg_Routing,MATCH(D46,cg_ID,0)))</f>
        <v/>
      </c>
      <c r="G46" s="40" t="str">
        <f aca="false">IF(L46="","",INDEX(cg_Account,MATCH(D46,cg_ID,0)))</f>
        <v/>
      </c>
      <c r="H46" s="28" t="str">
        <f aca="false">IF(L46="","",INDEX(ps_Total,L46))</f>
        <v/>
      </c>
      <c r="I46" s="40" t="str">
        <f aca="false">IF(L46="","",EntryDesc)</f>
        <v/>
      </c>
      <c r="J46" s="26" t="str">
        <f aca="false">IF(L46="","","Caregiver services "&amp;TEXT(WeekStart,"mmm d")&amp;" to "&amp;TEXT(WeekEnd,"mmm d"))</f>
        <v/>
      </c>
      <c r="K46" s="42" t="str">
        <f aca="false">IFERROR(SMALL(ps_KeyPPD,34),"")</f>
        <v/>
      </c>
      <c r="L46" s="42" t="str">
        <f aca="false">IF(K46="","",MATCH(K46,ps_KeyPPD,0))</f>
        <v/>
      </c>
    </row>
    <row r="47" customFormat="false" ht="15" hidden="false" customHeight="false" outlineLevel="0" collapsed="false">
      <c r="A47" s="36" t="str">
        <f aca="false">IF(L47="","",35)</f>
        <v/>
      </c>
      <c r="B47" s="40" t="str">
        <f aca="false">IF(L47="","","PPD")</f>
        <v/>
      </c>
      <c r="C47" s="52" t="str">
        <f aca="false">IF(L47="","",IF(INDEX(cg_AcctKind,MATCH(D47,cg_ID,0))="Savings",32,22))</f>
        <v/>
      </c>
      <c r="D47" s="40" t="str">
        <f aca="false">IF(L47="","",INDEX(ps_ID,L47))</f>
        <v/>
      </c>
      <c r="E47" s="26" t="str">
        <f aca="false">IF(L47="","",IF(INDEX(cg_PayeeType,MATCH(D47,cg_ID,0))="Business",INDEX(cg_Business,MATCH(D47,cg_ID,0)),INDEX(ps_Name,L47)))</f>
        <v/>
      </c>
      <c r="F47" s="40" t="str">
        <f aca="false">IF(L47="","",INDEX(cg_Routing,MATCH(D47,cg_ID,0)))</f>
        <v/>
      </c>
      <c r="G47" s="40" t="str">
        <f aca="false">IF(L47="","",INDEX(cg_Account,MATCH(D47,cg_ID,0)))</f>
        <v/>
      </c>
      <c r="H47" s="28" t="str">
        <f aca="false">IF(L47="","",INDEX(ps_Total,L47))</f>
        <v/>
      </c>
      <c r="I47" s="40" t="str">
        <f aca="false">IF(L47="","",EntryDesc)</f>
        <v/>
      </c>
      <c r="J47" s="26" t="str">
        <f aca="false">IF(L47="","","Caregiver services "&amp;TEXT(WeekStart,"mmm d")&amp;" to "&amp;TEXT(WeekEnd,"mmm d"))</f>
        <v/>
      </c>
      <c r="K47" s="42" t="str">
        <f aca="false">IFERROR(SMALL(ps_KeyPPD,35),"")</f>
        <v/>
      </c>
      <c r="L47" s="42" t="str">
        <f aca="false">IF(K47="","",MATCH(K47,ps_KeyPPD,0))</f>
        <v/>
      </c>
    </row>
    <row r="48" customFormat="false" ht="15" hidden="false" customHeight="false" outlineLevel="0" collapsed="false">
      <c r="A48" s="36" t="str">
        <f aca="false">IF(L48="","",36)</f>
        <v/>
      </c>
      <c r="B48" s="40" t="str">
        <f aca="false">IF(L48="","","PPD")</f>
        <v/>
      </c>
      <c r="C48" s="52" t="str">
        <f aca="false">IF(L48="","",IF(INDEX(cg_AcctKind,MATCH(D48,cg_ID,0))="Savings",32,22))</f>
        <v/>
      </c>
      <c r="D48" s="40" t="str">
        <f aca="false">IF(L48="","",INDEX(ps_ID,L48))</f>
        <v/>
      </c>
      <c r="E48" s="26" t="str">
        <f aca="false">IF(L48="","",IF(INDEX(cg_PayeeType,MATCH(D48,cg_ID,0))="Business",INDEX(cg_Business,MATCH(D48,cg_ID,0)),INDEX(ps_Name,L48)))</f>
        <v/>
      </c>
      <c r="F48" s="40" t="str">
        <f aca="false">IF(L48="","",INDEX(cg_Routing,MATCH(D48,cg_ID,0)))</f>
        <v/>
      </c>
      <c r="G48" s="40" t="str">
        <f aca="false">IF(L48="","",INDEX(cg_Account,MATCH(D48,cg_ID,0)))</f>
        <v/>
      </c>
      <c r="H48" s="28" t="str">
        <f aca="false">IF(L48="","",INDEX(ps_Total,L48))</f>
        <v/>
      </c>
      <c r="I48" s="40" t="str">
        <f aca="false">IF(L48="","",EntryDesc)</f>
        <v/>
      </c>
      <c r="J48" s="26" t="str">
        <f aca="false">IF(L48="","","Caregiver services "&amp;TEXT(WeekStart,"mmm d")&amp;" to "&amp;TEXT(WeekEnd,"mmm d"))</f>
        <v/>
      </c>
      <c r="K48" s="42" t="str">
        <f aca="false">IFERROR(SMALL(ps_KeyPPD,36),"")</f>
        <v/>
      </c>
      <c r="L48" s="42" t="str">
        <f aca="false">IF(K48="","",MATCH(K48,ps_KeyPPD,0))</f>
        <v/>
      </c>
    </row>
    <row r="49" customFormat="false" ht="15" hidden="false" customHeight="false" outlineLevel="0" collapsed="false">
      <c r="A49" s="36" t="str">
        <f aca="false">IF(L49="","",37)</f>
        <v/>
      </c>
      <c r="B49" s="40" t="str">
        <f aca="false">IF(L49="","","PPD")</f>
        <v/>
      </c>
      <c r="C49" s="52" t="str">
        <f aca="false">IF(L49="","",IF(INDEX(cg_AcctKind,MATCH(D49,cg_ID,0))="Savings",32,22))</f>
        <v/>
      </c>
      <c r="D49" s="40" t="str">
        <f aca="false">IF(L49="","",INDEX(ps_ID,L49))</f>
        <v/>
      </c>
      <c r="E49" s="26" t="str">
        <f aca="false">IF(L49="","",IF(INDEX(cg_PayeeType,MATCH(D49,cg_ID,0))="Business",INDEX(cg_Business,MATCH(D49,cg_ID,0)),INDEX(ps_Name,L49)))</f>
        <v/>
      </c>
      <c r="F49" s="40" t="str">
        <f aca="false">IF(L49="","",INDEX(cg_Routing,MATCH(D49,cg_ID,0)))</f>
        <v/>
      </c>
      <c r="G49" s="40" t="str">
        <f aca="false">IF(L49="","",INDEX(cg_Account,MATCH(D49,cg_ID,0)))</f>
        <v/>
      </c>
      <c r="H49" s="28" t="str">
        <f aca="false">IF(L49="","",INDEX(ps_Total,L49))</f>
        <v/>
      </c>
      <c r="I49" s="40" t="str">
        <f aca="false">IF(L49="","",EntryDesc)</f>
        <v/>
      </c>
      <c r="J49" s="26" t="str">
        <f aca="false">IF(L49="","","Caregiver services "&amp;TEXT(WeekStart,"mmm d")&amp;" to "&amp;TEXT(WeekEnd,"mmm d"))</f>
        <v/>
      </c>
      <c r="K49" s="42" t="str">
        <f aca="false">IFERROR(SMALL(ps_KeyPPD,37),"")</f>
        <v/>
      </c>
      <c r="L49" s="42" t="str">
        <f aca="false">IF(K49="","",MATCH(K49,ps_KeyPPD,0))</f>
        <v/>
      </c>
    </row>
    <row r="50" customFormat="false" ht="15" hidden="false" customHeight="false" outlineLevel="0" collapsed="false">
      <c r="A50" s="36" t="str">
        <f aca="false">IF(L50="","",38)</f>
        <v/>
      </c>
      <c r="B50" s="40" t="str">
        <f aca="false">IF(L50="","","PPD")</f>
        <v/>
      </c>
      <c r="C50" s="52" t="str">
        <f aca="false">IF(L50="","",IF(INDEX(cg_AcctKind,MATCH(D50,cg_ID,0))="Savings",32,22))</f>
        <v/>
      </c>
      <c r="D50" s="40" t="str">
        <f aca="false">IF(L50="","",INDEX(ps_ID,L50))</f>
        <v/>
      </c>
      <c r="E50" s="26" t="str">
        <f aca="false">IF(L50="","",IF(INDEX(cg_PayeeType,MATCH(D50,cg_ID,0))="Business",INDEX(cg_Business,MATCH(D50,cg_ID,0)),INDEX(ps_Name,L50)))</f>
        <v/>
      </c>
      <c r="F50" s="40" t="str">
        <f aca="false">IF(L50="","",INDEX(cg_Routing,MATCH(D50,cg_ID,0)))</f>
        <v/>
      </c>
      <c r="G50" s="40" t="str">
        <f aca="false">IF(L50="","",INDEX(cg_Account,MATCH(D50,cg_ID,0)))</f>
        <v/>
      </c>
      <c r="H50" s="28" t="str">
        <f aca="false">IF(L50="","",INDEX(ps_Total,L50))</f>
        <v/>
      </c>
      <c r="I50" s="40" t="str">
        <f aca="false">IF(L50="","",EntryDesc)</f>
        <v/>
      </c>
      <c r="J50" s="26" t="str">
        <f aca="false">IF(L50="","","Caregiver services "&amp;TEXT(WeekStart,"mmm d")&amp;" to "&amp;TEXT(WeekEnd,"mmm d"))</f>
        <v/>
      </c>
      <c r="K50" s="42" t="str">
        <f aca="false">IFERROR(SMALL(ps_KeyPPD,38),"")</f>
        <v/>
      </c>
      <c r="L50" s="42" t="str">
        <f aca="false">IF(K50="","",MATCH(K50,ps_KeyPPD,0))</f>
        <v/>
      </c>
    </row>
    <row r="51" customFormat="false" ht="15" hidden="false" customHeight="false" outlineLevel="0" collapsed="false">
      <c r="A51" s="36" t="str">
        <f aca="false">IF(L51="","",39)</f>
        <v/>
      </c>
      <c r="B51" s="40" t="str">
        <f aca="false">IF(L51="","","PPD")</f>
        <v/>
      </c>
      <c r="C51" s="52" t="str">
        <f aca="false">IF(L51="","",IF(INDEX(cg_AcctKind,MATCH(D51,cg_ID,0))="Savings",32,22))</f>
        <v/>
      </c>
      <c r="D51" s="40" t="str">
        <f aca="false">IF(L51="","",INDEX(ps_ID,L51))</f>
        <v/>
      </c>
      <c r="E51" s="26" t="str">
        <f aca="false">IF(L51="","",IF(INDEX(cg_PayeeType,MATCH(D51,cg_ID,0))="Business",INDEX(cg_Business,MATCH(D51,cg_ID,0)),INDEX(ps_Name,L51)))</f>
        <v/>
      </c>
      <c r="F51" s="40" t="str">
        <f aca="false">IF(L51="","",INDEX(cg_Routing,MATCH(D51,cg_ID,0)))</f>
        <v/>
      </c>
      <c r="G51" s="40" t="str">
        <f aca="false">IF(L51="","",INDEX(cg_Account,MATCH(D51,cg_ID,0)))</f>
        <v/>
      </c>
      <c r="H51" s="28" t="str">
        <f aca="false">IF(L51="","",INDEX(ps_Total,L51))</f>
        <v/>
      </c>
      <c r="I51" s="40" t="str">
        <f aca="false">IF(L51="","",EntryDesc)</f>
        <v/>
      </c>
      <c r="J51" s="26" t="str">
        <f aca="false">IF(L51="","","Caregiver services "&amp;TEXT(WeekStart,"mmm d")&amp;" to "&amp;TEXT(WeekEnd,"mmm d"))</f>
        <v/>
      </c>
      <c r="K51" s="42" t="str">
        <f aca="false">IFERROR(SMALL(ps_KeyPPD,39),"")</f>
        <v/>
      </c>
      <c r="L51" s="42" t="str">
        <f aca="false">IF(K51="","",MATCH(K51,ps_KeyPPD,0))</f>
        <v/>
      </c>
    </row>
    <row r="52" customFormat="false" ht="15" hidden="false" customHeight="false" outlineLevel="0" collapsed="false">
      <c r="A52" s="36" t="str">
        <f aca="false">IF(L52="","",40)</f>
        <v/>
      </c>
      <c r="B52" s="40" t="str">
        <f aca="false">IF(L52="","","PPD")</f>
        <v/>
      </c>
      <c r="C52" s="52" t="str">
        <f aca="false">IF(L52="","",IF(INDEX(cg_AcctKind,MATCH(D52,cg_ID,0))="Savings",32,22))</f>
        <v/>
      </c>
      <c r="D52" s="40" t="str">
        <f aca="false">IF(L52="","",INDEX(ps_ID,L52))</f>
        <v/>
      </c>
      <c r="E52" s="26" t="str">
        <f aca="false">IF(L52="","",IF(INDEX(cg_PayeeType,MATCH(D52,cg_ID,0))="Business",INDEX(cg_Business,MATCH(D52,cg_ID,0)),INDEX(ps_Name,L52)))</f>
        <v/>
      </c>
      <c r="F52" s="40" t="str">
        <f aca="false">IF(L52="","",INDEX(cg_Routing,MATCH(D52,cg_ID,0)))</f>
        <v/>
      </c>
      <c r="G52" s="40" t="str">
        <f aca="false">IF(L52="","",INDEX(cg_Account,MATCH(D52,cg_ID,0)))</f>
        <v/>
      </c>
      <c r="H52" s="28" t="str">
        <f aca="false">IF(L52="","",INDEX(ps_Total,L52))</f>
        <v/>
      </c>
      <c r="I52" s="40" t="str">
        <f aca="false">IF(L52="","",EntryDesc)</f>
        <v/>
      </c>
      <c r="J52" s="26" t="str">
        <f aca="false">IF(L52="","","Caregiver services "&amp;TEXT(WeekStart,"mmm d")&amp;" to "&amp;TEXT(WeekEnd,"mmm d"))</f>
        <v/>
      </c>
      <c r="K52" s="42" t="str">
        <f aca="false">IFERROR(SMALL(ps_KeyPPD,40),"")</f>
        <v/>
      </c>
      <c r="L52" s="42" t="str">
        <f aca="false">IF(K52="","",MATCH(K52,ps_KeyPPD,0))</f>
        <v/>
      </c>
    </row>
    <row r="53" customFormat="false" ht="15" hidden="false" customHeight="false" outlineLevel="0" collapsed="false">
      <c r="A53" s="36" t="str">
        <f aca="false">IF(L53="","",41)</f>
        <v/>
      </c>
      <c r="B53" s="40" t="str">
        <f aca="false">IF(L53="","","PPD")</f>
        <v/>
      </c>
      <c r="C53" s="52" t="str">
        <f aca="false">IF(L53="","",IF(INDEX(cg_AcctKind,MATCH(D53,cg_ID,0))="Savings",32,22))</f>
        <v/>
      </c>
      <c r="D53" s="40" t="str">
        <f aca="false">IF(L53="","",INDEX(ps_ID,L53))</f>
        <v/>
      </c>
      <c r="E53" s="26" t="str">
        <f aca="false">IF(L53="","",IF(INDEX(cg_PayeeType,MATCH(D53,cg_ID,0))="Business",INDEX(cg_Business,MATCH(D53,cg_ID,0)),INDEX(ps_Name,L53)))</f>
        <v/>
      </c>
      <c r="F53" s="40" t="str">
        <f aca="false">IF(L53="","",INDEX(cg_Routing,MATCH(D53,cg_ID,0)))</f>
        <v/>
      </c>
      <c r="G53" s="40" t="str">
        <f aca="false">IF(L53="","",INDEX(cg_Account,MATCH(D53,cg_ID,0)))</f>
        <v/>
      </c>
      <c r="H53" s="28" t="str">
        <f aca="false">IF(L53="","",INDEX(ps_Total,L53))</f>
        <v/>
      </c>
      <c r="I53" s="40" t="str">
        <f aca="false">IF(L53="","",EntryDesc)</f>
        <v/>
      </c>
      <c r="J53" s="26" t="str">
        <f aca="false">IF(L53="","","Caregiver services "&amp;TEXT(WeekStart,"mmm d")&amp;" to "&amp;TEXT(WeekEnd,"mmm d"))</f>
        <v/>
      </c>
      <c r="K53" s="42" t="str">
        <f aca="false">IFERROR(SMALL(ps_KeyPPD,41),"")</f>
        <v/>
      </c>
      <c r="L53" s="42" t="str">
        <f aca="false">IF(K53="","",MATCH(K53,ps_KeyPPD,0))</f>
        <v/>
      </c>
    </row>
    <row r="54" customFormat="false" ht="15" hidden="false" customHeight="false" outlineLevel="0" collapsed="false">
      <c r="A54" s="36" t="str">
        <f aca="false">IF(L54="","",42)</f>
        <v/>
      </c>
      <c r="B54" s="40" t="str">
        <f aca="false">IF(L54="","","PPD")</f>
        <v/>
      </c>
      <c r="C54" s="52" t="str">
        <f aca="false">IF(L54="","",IF(INDEX(cg_AcctKind,MATCH(D54,cg_ID,0))="Savings",32,22))</f>
        <v/>
      </c>
      <c r="D54" s="40" t="str">
        <f aca="false">IF(L54="","",INDEX(ps_ID,L54))</f>
        <v/>
      </c>
      <c r="E54" s="26" t="str">
        <f aca="false">IF(L54="","",IF(INDEX(cg_PayeeType,MATCH(D54,cg_ID,0))="Business",INDEX(cg_Business,MATCH(D54,cg_ID,0)),INDEX(ps_Name,L54)))</f>
        <v/>
      </c>
      <c r="F54" s="40" t="str">
        <f aca="false">IF(L54="","",INDEX(cg_Routing,MATCH(D54,cg_ID,0)))</f>
        <v/>
      </c>
      <c r="G54" s="40" t="str">
        <f aca="false">IF(L54="","",INDEX(cg_Account,MATCH(D54,cg_ID,0)))</f>
        <v/>
      </c>
      <c r="H54" s="28" t="str">
        <f aca="false">IF(L54="","",INDEX(ps_Total,L54))</f>
        <v/>
      </c>
      <c r="I54" s="40" t="str">
        <f aca="false">IF(L54="","",EntryDesc)</f>
        <v/>
      </c>
      <c r="J54" s="26" t="str">
        <f aca="false">IF(L54="","","Caregiver services "&amp;TEXT(WeekStart,"mmm d")&amp;" to "&amp;TEXT(WeekEnd,"mmm d"))</f>
        <v/>
      </c>
      <c r="K54" s="42" t="str">
        <f aca="false">IFERROR(SMALL(ps_KeyPPD,42),"")</f>
        <v/>
      </c>
      <c r="L54" s="42" t="str">
        <f aca="false">IF(K54="","",MATCH(K54,ps_KeyPPD,0))</f>
        <v/>
      </c>
    </row>
    <row r="55" customFormat="false" ht="15" hidden="false" customHeight="false" outlineLevel="0" collapsed="false">
      <c r="A55" s="36" t="str">
        <f aca="false">IF(L55="","",43)</f>
        <v/>
      </c>
      <c r="B55" s="40" t="str">
        <f aca="false">IF(L55="","","PPD")</f>
        <v/>
      </c>
      <c r="C55" s="52" t="str">
        <f aca="false">IF(L55="","",IF(INDEX(cg_AcctKind,MATCH(D55,cg_ID,0))="Savings",32,22))</f>
        <v/>
      </c>
      <c r="D55" s="40" t="str">
        <f aca="false">IF(L55="","",INDEX(ps_ID,L55))</f>
        <v/>
      </c>
      <c r="E55" s="26" t="str">
        <f aca="false">IF(L55="","",IF(INDEX(cg_PayeeType,MATCH(D55,cg_ID,0))="Business",INDEX(cg_Business,MATCH(D55,cg_ID,0)),INDEX(ps_Name,L55)))</f>
        <v/>
      </c>
      <c r="F55" s="40" t="str">
        <f aca="false">IF(L55="","",INDEX(cg_Routing,MATCH(D55,cg_ID,0)))</f>
        <v/>
      </c>
      <c r="G55" s="40" t="str">
        <f aca="false">IF(L55="","",INDEX(cg_Account,MATCH(D55,cg_ID,0)))</f>
        <v/>
      </c>
      <c r="H55" s="28" t="str">
        <f aca="false">IF(L55="","",INDEX(ps_Total,L55))</f>
        <v/>
      </c>
      <c r="I55" s="40" t="str">
        <f aca="false">IF(L55="","",EntryDesc)</f>
        <v/>
      </c>
      <c r="J55" s="26" t="str">
        <f aca="false">IF(L55="","","Caregiver services "&amp;TEXT(WeekStart,"mmm d")&amp;" to "&amp;TEXT(WeekEnd,"mmm d"))</f>
        <v/>
      </c>
      <c r="K55" s="42" t="str">
        <f aca="false">IFERROR(SMALL(ps_KeyPPD,43),"")</f>
        <v/>
      </c>
      <c r="L55" s="42" t="str">
        <f aca="false">IF(K55="","",MATCH(K55,ps_KeyPPD,0))</f>
        <v/>
      </c>
    </row>
    <row r="56" customFormat="false" ht="15" hidden="false" customHeight="false" outlineLevel="0" collapsed="false">
      <c r="A56" s="36" t="str">
        <f aca="false">IF(L56="","",44)</f>
        <v/>
      </c>
      <c r="B56" s="40" t="str">
        <f aca="false">IF(L56="","","PPD")</f>
        <v/>
      </c>
      <c r="C56" s="52" t="str">
        <f aca="false">IF(L56="","",IF(INDEX(cg_AcctKind,MATCH(D56,cg_ID,0))="Savings",32,22))</f>
        <v/>
      </c>
      <c r="D56" s="40" t="str">
        <f aca="false">IF(L56="","",INDEX(ps_ID,L56))</f>
        <v/>
      </c>
      <c r="E56" s="26" t="str">
        <f aca="false">IF(L56="","",IF(INDEX(cg_PayeeType,MATCH(D56,cg_ID,0))="Business",INDEX(cg_Business,MATCH(D56,cg_ID,0)),INDEX(ps_Name,L56)))</f>
        <v/>
      </c>
      <c r="F56" s="40" t="str">
        <f aca="false">IF(L56="","",INDEX(cg_Routing,MATCH(D56,cg_ID,0)))</f>
        <v/>
      </c>
      <c r="G56" s="40" t="str">
        <f aca="false">IF(L56="","",INDEX(cg_Account,MATCH(D56,cg_ID,0)))</f>
        <v/>
      </c>
      <c r="H56" s="28" t="str">
        <f aca="false">IF(L56="","",INDEX(ps_Total,L56))</f>
        <v/>
      </c>
      <c r="I56" s="40" t="str">
        <f aca="false">IF(L56="","",EntryDesc)</f>
        <v/>
      </c>
      <c r="J56" s="26" t="str">
        <f aca="false">IF(L56="","","Caregiver services "&amp;TEXT(WeekStart,"mmm d")&amp;" to "&amp;TEXT(WeekEnd,"mmm d"))</f>
        <v/>
      </c>
      <c r="K56" s="42" t="str">
        <f aca="false">IFERROR(SMALL(ps_KeyPPD,44),"")</f>
        <v/>
      </c>
      <c r="L56" s="42" t="str">
        <f aca="false">IF(K56="","",MATCH(K56,ps_KeyPPD,0))</f>
        <v/>
      </c>
    </row>
    <row r="57" customFormat="false" ht="15" hidden="false" customHeight="false" outlineLevel="0" collapsed="false">
      <c r="A57" s="36" t="str">
        <f aca="false">IF(L57="","",45)</f>
        <v/>
      </c>
      <c r="B57" s="40" t="str">
        <f aca="false">IF(L57="","","PPD")</f>
        <v/>
      </c>
      <c r="C57" s="52" t="str">
        <f aca="false">IF(L57="","",IF(INDEX(cg_AcctKind,MATCH(D57,cg_ID,0))="Savings",32,22))</f>
        <v/>
      </c>
      <c r="D57" s="40" t="str">
        <f aca="false">IF(L57="","",INDEX(ps_ID,L57))</f>
        <v/>
      </c>
      <c r="E57" s="26" t="str">
        <f aca="false">IF(L57="","",IF(INDEX(cg_PayeeType,MATCH(D57,cg_ID,0))="Business",INDEX(cg_Business,MATCH(D57,cg_ID,0)),INDEX(ps_Name,L57)))</f>
        <v/>
      </c>
      <c r="F57" s="40" t="str">
        <f aca="false">IF(L57="","",INDEX(cg_Routing,MATCH(D57,cg_ID,0)))</f>
        <v/>
      </c>
      <c r="G57" s="40" t="str">
        <f aca="false">IF(L57="","",INDEX(cg_Account,MATCH(D57,cg_ID,0)))</f>
        <v/>
      </c>
      <c r="H57" s="28" t="str">
        <f aca="false">IF(L57="","",INDEX(ps_Total,L57))</f>
        <v/>
      </c>
      <c r="I57" s="40" t="str">
        <f aca="false">IF(L57="","",EntryDesc)</f>
        <v/>
      </c>
      <c r="J57" s="26" t="str">
        <f aca="false">IF(L57="","","Caregiver services "&amp;TEXT(WeekStart,"mmm d")&amp;" to "&amp;TEXT(WeekEnd,"mmm d"))</f>
        <v/>
      </c>
      <c r="K57" s="42" t="str">
        <f aca="false">IFERROR(SMALL(ps_KeyPPD,45),"")</f>
        <v/>
      </c>
      <c r="L57" s="42" t="str">
        <f aca="false">IF(K57="","",MATCH(K57,ps_KeyPPD,0))</f>
        <v/>
      </c>
    </row>
    <row r="58" customFormat="false" ht="15" hidden="false" customHeight="false" outlineLevel="0" collapsed="false">
      <c r="A58" s="36" t="str">
        <f aca="false">IF(L58="","",46)</f>
        <v/>
      </c>
      <c r="B58" s="40" t="str">
        <f aca="false">IF(L58="","","PPD")</f>
        <v/>
      </c>
      <c r="C58" s="52" t="str">
        <f aca="false">IF(L58="","",IF(INDEX(cg_AcctKind,MATCH(D58,cg_ID,0))="Savings",32,22))</f>
        <v/>
      </c>
      <c r="D58" s="40" t="str">
        <f aca="false">IF(L58="","",INDEX(ps_ID,L58))</f>
        <v/>
      </c>
      <c r="E58" s="26" t="str">
        <f aca="false">IF(L58="","",IF(INDEX(cg_PayeeType,MATCH(D58,cg_ID,0))="Business",INDEX(cg_Business,MATCH(D58,cg_ID,0)),INDEX(ps_Name,L58)))</f>
        <v/>
      </c>
      <c r="F58" s="40" t="str">
        <f aca="false">IF(L58="","",INDEX(cg_Routing,MATCH(D58,cg_ID,0)))</f>
        <v/>
      </c>
      <c r="G58" s="40" t="str">
        <f aca="false">IF(L58="","",INDEX(cg_Account,MATCH(D58,cg_ID,0)))</f>
        <v/>
      </c>
      <c r="H58" s="28" t="str">
        <f aca="false">IF(L58="","",INDEX(ps_Total,L58))</f>
        <v/>
      </c>
      <c r="I58" s="40" t="str">
        <f aca="false">IF(L58="","",EntryDesc)</f>
        <v/>
      </c>
      <c r="J58" s="26" t="str">
        <f aca="false">IF(L58="","","Caregiver services "&amp;TEXT(WeekStart,"mmm d")&amp;" to "&amp;TEXT(WeekEnd,"mmm d"))</f>
        <v/>
      </c>
      <c r="K58" s="42" t="str">
        <f aca="false">IFERROR(SMALL(ps_KeyPPD,46),"")</f>
        <v/>
      </c>
      <c r="L58" s="42" t="str">
        <f aca="false">IF(K58="","",MATCH(K58,ps_KeyPPD,0))</f>
        <v/>
      </c>
    </row>
    <row r="59" customFormat="false" ht="15" hidden="false" customHeight="false" outlineLevel="0" collapsed="false">
      <c r="A59" s="36" t="str">
        <f aca="false">IF(L59="","",47)</f>
        <v/>
      </c>
      <c r="B59" s="40" t="str">
        <f aca="false">IF(L59="","","PPD")</f>
        <v/>
      </c>
      <c r="C59" s="52" t="str">
        <f aca="false">IF(L59="","",IF(INDEX(cg_AcctKind,MATCH(D59,cg_ID,0))="Savings",32,22))</f>
        <v/>
      </c>
      <c r="D59" s="40" t="str">
        <f aca="false">IF(L59="","",INDEX(ps_ID,L59))</f>
        <v/>
      </c>
      <c r="E59" s="26" t="str">
        <f aca="false">IF(L59="","",IF(INDEX(cg_PayeeType,MATCH(D59,cg_ID,0))="Business",INDEX(cg_Business,MATCH(D59,cg_ID,0)),INDEX(ps_Name,L59)))</f>
        <v/>
      </c>
      <c r="F59" s="40" t="str">
        <f aca="false">IF(L59="","",INDEX(cg_Routing,MATCH(D59,cg_ID,0)))</f>
        <v/>
      </c>
      <c r="G59" s="40" t="str">
        <f aca="false">IF(L59="","",INDEX(cg_Account,MATCH(D59,cg_ID,0)))</f>
        <v/>
      </c>
      <c r="H59" s="28" t="str">
        <f aca="false">IF(L59="","",INDEX(ps_Total,L59))</f>
        <v/>
      </c>
      <c r="I59" s="40" t="str">
        <f aca="false">IF(L59="","",EntryDesc)</f>
        <v/>
      </c>
      <c r="J59" s="26" t="str">
        <f aca="false">IF(L59="","","Caregiver services "&amp;TEXT(WeekStart,"mmm d")&amp;" to "&amp;TEXT(WeekEnd,"mmm d"))</f>
        <v/>
      </c>
      <c r="K59" s="42" t="str">
        <f aca="false">IFERROR(SMALL(ps_KeyPPD,47),"")</f>
        <v/>
      </c>
      <c r="L59" s="42" t="str">
        <f aca="false">IF(K59="","",MATCH(K59,ps_KeyPPD,0))</f>
        <v/>
      </c>
    </row>
    <row r="60" customFormat="false" ht="15" hidden="false" customHeight="false" outlineLevel="0" collapsed="false">
      <c r="A60" s="36" t="str">
        <f aca="false">IF(L60="","",48)</f>
        <v/>
      </c>
      <c r="B60" s="40" t="str">
        <f aca="false">IF(L60="","","PPD")</f>
        <v/>
      </c>
      <c r="C60" s="52" t="str">
        <f aca="false">IF(L60="","",IF(INDEX(cg_AcctKind,MATCH(D60,cg_ID,0))="Savings",32,22))</f>
        <v/>
      </c>
      <c r="D60" s="40" t="str">
        <f aca="false">IF(L60="","",INDEX(ps_ID,L60))</f>
        <v/>
      </c>
      <c r="E60" s="26" t="str">
        <f aca="false">IF(L60="","",IF(INDEX(cg_PayeeType,MATCH(D60,cg_ID,0))="Business",INDEX(cg_Business,MATCH(D60,cg_ID,0)),INDEX(ps_Name,L60)))</f>
        <v/>
      </c>
      <c r="F60" s="40" t="str">
        <f aca="false">IF(L60="","",INDEX(cg_Routing,MATCH(D60,cg_ID,0)))</f>
        <v/>
      </c>
      <c r="G60" s="40" t="str">
        <f aca="false">IF(L60="","",INDEX(cg_Account,MATCH(D60,cg_ID,0)))</f>
        <v/>
      </c>
      <c r="H60" s="28" t="str">
        <f aca="false">IF(L60="","",INDEX(ps_Total,L60))</f>
        <v/>
      </c>
      <c r="I60" s="40" t="str">
        <f aca="false">IF(L60="","",EntryDesc)</f>
        <v/>
      </c>
      <c r="J60" s="26" t="str">
        <f aca="false">IF(L60="","","Caregiver services "&amp;TEXT(WeekStart,"mmm d")&amp;" to "&amp;TEXT(WeekEnd,"mmm d"))</f>
        <v/>
      </c>
      <c r="K60" s="42" t="str">
        <f aca="false">IFERROR(SMALL(ps_KeyPPD,48),"")</f>
        <v/>
      </c>
      <c r="L60" s="42" t="str">
        <f aca="false">IF(K60="","",MATCH(K60,ps_KeyPPD,0))</f>
        <v/>
      </c>
    </row>
    <row r="61" customFormat="false" ht="15" hidden="false" customHeight="false" outlineLevel="0" collapsed="false">
      <c r="A61" s="36" t="str">
        <f aca="false">IF(L61="","",49)</f>
        <v/>
      </c>
      <c r="B61" s="40" t="str">
        <f aca="false">IF(L61="","","PPD")</f>
        <v/>
      </c>
      <c r="C61" s="52" t="str">
        <f aca="false">IF(L61="","",IF(INDEX(cg_AcctKind,MATCH(D61,cg_ID,0))="Savings",32,22))</f>
        <v/>
      </c>
      <c r="D61" s="40" t="str">
        <f aca="false">IF(L61="","",INDEX(ps_ID,L61))</f>
        <v/>
      </c>
      <c r="E61" s="26" t="str">
        <f aca="false">IF(L61="","",IF(INDEX(cg_PayeeType,MATCH(D61,cg_ID,0))="Business",INDEX(cg_Business,MATCH(D61,cg_ID,0)),INDEX(ps_Name,L61)))</f>
        <v/>
      </c>
      <c r="F61" s="40" t="str">
        <f aca="false">IF(L61="","",INDEX(cg_Routing,MATCH(D61,cg_ID,0)))</f>
        <v/>
      </c>
      <c r="G61" s="40" t="str">
        <f aca="false">IF(L61="","",INDEX(cg_Account,MATCH(D61,cg_ID,0)))</f>
        <v/>
      </c>
      <c r="H61" s="28" t="str">
        <f aca="false">IF(L61="","",INDEX(ps_Total,L61))</f>
        <v/>
      </c>
      <c r="I61" s="40" t="str">
        <f aca="false">IF(L61="","",EntryDesc)</f>
        <v/>
      </c>
      <c r="J61" s="26" t="str">
        <f aca="false">IF(L61="","","Caregiver services "&amp;TEXT(WeekStart,"mmm d")&amp;" to "&amp;TEXT(WeekEnd,"mmm d"))</f>
        <v/>
      </c>
      <c r="K61" s="42" t="str">
        <f aca="false">IFERROR(SMALL(ps_KeyPPD,49),"")</f>
        <v/>
      </c>
      <c r="L61" s="42" t="str">
        <f aca="false">IF(K61="","",MATCH(K61,ps_KeyPPD,0))</f>
        <v/>
      </c>
    </row>
    <row r="62" customFormat="false" ht="15" hidden="false" customHeight="false" outlineLevel="0" collapsed="false">
      <c r="A62" s="36" t="str">
        <f aca="false">IF(L62="","",50)</f>
        <v/>
      </c>
      <c r="B62" s="40" t="str">
        <f aca="false">IF(L62="","","PPD")</f>
        <v/>
      </c>
      <c r="C62" s="52" t="str">
        <f aca="false">IF(L62="","",IF(INDEX(cg_AcctKind,MATCH(D62,cg_ID,0))="Savings",32,22))</f>
        <v/>
      </c>
      <c r="D62" s="40" t="str">
        <f aca="false">IF(L62="","",INDEX(ps_ID,L62))</f>
        <v/>
      </c>
      <c r="E62" s="26" t="str">
        <f aca="false">IF(L62="","",IF(INDEX(cg_PayeeType,MATCH(D62,cg_ID,0))="Business",INDEX(cg_Business,MATCH(D62,cg_ID,0)),INDEX(ps_Name,L62)))</f>
        <v/>
      </c>
      <c r="F62" s="40" t="str">
        <f aca="false">IF(L62="","",INDEX(cg_Routing,MATCH(D62,cg_ID,0)))</f>
        <v/>
      </c>
      <c r="G62" s="40" t="str">
        <f aca="false">IF(L62="","",INDEX(cg_Account,MATCH(D62,cg_ID,0)))</f>
        <v/>
      </c>
      <c r="H62" s="28" t="str">
        <f aca="false">IF(L62="","",INDEX(ps_Total,L62))</f>
        <v/>
      </c>
      <c r="I62" s="40" t="str">
        <f aca="false">IF(L62="","",EntryDesc)</f>
        <v/>
      </c>
      <c r="J62" s="26" t="str">
        <f aca="false">IF(L62="","","Caregiver services "&amp;TEXT(WeekStart,"mmm d")&amp;" to "&amp;TEXT(WeekEnd,"mmm d"))</f>
        <v/>
      </c>
      <c r="K62" s="42" t="str">
        <f aca="false">IFERROR(SMALL(ps_KeyPPD,50),"")</f>
        <v/>
      </c>
      <c r="L62" s="42" t="str">
        <f aca="false">IF(K62="","",MATCH(K62,ps_KeyPPD,0))</f>
        <v/>
      </c>
    </row>
    <row r="63" customFormat="false" ht="15" hidden="false" customHeight="false" outlineLevel="0" collapsed="false">
      <c r="A63" s="36" t="str">
        <f aca="false">IF(L63="","",51)</f>
        <v/>
      </c>
      <c r="B63" s="40" t="str">
        <f aca="false">IF(L63="","","PPD")</f>
        <v/>
      </c>
      <c r="C63" s="52" t="str">
        <f aca="false">IF(L63="","",IF(INDEX(cg_AcctKind,MATCH(D63,cg_ID,0))="Savings",32,22))</f>
        <v/>
      </c>
      <c r="D63" s="40" t="str">
        <f aca="false">IF(L63="","",INDEX(ps_ID,L63))</f>
        <v/>
      </c>
      <c r="E63" s="26" t="str">
        <f aca="false">IF(L63="","",IF(INDEX(cg_PayeeType,MATCH(D63,cg_ID,0))="Business",INDEX(cg_Business,MATCH(D63,cg_ID,0)),INDEX(ps_Name,L63)))</f>
        <v/>
      </c>
      <c r="F63" s="40" t="str">
        <f aca="false">IF(L63="","",INDEX(cg_Routing,MATCH(D63,cg_ID,0)))</f>
        <v/>
      </c>
      <c r="G63" s="40" t="str">
        <f aca="false">IF(L63="","",INDEX(cg_Account,MATCH(D63,cg_ID,0)))</f>
        <v/>
      </c>
      <c r="H63" s="28" t="str">
        <f aca="false">IF(L63="","",INDEX(ps_Total,L63))</f>
        <v/>
      </c>
      <c r="I63" s="40" t="str">
        <f aca="false">IF(L63="","",EntryDesc)</f>
        <v/>
      </c>
      <c r="J63" s="26" t="str">
        <f aca="false">IF(L63="","","Caregiver services "&amp;TEXT(WeekStart,"mmm d")&amp;" to "&amp;TEXT(WeekEnd,"mmm d"))</f>
        <v/>
      </c>
      <c r="K63" s="42" t="str">
        <f aca="false">IFERROR(SMALL(ps_KeyPPD,51),"")</f>
        <v/>
      </c>
      <c r="L63" s="42" t="str">
        <f aca="false">IF(K63="","",MATCH(K63,ps_KeyPPD,0))</f>
        <v/>
      </c>
    </row>
    <row r="64" customFormat="false" ht="15" hidden="false" customHeight="false" outlineLevel="0" collapsed="false">
      <c r="A64" s="36" t="str">
        <f aca="false">IF(L64="","",52)</f>
        <v/>
      </c>
      <c r="B64" s="40" t="str">
        <f aca="false">IF(L64="","","PPD")</f>
        <v/>
      </c>
      <c r="C64" s="52" t="str">
        <f aca="false">IF(L64="","",IF(INDEX(cg_AcctKind,MATCH(D64,cg_ID,0))="Savings",32,22))</f>
        <v/>
      </c>
      <c r="D64" s="40" t="str">
        <f aca="false">IF(L64="","",INDEX(ps_ID,L64))</f>
        <v/>
      </c>
      <c r="E64" s="26" t="str">
        <f aca="false">IF(L64="","",IF(INDEX(cg_PayeeType,MATCH(D64,cg_ID,0))="Business",INDEX(cg_Business,MATCH(D64,cg_ID,0)),INDEX(ps_Name,L64)))</f>
        <v/>
      </c>
      <c r="F64" s="40" t="str">
        <f aca="false">IF(L64="","",INDEX(cg_Routing,MATCH(D64,cg_ID,0)))</f>
        <v/>
      </c>
      <c r="G64" s="40" t="str">
        <f aca="false">IF(L64="","",INDEX(cg_Account,MATCH(D64,cg_ID,0)))</f>
        <v/>
      </c>
      <c r="H64" s="28" t="str">
        <f aca="false">IF(L64="","",INDEX(ps_Total,L64))</f>
        <v/>
      </c>
      <c r="I64" s="40" t="str">
        <f aca="false">IF(L64="","",EntryDesc)</f>
        <v/>
      </c>
      <c r="J64" s="26" t="str">
        <f aca="false">IF(L64="","","Caregiver services "&amp;TEXT(WeekStart,"mmm d")&amp;" to "&amp;TEXT(WeekEnd,"mmm d"))</f>
        <v/>
      </c>
      <c r="K64" s="42" t="str">
        <f aca="false">IFERROR(SMALL(ps_KeyPPD,52),"")</f>
        <v/>
      </c>
      <c r="L64" s="42" t="str">
        <f aca="false">IF(K64="","",MATCH(K64,ps_KeyPPD,0))</f>
        <v/>
      </c>
    </row>
    <row r="65" customFormat="false" ht="15" hidden="false" customHeight="false" outlineLevel="0" collapsed="false">
      <c r="A65" s="36" t="str">
        <f aca="false">IF(L65="","",53)</f>
        <v/>
      </c>
      <c r="B65" s="40" t="str">
        <f aca="false">IF(L65="","","PPD")</f>
        <v/>
      </c>
      <c r="C65" s="52" t="str">
        <f aca="false">IF(L65="","",IF(INDEX(cg_AcctKind,MATCH(D65,cg_ID,0))="Savings",32,22))</f>
        <v/>
      </c>
      <c r="D65" s="40" t="str">
        <f aca="false">IF(L65="","",INDEX(ps_ID,L65))</f>
        <v/>
      </c>
      <c r="E65" s="26" t="str">
        <f aca="false">IF(L65="","",IF(INDEX(cg_PayeeType,MATCH(D65,cg_ID,0))="Business",INDEX(cg_Business,MATCH(D65,cg_ID,0)),INDEX(ps_Name,L65)))</f>
        <v/>
      </c>
      <c r="F65" s="40" t="str">
        <f aca="false">IF(L65="","",INDEX(cg_Routing,MATCH(D65,cg_ID,0)))</f>
        <v/>
      </c>
      <c r="G65" s="40" t="str">
        <f aca="false">IF(L65="","",INDEX(cg_Account,MATCH(D65,cg_ID,0)))</f>
        <v/>
      </c>
      <c r="H65" s="28" t="str">
        <f aca="false">IF(L65="","",INDEX(ps_Total,L65))</f>
        <v/>
      </c>
      <c r="I65" s="40" t="str">
        <f aca="false">IF(L65="","",EntryDesc)</f>
        <v/>
      </c>
      <c r="J65" s="26" t="str">
        <f aca="false">IF(L65="","","Caregiver services "&amp;TEXT(WeekStart,"mmm d")&amp;" to "&amp;TEXT(WeekEnd,"mmm d"))</f>
        <v/>
      </c>
      <c r="K65" s="42" t="str">
        <f aca="false">IFERROR(SMALL(ps_KeyPPD,53),"")</f>
        <v/>
      </c>
      <c r="L65" s="42" t="str">
        <f aca="false">IF(K65="","",MATCH(K65,ps_KeyPPD,0))</f>
        <v/>
      </c>
    </row>
    <row r="66" customFormat="false" ht="15" hidden="false" customHeight="false" outlineLevel="0" collapsed="false">
      <c r="A66" s="36" t="str">
        <f aca="false">IF(L66="","",54)</f>
        <v/>
      </c>
      <c r="B66" s="40" t="str">
        <f aca="false">IF(L66="","","PPD")</f>
        <v/>
      </c>
      <c r="C66" s="52" t="str">
        <f aca="false">IF(L66="","",IF(INDEX(cg_AcctKind,MATCH(D66,cg_ID,0))="Savings",32,22))</f>
        <v/>
      </c>
      <c r="D66" s="40" t="str">
        <f aca="false">IF(L66="","",INDEX(ps_ID,L66))</f>
        <v/>
      </c>
      <c r="E66" s="26" t="str">
        <f aca="false">IF(L66="","",IF(INDEX(cg_PayeeType,MATCH(D66,cg_ID,0))="Business",INDEX(cg_Business,MATCH(D66,cg_ID,0)),INDEX(ps_Name,L66)))</f>
        <v/>
      </c>
      <c r="F66" s="40" t="str">
        <f aca="false">IF(L66="","",INDEX(cg_Routing,MATCH(D66,cg_ID,0)))</f>
        <v/>
      </c>
      <c r="G66" s="40" t="str">
        <f aca="false">IF(L66="","",INDEX(cg_Account,MATCH(D66,cg_ID,0)))</f>
        <v/>
      </c>
      <c r="H66" s="28" t="str">
        <f aca="false">IF(L66="","",INDEX(ps_Total,L66))</f>
        <v/>
      </c>
      <c r="I66" s="40" t="str">
        <f aca="false">IF(L66="","",EntryDesc)</f>
        <v/>
      </c>
      <c r="J66" s="26" t="str">
        <f aca="false">IF(L66="","","Caregiver services "&amp;TEXT(WeekStart,"mmm d")&amp;" to "&amp;TEXT(WeekEnd,"mmm d"))</f>
        <v/>
      </c>
      <c r="K66" s="42" t="str">
        <f aca="false">IFERROR(SMALL(ps_KeyPPD,54),"")</f>
        <v/>
      </c>
      <c r="L66" s="42" t="str">
        <f aca="false">IF(K66="","",MATCH(K66,ps_KeyPPD,0))</f>
        <v/>
      </c>
    </row>
    <row r="67" customFormat="false" ht="15" hidden="false" customHeight="false" outlineLevel="0" collapsed="false">
      <c r="A67" s="36" t="str">
        <f aca="false">IF(L67="","",55)</f>
        <v/>
      </c>
      <c r="B67" s="40" t="str">
        <f aca="false">IF(L67="","","PPD")</f>
        <v/>
      </c>
      <c r="C67" s="52" t="str">
        <f aca="false">IF(L67="","",IF(INDEX(cg_AcctKind,MATCH(D67,cg_ID,0))="Savings",32,22))</f>
        <v/>
      </c>
      <c r="D67" s="40" t="str">
        <f aca="false">IF(L67="","",INDEX(ps_ID,L67))</f>
        <v/>
      </c>
      <c r="E67" s="26" t="str">
        <f aca="false">IF(L67="","",IF(INDEX(cg_PayeeType,MATCH(D67,cg_ID,0))="Business",INDEX(cg_Business,MATCH(D67,cg_ID,0)),INDEX(ps_Name,L67)))</f>
        <v/>
      </c>
      <c r="F67" s="40" t="str">
        <f aca="false">IF(L67="","",INDEX(cg_Routing,MATCH(D67,cg_ID,0)))</f>
        <v/>
      </c>
      <c r="G67" s="40" t="str">
        <f aca="false">IF(L67="","",INDEX(cg_Account,MATCH(D67,cg_ID,0)))</f>
        <v/>
      </c>
      <c r="H67" s="28" t="str">
        <f aca="false">IF(L67="","",INDEX(ps_Total,L67))</f>
        <v/>
      </c>
      <c r="I67" s="40" t="str">
        <f aca="false">IF(L67="","",EntryDesc)</f>
        <v/>
      </c>
      <c r="J67" s="26" t="str">
        <f aca="false">IF(L67="","","Caregiver services "&amp;TEXT(WeekStart,"mmm d")&amp;" to "&amp;TEXT(WeekEnd,"mmm d"))</f>
        <v/>
      </c>
      <c r="K67" s="42" t="str">
        <f aca="false">IFERROR(SMALL(ps_KeyPPD,55),"")</f>
        <v/>
      </c>
      <c r="L67" s="42" t="str">
        <f aca="false">IF(K67="","",MATCH(K67,ps_KeyPPD,0))</f>
        <v/>
      </c>
    </row>
    <row r="68" customFormat="false" ht="15" hidden="false" customHeight="false" outlineLevel="0" collapsed="false">
      <c r="A68" s="36" t="str">
        <f aca="false">IF(L68="","",56)</f>
        <v/>
      </c>
      <c r="B68" s="40" t="str">
        <f aca="false">IF(L68="","","PPD")</f>
        <v/>
      </c>
      <c r="C68" s="52" t="str">
        <f aca="false">IF(L68="","",IF(INDEX(cg_AcctKind,MATCH(D68,cg_ID,0))="Savings",32,22))</f>
        <v/>
      </c>
      <c r="D68" s="40" t="str">
        <f aca="false">IF(L68="","",INDEX(ps_ID,L68))</f>
        <v/>
      </c>
      <c r="E68" s="26" t="str">
        <f aca="false">IF(L68="","",IF(INDEX(cg_PayeeType,MATCH(D68,cg_ID,0))="Business",INDEX(cg_Business,MATCH(D68,cg_ID,0)),INDEX(ps_Name,L68)))</f>
        <v/>
      </c>
      <c r="F68" s="40" t="str">
        <f aca="false">IF(L68="","",INDEX(cg_Routing,MATCH(D68,cg_ID,0)))</f>
        <v/>
      </c>
      <c r="G68" s="40" t="str">
        <f aca="false">IF(L68="","",INDEX(cg_Account,MATCH(D68,cg_ID,0)))</f>
        <v/>
      </c>
      <c r="H68" s="28" t="str">
        <f aca="false">IF(L68="","",INDEX(ps_Total,L68))</f>
        <v/>
      </c>
      <c r="I68" s="40" t="str">
        <f aca="false">IF(L68="","",EntryDesc)</f>
        <v/>
      </c>
      <c r="J68" s="26" t="str">
        <f aca="false">IF(L68="","","Caregiver services "&amp;TEXT(WeekStart,"mmm d")&amp;" to "&amp;TEXT(WeekEnd,"mmm d"))</f>
        <v/>
      </c>
      <c r="K68" s="42" t="str">
        <f aca="false">IFERROR(SMALL(ps_KeyPPD,56),"")</f>
        <v/>
      </c>
      <c r="L68" s="42" t="str">
        <f aca="false">IF(K68="","",MATCH(K68,ps_KeyPPD,0))</f>
        <v/>
      </c>
    </row>
    <row r="69" customFormat="false" ht="15" hidden="false" customHeight="false" outlineLevel="0" collapsed="false">
      <c r="A69" s="36" t="str">
        <f aca="false">IF(L69="","",57)</f>
        <v/>
      </c>
      <c r="B69" s="40" t="str">
        <f aca="false">IF(L69="","","PPD")</f>
        <v/>
      </c>
      <c r="C69" s="52" t="str">
        <f aca="false">IF(L69="","",IF(INDEX(cg_AcctKind,MATCH(D69,cg_ID,0))="Savings",32,22))</f>
        <v/>
      </c>
      <c r="D69" s="40" t="str">
        <f aca="false">IF(L69="","",INDEX(ps_ID,L69))</f>
        <v/>
      </c>
      <c r="E69" s="26" t="str">
        <f aca="false">IF(L69="","",IF(INDEX(cg_PayeeType,MATCH(D69,cg_ID,0))="Business",INDEX(cg_Business,MATCH(D69,cg_ID,0)),INDEX(ps_Name,L69)))</f>
        <v/>
      </c>
      <c r="F69" s="40" t="str">
        <f aca="false">IF(L69="","",INDEX(cg_Routing,MATCH(D69,cg_ID,0)))</f>
        <v/>
      </c>
      <c r="G69" s="40" t="str">
        <f aca="false">IF(L69="","",INDEX(cg_Account,MATCH(D69,cg_ID,0)))</f>
        <v/>
      </c>
      <c r="H69" s="28" t="str">
        <f aca="false">IF(L69="","",INDEX(ps_Total,L69))</f>
        <v/>
      </c>
      <c r="I69" s="40" t="str">
        <f aca="false">IF(L69="","",EntryDesc)</f>
        <v/>
      </c>
      <c r="J69" s="26" t="str">
        <f aca="false">IF(L69="","","Caregiver services "&amp;TEXT(WeekStart,"mmm d")&amp;" to "&amp;TEXT(WeekEnd,"mmm d"))</f>
        <v/>
      </c>
      <c r="K69" s="42" t="str">
        <f aca="false">IFERROR(SMALL(ps_KeyPPD,57),"")</f>
        <v/>
      </c>
      <c r="L69" s="42" t="str">
        <f aca="false">IF(K69="","",MATCH(K69,ps_KeyPPD,0))</f>
        <v/>
      </c>
    </row>
    <row r="70" customFormat="false" ht="15" hidden="false" customHeight="false" outlineLevel="0" collapsed="false">
      <c r="A70" s="36" t="str">
        <f aca="false">IF(L70="","",58)</f>
        <v/>
      </c>
      <c r="B70" s="40" t="str">
        <f aca="false">IF(L70="","","PPD")</f>
        <v/>
      </c>
      <c r="C70" s="52" t="str">
        <f aca="false">IF(L70="","",IF(INDEX(cg_AcctKind,MATCH(D70,cg_ID,0))="Savings",32,22))</f>
        <v/>
      </c>
      <c r="D70" s="40" t="str">
        <f aca="false">IF(L70="","",INDEX(ps_ID,L70))</f>
        <v/>
      </c>
      <c r="E70" s="26" t="str">
        <f aca="false">IF(L70="","",IF(INDEX(cg_PayeeType,MATCH(D70,cg_ID,0))="Business",INDEX(cg_Business,MATCH(D70,cg_ID,0)),INDEX(ps_Name,L70)))</f>
        <v/>
      </c>
      <c r="F70" s="40" t="str">
        <f aca="false">IF(L70="","",INDEX(cg_Routing,MATCH(D70,cg_ID,0)))</f>
        <v/>
      </c>
      <c r="G70" s="40" t="str">
        <f aca="false">IF(L70="","",INDEX(cg_Account,MATCH(D70,cg_ID,0)))</f>
        <v/>
      </c>
      <c r="H70" s="28" t="str">
        <f aca="false">IF(L70="","",INDEX(ps_Total,L70))</f>
        <v/>
      </c>
      <c r="I70" s="40" t="str">
        <f aca="false">IF(L70="","",EntryDesc)</f>
        <v/>
      </c>
      <c r="J70" s="26" t="str">
        <f aca="false">IF(L70="","","Caregiver services "&amp;TEXT(WeekStart,"mmm d")&amp;" to "&amp;TEXT(WeekEnd,"mmm d"))</f>
        <v/>
      </c>
      <c r="K70" s="42" t="str">
        <f aca="false">IFERROR(SMALL(ps_KeyPPD,58),"")</f>
        <v/>
      </c>
      <c r="L70" s="42" t="str">
        <f aca="false">IF(K70="","",MATCH(K70,ps_KeyPPD,0))</f>
        <v/>
      </c>
    </row>
    <row r="71" customFormat="false" ht="15" hidden="false" customHeight="false" outlineLevel="0" collapsed="false">
      <c r="A71" s="36" t="str">
        <f aca="false">IF(L71="","",59)</f>
        <v/>
      </c>
      <c r="B71" s="40" t="str">
        <f aca="false">IF(L71="","","PPD")</f>
        <v/>
      </c>
      <c r="C71" s="52" t="str">
        <f aca="false">IF(L71="","",IF(INDEX(cg_AcctKind,MATCH(D71,cg_ID,0))="Savings",32,22))</f>
        <v/>
      </c>
      <c r="D71" s="40" t="str">
        <f aca="false">IF(L71="","",INDEX(ps_ID,L71))</f>
        <v/>
      </c>
      <c r="E71" s="26" t="str">
        <f aca="false">IF(L71="","",IF(INDEX(cg_PayeeType,MATCH(D71,cg_ID,0))="Business",INDEX(cg_Business,MATCH(D71,cg_ID,0)),INDEX(ps_Name,L71)))</f>
        <v/>
      </c>
      <c r="F71" s="40" t="str">
        <f aca="false">IF(L71="","",INDEX(cg_Routing,MATCH(D71,cg_ID,0)))</f>
        <v/>
      </c>
      <c r="G71" s="40" t="str">
        <f aca="false">IF(L71="","",INDEX(cg_Account,MATCH(D71,cg_ID,0)))</f>
        <v/>
      </c>
      <c r="H71" s="28" t="str">
        <f aca="false">IF(L71="","",INDEX(ps_Total,L71))</f>
        <v/>
      </c>
      <c r="I71" s="40" t="str">
        <f aca="false">IF(L71="","",EntryDesc)</f>
        <v/>
      </c>
      <c r="J71" s="26" t="str">
        <f aca="false">IF(L71="","","Caregiver services "&amp;TEXT(WeekStart,"mmm d")&amp;" to "&amp;TEXT(WeekEnd,"mmm d"))</f>
        <v/>
      </c>
      <c r="K71" s="42" t="str">
        <f aca="false">IFERROR(SMALL(ps_KeyPPD,59),"")</f>
        <v/>
      </c>
      <c r="L71" s="42" t="str">
        <f aca="false">IF(K71="","",MATCH(K71,ps_KeyPPD,0))</f>
        <v/>
      </c>
    </row>
    <row r="72" customFormat="false" ht="15" hidden="false" customHeight="false" outlineLevel="0" collapsed="false">
      <c r="A72" s="36" t="str">
        <f aca="false">IF(L72="","",60)</f>
        <v/>
      </c>
      <c r="B72" s="40" t="str">
        <f aca="false">IF(L72="","","PPD")</f>
        <v/>
      </c>
      <c r="C72" s="52" t="str">
        <f aca="false">IF(L72="","",IF(INDEX(cg_AcctKind,MATCH(D72,cg_ID,0))="Savings",32,22))</f>
        <v/>
      </c>
      <c r="D72" s="40" t="str">
        <f aca="false">IF(L72="","",INDEX(ps_ID,L72))</f>
        <v/>
      </c>
      <c r="E72" s="26" t="str">
        <f aca="false">IF(L72="","",IF(INDEX(cg_PayeeType,MATCH(D72,cg_ID,0))="Business",INDEX(cg_Business,MATCH(D72,cg_ID,0)),INDEX(ps_Name,L72)))</f>
        <v/>
      </c>
      <c r="F72" s="40" t="str">
        <f aca="false">IF(L72="","",INDEX(cg_Routing,MATCH(D72,cg_ID,0)))</f>
        <v/>
      </c>
      <c r="G72" s="40" t="str">
        <f aca="false">IF(L72="","",INDEX(cg_Account,MATCH(D72,cg_ID,0)))</f>
        <v/>
      </c>
      <c r="H72" s="28" t="str">
        <f aca="false">IF(L72="","",INDEX(ps_Total,L72))</f>
        <v/>
      </c>
      <c r="I72" s="40" t="str">
        <f aca="false">IF(L72="","",EntryDesc)</f>
        <v/>
      </c>
      <c r="J72" s="26" t="str">
        <f aca="false">IF(L72="","","Caregiver services "&amp;TEXT(WeekStart,"mmm d")&amp;" to "&amp;TEXT(WeekEnd,"mmm d"))</f>
        <v/>
      </c>
      <c r="K72" s="42" t="str">
        <f aca="false">IFERROR(SMALL(ps_KeyPPD,60),"")</f>
        <v/>
      </c>
      <c r="L72" s="42" t="str">
        <f aca="false">IF(K72="","",MATCH(K72,ps_KeyPPD,0))</f>
        <v/>
      </c>
    </row>
    <row r="73" customFormat="false" ht="15" hidden="false" customHeight="false" outlineLevel="0" collapsed="false">
      <c r="A73" s="53"/>
      <c r="B73" s="53"/>
      <c r="C73" s="53"/>
      <c r="D73" s="53"/>
      <c r="E73" s="53" t="s">
        <v>244</v>
      </c>
      <c r="F73" s="53"/>
      <c r="G73" s="53"/>
      <c r="H73" s="54" t="n">
        <f aca="false">SUM(H13:H72)</f>
        <v>11128</v>
      </c>
      <c r="I73" s="53"/>
      <c r="J73" s="53"/>
    </row>
    <row r="75" customFormat="false" ht="21.75" hidden="false" customHeight="true" outlineLevel="0" collapsed="false">
      <c r="A75" s="3" t="s">
        <v>245</v>
      </c>
    </row>
    <row r="76" customFormat="false" ht="30" hidden="false" customHeight="true" outlineLevel="0" collapsed="false">
      <c r="A76" s="34" t="s">
        <v>233</v>
      </c>
      <c r="B76" s="34" t="s">
        <v>214</v>
      </c>
      <c r="C76" s="34" t="s">
        <v>234</v>
      </c>
      <c r="D76" s="34" t="s">
        <v>235</v>
      </c>
      <c r="E76" s="34" t="s">
        <v>236</v>
      </c>
      <c r="F76" s="34" t="s">
        <v>237</v>
      </c>
      <c r="G76" s="34" t="s">
        <v>238</v>
      </c>
      <c r="H76" s="34" t="s">
        <v>239</v>
      </c>
      <c r="I76" s="34" t="s">
        <v>240</v>
      </c>
      <c r="J76" s="34" t="s">
        <v>241</v>
      </c>
      <c r="K76" s="34" t="s">
        <v>242</v>
      </c>
      <c r="L76" s="34" t="s">
        <v>243</v>
      </c>
    </row>
    <row r="77" customFormat="false" ht="15" hidden="false" customHeight="false" outlineLevel="0" collapsed="false">
      <c r="A77" s="36" t="n">
        <f aca="false">IF(L77="","",1)</f>
        <v>1</v>
      </c>
      <c r="B77" s="40" t="str">
        <f aca="false">IF(L77="","","CCD")</f>
        <v>CCD</v>
      </c>
      <c r="C77" s="52" t="n">
        <f aca="false">IF(L77="","",IF(INDEX(cg_AcctKind,MATCH(D77,cg_ID,0))="Savings",32,22))</f>
        <v>22</v>
      </c>
      <c r="D77" s="40" t="str">
        <f aca="false">IF(L77="","",INDEX(ps_ID,L77))</f>
        <v>CG-1012</v>
      </c>
      <c r="E77" s="26" t="str">
        <f aca="false">IF(L77="","",IF(INDEX(cg_PayeeType,MATCH(D77,cg_ID,0))="Business",INDEX(cg_Business,MATCH(D77,cg_ID,0)),INDEX(ps_Name,L77)))</f>
        <v>Easley Caregiving LLC</v>
      </c>
      <c r="F77" s="40" t="str">
        <f aca="false">IF(L77="","",INDEX(cg_Routing,MATCH(D77,cg_ID,0)))</f>
        <v>XXXXX4218</v>
      </c>
      <c r="G77" s="40" t="str">
        <f aca="false">IF(L77="","",INDEX(cg_Account,MATCH(D77,cg_ID,0)))</f>
        <v>XXXX3178</v>
      </c>
      <c r="H77" s="28" t="n">
        <f aca="false">IF(L77="","",INDEX(ps_Total,L77))</f>
        <v>279.6</v>
      </c>
      <c r="I77" s="40" t="str">
        <f aca="false">IF(L77="","",EntryDesc)</f>
        <v>CG PAY</v>
      </c>
      <c r="J77" s="26" t="str">
        <f aca="false">IF(L77="","","Caregiver services "&amp;TEXT(WeekStart,"mmm d")&amp;" to "&amp;TEXT(WeekEnd,"mmm d"))</f>
        <v>Caregiver services Sep 14 to Sep 20</v>
      </c>
      <c r="K77" s="42" t="n">
        <f aca="false">IFERROR(SMALL(ps_KeyCCD,1),"")</f>
        <v>17</v>
      </c>
      <c r="L77" s="42" t="n">
        <f aca="false">IF(K77="","",MATCH(K77,ps_KeyCCD,0))</f>
        <v>12</v>
      </c>
    </row>
    <row r="78" customFormat="false" ht="15" hidden="false" customHeight="false" outlineLevel="0" collapsed="false">
      <c r="A78" s="36" t="n">
        <f aca="false">IF(L78="","",2)</f>
        <v>2</v>
      </c>
      <c r="B78" s="40" t="str">
        <f aca="false">IF(L78="","","CCD")</f>
        <v>CCD</v>
      </c>
      <c r="C78" s="52" t="n">
        <f aca="false">IF(L78="","",IF(INDEX(cg_AcctKind,MATCH(D78,cg_ID,0))="Savings",32,22))</f>
        <v>22</v>
      </c>
      <c r="D78" s="40" t="str">
        <f aca="false">IF(L78="","",INDEX(ps_ID,L78))</f>
        <v>CG-1014</v>
      </c>
      <c r="E78" s="26" t="str">
        <f aca="false">IF(L78="","",IF(INDEX(cg_PayeeType,MATCH(D78,cg_ID,0))="Business",INDEX(cg_Business,MATCH(D78,cg_ID,0)),INDEX(ps_Name,L78)))</f>
        <v>Haddad Care Services LLC</v>
      </c>
      <c r="F78" s="40" t="str">
        <f aca="false">IF(L78="","",INDEX(cg_Routing,MATCH(D78,cg_ID,0)))</f>
        <v>XXXXX8598</v>
      </c>
      <c r="G78" s="40" t="str">
        <f aca="false">IF(L78="","",INDEX(cg_Account,MATCH(D78,cg_ID,0)))</f>
        <v>XXXX2287</v>
      </c>
      <c r="H78" s="28" t="n">
        <f aca="false">IF(L78="","",INDEX(ps_Total,L78))</f>
        <v>248.98</v>
      </c>
      <c r="I78" s="40" t="str">
        <f aca="false">IF(L78="","",EntryDesc)</f>
        <v>CG PAY</v>
      </c>
      <c r="J78" s="26" t="str">
        <f aca="false">IF(L78="","","Caregiver services "&amp;TEXT(WeekStart,"mmm d")&amp;" to "&amp;TEXT(WeekEnd,"mmm d"))</f>
        <v>Caregiver services Sep 14 to Sep 20</v>
      </c>
      <c r="K78" s="42" t="n">
        <f aca="false">IFERROR(SMALL(ps_KeyCCD,2),"")</f>
        <v>19</v>
      </c>
      <c r="L78" s="42" t="n">
        <f aca="false">IF(K78="","",MATCH(K78,ps_KeyCCD,0))</f>
        <v>14</v>
      </c>
    </row>
    <row r="79" customFormat="false" ht="15" hidden="false" customHeight="false" outlineLevel="0" collapsed="false">
      <c r="A79" s="36" t="n">
        <f aca="false">IF(L79="","",3)</f>
        <v>3</v>
      </c>
      <c r="B79" s="40" t="str">
        <f aca="false">IF(L79="","","CCD")</f>
        <v>CCD</v>
      </c>
      <c r="C79" s="52" t="n">
        <f aca="false">IF(L79="","",IF(INDEX(cg_AcctKind,MATCH(D79,cg_ID,0))="Savings",32,22))</f>
        <v>22</v>
      </c>
      <c r="D79" s="40" t="str">
        <f aca="false">IF(L79="","",INDEX(ps_ID,L79))</f>
        <v>CG-1022</v>
      </c>
      <c r="E79" s="26" t="str">
        <f aca="false">IF(L79="","",IF(INDEX(cg_PayeeType,MATCH(D79,cg_ID,0))="Business",INDEX(cg_Business,MATCH(D79,cg_ID,0)),INDEX(ps_Name,L79)))</f>
        <v>Ledbetter Care Partners LLC</v>
      </c>
      <c r="F79" s="40" t="str">
        <f aca="false">IF(L79="","",INDEX(cg_Routing,MATCH(D79,cg_ID,0)))</f>
        <v>XXXXX6541</v>
      </c>
      <c r="G79" s="40" t="str">
        <f aca="false">IF(L79="","",INDEX(cg_Account,MATCH(D79,cg_ID,0)))</f>
        <v>XXXX4873</v>
      </c>
      <c r="H79" s="28" t="n">
        <f aca="false">IF(L79="","",INDEX(ps_Total,L79))</f>
        <v>369</v>
      </c>
      <c r="I79" s="40" t="str">
        <f aca="false">IF(L79="","",EntryDesc)</f>
        <v>CG PAY</v>
      </c>
      <c r="J79" s="26" t="str">
        <f aca="false">IF(L79="","","Caregiver services "&amp;TEXT(WeekStart,"mmm d")&amp;" to "&amp;TEXT(WeekEnd,"mmm d"))</f>
        <v>Caregiver services Sep 14 to Sep 20</v>
      </c>
      <c r="K79" s="42" t="n">
        <f aca="false">IFERROR(SMALL(ps_KeyCCD,3),"")</f>
        <v>27</v>
      </c>
      <c r="L79" s="42" t="n">
        <f aca="false">IF(K79="","",MATCH(K79,ps_KeyCCD,0))</f>
        <v>22</v>
      </c>
    </row>
    <row r="80" customFormat="false" ht="15" hidden="false" customHeight="false" outlineLevel="0" collapsed="false">
      <c r="A80" s="36" t="n">
        <f aca="false">IF(L80="","",4)</f>
        <v>4</v>
      </c>
      <c r="B80" s="40" t="str">
        <f aca="false">IF(L80="","","CCD")</f>
        <v>CCD</v>
      </c>
      <c r="C80" s="52" t="n">
        <f aca="false">IF(L80="","",IF(INDEX(cg_AcctKind,MATCH(D80,cg_ID,0))="Savings",32,22))</f>
        <v>22</v>
      </c>
      <c r="D80" s="40" t="str">
        <f aca="false">IF(L80="","",INDEX(ps_ID,L80))</f>
        <v>CG-1025</v>
      </c>
      <c r="E80" s="26" t="str">
        <f aca="false">IF(L80="","",IF(INDEX(cg_PayeeType,MATCH(D80,cg_ID,0))="Business",INDEX(cg_Business,MATCH(D80,cg_ID,0)),INDEX(ps_Name,L80)))</f>
        <v>Fulton Care Services LLC</v>
      </c>
      <c r="F80" s="40" t="str">
        <f aca="false">IF(L80="","",INDEX(cg_Routing,MATCH(D80,cg_ID,0)))</f>
        <v>XXXXX7305</v>
      </c>
      <c r="G80" s="40" t="str">
        <f aca="false">IF(L80="","",INDEX(cg_Account,MATCH(D80,cg_ID,0)))</f>
        <v>XXXX3241</v>
      </c>
      <c r="H80" s="28" t="n">
        <f aca="false">IF(L80="","",INDEX(ps_Total,L80))</f>
        <v>554.12</v>
      </c>
      <c r="I80" s="40" t="str">
        <f aca="false">IF(L80="","",EntryDesc)</f>
        <v>CG PAY</v>
      </c>
      <c r="J80" s="26" t="str">
        <f aca="false">IF(L80="","","Caregiver services "&amp;TEXT(WeekStart,"mmm d")&amp;" to "&amp;TEXT(WeekEnd,"mmm d"))</f>
        <v>Caregiver services Sep 14 to Sep 20</v>
      </c>
      <c r="K80" s="42" t="n">
        <f aca="false">IFERROR(SMALL(ps_KeyCCD,4),"")</f>
        <v>30</v>
      </c>
      <c r="L80" s="42" t="n">
        <f aca="false">IF(K80="","",MATCH(K80,ps_KeyCCD,0))</f>
        <v>25</v>
      </c>
    </row>
    <row r="81" customFormat="false" ht="15" hidden="false" customHeight="false" outlineLevel="0" collapsed="false">
      <c r="A81" s="36" t="n">
        <f aca="false">IF(L81="","",5)</f>
        <v>5</v>
      </c>
      <c r="B81" s="40" t="str">
        <f aca="false">IF(L81="","","CCD")</f>
        <v>CCD</v>
      </c>
      <c r="C81" s="52" t="n">
        <f aca="false">IF(L81="","",IF(INDEX(cg_AcctKind,MATCH(D81,cg_ID,0))="Savings",32,22))</f>
        <v>22</v>
      </c>
      <c r="D81" s="40" t="str">
        <f aca="false">IF(L81="","",INDEX(ps_ID,L81))</f>
        <v>CG-1029</v>
      </c>
      <c r="E81" s="26" t="str">
        <f aca="false">IF(L81="","",IF(INDEX(cg_PayeeType,MATCH(D81,cg_ID,0))="Business",INDEX(cg_Business,MATCH(D81,cg_ID,0)),INDEX(ps_Name,L81)))</f>
        <v>Parrish Care Partners LLC</v>
      </c>
      <c r="F81" s="40" t="str">
        <f aca="false">IF(L81="","",INDEX(cg_Routing,MATCH(D81,cg_ID,0)))</f>
        <v>XXXXX1669</v>
      </c>
      <c r="G81" s="40" t="str">
        <f aca="false">IF(L81="","",INDEX(cg_Account,MATCH(D81,cg_ID,0)))</f>
        <v>XXXX4571</v>
      </c>
      <c r="H81" s="28" t="n">
        <f aca="false">IF(L81="","",INDEX(ps_Total,L81))</f>
        <v>319.34</v>
      </c>
      <c r="I81" s="40" t="str">
        <f aca="false">IF(L81="","",EntryDesc)</f>
        <v>CG PAY</v>
      </c>
      <c r="J81" s="26" t="str">
        <f aca="false">IF(L81="","","Caregiver services "&amp;TEXT(WeekStart,"mmm d")&amp;" to "&amp;TEXT(WeekEnd,"mmm d"))</f>
        <v>Caregiver services Sep 14 to Sep 20</v>
      </c>
      <c r="K81" s="42" t="n">
        <f aca="false">IFERROR(SMALL(ps_KeyCCD,5),"")</f>
        <v>34</v>
      </c>
      <c r="L81" s="42" t="n">
        <f aca="false">IF(K81="","",MATCH(K81,ps_KeyCCD,0))</f>
        <v>29</v>
      </c>
    </row>
    <row r="82" customFormat="false" ht="15" hidden="false" customHeight="false" outlineLevel="0" collapsed="false">
      <c r="A82" s="36" t="n">
        <f aca="false">IF(L82="","",6)</f>
        <v>6</v>
      </c>
      <c r="B82" s="40" t="str">
        <f aca="false">IF(L82="","","CCD")</f>
        <v>CCD</v>
      </c>
      <c r="C82" s="52" t="n">
        <f aca="false">IF(L82="","",IF(INDEX(cg_AcctKind,MATCH(D82,cg_ID,0))="Savings",32,22))</f>
        <v>22</v>
      </c>
      <c r="D82" s="40" t="str">
        <f aca="false">IF(L82="","",INDEX(ps_ID,L82))</f>
        <v>CG-1031</v>
      </c>
      <c r="E82" s="26" t="str">
        <f aca="false">IF(L82="","",IF(INDEX(cg_PayeeType,MATCH(D82,cg_ID,0))="Business",INDEX(cg_Business,MATCH(D82,cg_ID,0)),INDEX(ps_Name,L82)))</f>
        <v>Mendoza Home Support LLC</v>
      </c>
      <c r="F82" s="40" t="str">
        <f aca="false">IF(L82="","",INDEX(cg_Routing,MATCH(D82,cg_ID,0)))</f>
        <v>XXXXX4533</v>
      </c>
      <c r="G82" s="40" t="str">
        <f aca="false">IF(L82="","",INDEX(cg_Account,MATCH(D82,cg_ID,0)))</f>
        <v>XXXX8895</v>
      </c>
      <c r="H82" s="28" t="n">
        <f aca="false">IF(L82="","",INDEX(ps_Total,L82))</f>
        <v>319</v>
      </c>
      <c r="I82" s="40" t="str">
        <f aca="false">IF(L82="","",EntryDesc)</f>
        <v>CG PAY</v>
      </c>
      <c r="J82" s="26" t="str">
        <f aca="false">IF(L82="","","Caregiver services "&amp;TEXT(WeekStart,"mmm d")&amp;" to "&amp;TEXT(WeekEnd,"mmm d"))</f>
        <v>Caregiver services Sep 14 to Sep 20</v>
      </c>
      <c r="K82" s="42" t="n">
        <f aca="false">IFERROR(SMALL(ps_KeyCCD,6),"")</f>
        <v>36</v>
      </c>
      <c r="L82" s="42" t="n">
        <f aca="false">IF(K82="","",MATCH(K82,ps_KeyCCD,0))</f>
        <v>31</v>
      </c>
    </row>
    <row r="83" customFormat="false" ht="15" hidden="false" customHeight="false" outlineLevel="0" collapsed="false">
      <c r="A83" s="36" t="n">
        <f aca="false">IF(L83="","",7)</f>
        <v>7</v>
      </c>
      <c r="B83" s="40" t="str">
        <f aca="false">IF(L83="","","CCD")</f>
        <v>CCD</v>
      </c>
      <c r="C83" s="52" t="n">
        <f aca="false">IF(L83="","",IF(INDEX(cg_AcctKind,MATCH(D83,cg_ID,0))="Savings",32,22))</f>
        <v>22</v>
      </c>
      <c r="D83" s="40" t="str">
        <f aca="false">IF(L83="","",INDEX(ps_ID,L83))</f>
        <v>CG-1040</v>
      </c>
      <c r="E83" s="26" t="str">
        <f aca="false">IF(L83="","",IF(INDEX(cg_PayeeType,MATCH(D83,cg_ID,0))="Business",INDEX(cg_Business,MATCH(D83,cg_ID,0)),INDEX(ps_Name,L83)))</f>
        <v>Waddell Home Support LLC</v>
      </c>
      <c r="F83" s="40" t="str">
        <f aca="false">IF(L83="","",INDEX(cg_Routing,MATCH(D83,cg_ID,0)))</f>
        <v>XXXXX5407</v>
      </c>
      <c r="G83" s="40" t="str">
        <f aca="false">IF(L83="","",INDEX(cg_Account,MATCH(D83,cg_ID,0)))</f>
        <v>XXXX8110</v>
      </c>
      <c r="H83" s="28" t="n">
        <f aca="false">IF(L83="","",INDEX(ps_Total,L83))</f>
        <v>525.68</v>
      </c>
      <c r="I83" s="40" t="str">
        <f aca="false">IF(L83="","",EntryDesc)</f>
        <v>CG PAY</v>
      </c>
      <c r="J83" s="26" t="str">
        <f aca="false">IF(L83="","","Caregiver services "&amp;TEXT(WeekStart,"mmm d")&amp;" to "&amp;TEXT(WeekEnd,"mmm d"))</f>
        <v>Caregiver services Sep 14 to Sep 20</v>
      </c>
      <c r="K83" s="42" t="n">
        <f aca="false">IFERROR(SMALL(ps_KeyCCD,7),"")</f>
        <v>45</v>
      </c>
      <c r="L83" s="42" t="n">
        <f aca="false">IF(K83="","",MATCH(K83,ps_KeyCCD,0))</f>
        <v>40</v>
      </c>
    </row>
    <row r="84" customFormat="false" ht="15" hidden="false" customHeight="false" outlineLevel="0" collapsed="false">
      <c r="A84" s="36" t="n">
        <f aca="false">IF(L84="","",8)</f>
        <v>8</v>
      </c>
      <c r="B84" s="40" t="str">
        <f aca="false">IF(L84="","","CCD")</f>
        <v>CCD</v>
      </c>
      <c r="C84" s="52" t="n">
        <f aca="false">IF(L84="","",IF(INDEX(cg_AcctKind,MATCH(D84,cg_ID,0))="Savings",32,22))</f>
        <v>22</v>
      </c>
      <c r="D84" s="40" t="str">
        <f aca="false">IF(L84="","",INDEX(ps_ID,L84))</f>
        <v>CG-1043</v>
      </c>
      <c r="E84" s="26" t="str">
        <f aca="false">IF(L84="","",IF(INDEX(cg_PayeeType,MATCH(D84,cg_ID,0))="Business",INDEX(cg_Business,MATCH(D84,cg_ID,0)),INDEX(ps_Name,L84)))</f>
        <v>Fontaine Care Partners LLC</v>
      </c>
      <c r="F84" s="40" t="str">
        <f aca="false">IF(L84="","",INDEX(cg_Routing,MATCH(D84,cg_ID,0)))</f>
        <v>XXXXX1532</v>
      </c>
      <c r="G84" s="40" t="str">
        <f aca="false">IF(L84="","",INDEX(cg_Account,MATCH(D84,cg_ID,0)))</f>
        <v>XXXX3690</v>
      </c>
      <c r="H84" s="28" t="n">
        <f aca="false">IF(L84="","",INDEX(ps_Total,L84))</f>
        <v>239.2</v>
      </c>
      <c r="I84" s="40" t="str">
        <f aca="false">IF(L84="","",EntryDesc)</f>
        <v>CG PAY</v>
      </c>
      <c r="J84" s="26" t="str">
        <f aca="false">IF(L84="","","Caregiver services "&amp;TEXT(WeekStart,"mmm d")&amp;" to "&amp;TEXT(WeekEnd,"mmm d"))</f>
        <v>Caregiver services Sep 14 to Sep 20</v>
      </c>
      <c r="K84" s="42" t="n">
        <f aca="false">IFERROR(SMALL(ps_KeyCCD,8),"")</f>
        <v>48</v>
      </c>
      <c r="L84" s="42" t="n">
        <f aca="false">IF(K84="","",MATCH(K84,ps_KeyCCD,0))</f>
        <v>43</v>
      </c>
    </row>
    <row r="85" customFormat="false" ht="15" hidden="false" customHeight="false" outlineLevel="0" collapsed="false">
      <c r="A85" s="36" t="str">
        <f aca="false">IF(L85="","",9)</f>
        <v/>
      </c>
      <c r="B85" s="40" t="str">
        <f aca="false">IF(L85="","","CCD")</f>
        <v/>
      </c>
      <c r="C85" s="52" t="str">
        <f aca="false">IF(L85="","",IF(INDEX(cg_AcctKind,MATCH(D85,cg_ID,0))="Savings",32,22))</f>
        <v/>
      </c>
      <c r="D85" s="40" t="str">
        <f aca="false">IF(L85="","",INDEX(ps_ID,L85))</f>
        <v/>
      </c>
      <c r="E85" s="26" t="str">
        <f aca="false">IF(L85="","",IF(INDEX(cg_PayeeType,MATCH(D85,cg_ID,0))="Business",INDEX(cg_Business,MATCH(D85,cg_ID,0)),INDEX(ps_Name,L85)))</f>
        <v/>
      </c>
      <c r="F85" s="40" t="str">
        <f aca="false">IF(L85="","",INDEX(cg_Routing,MATCH(D85,cg_ID,0)))</f>
        <v/>
      </c>
      <c r="G85" s="40" t="str">
        <f aca="false">IF(L85="","",INDEX(cg_Account,MATCH(D85,cg_ID,0)))</f>
        <v/>
      </c>
      <c r="H85" s="28" t="str">
        <f aca="false">IF(L85="","",INDEX(ps_Total,L85))</f>
        <v/>
      </c>
      <c r="I85" s="40" t="str">
        <f aca="false">IF(L85="","",EntryDesc)</f>
        <v/>
      </c>
      <c r="J85" s="26" t="str">
        <f aca="false">IF(L85="","","Caregiver services "&amp;TEXT(WeekStart,"mmm d")&amp;" to "&amp;TEXT(WeekEnd,"mmm d"))</f>
        <v/>
      </c>
      <c r="K85" s="42" t="str">
        <f aca="false">IFERROR(SMALL(ps_KeyCCD,9),"")</f>
        <v/>
      </c>
      <c r="L85" s="42" t="str">
        <f aca="false">IF(K85="","",MATCH(K85,ps_KeyCCD,0))</f>
        <v/>
      </c>
    </row>
    <row r="86" customFormat="false" ht="15" hidden="false" customHeight="false" outlineLevel="0" collapsed="false">
      <c r="A86" s="36" t="str">
        <f aca="false">IF(L86="","",10)</f>
        <v/>
      </c>
      <c r="B86" s="40" t="str">
        <f aca="false">IF(L86="","","CCD")</f>
        <v/>
      </c>
      <c r="C86" s="52" t="str">
        <f aca="false">IF(L86="","",IF(INDEX(cg_AcctKind,MATCH(D86,cg_ID,0))="Savings",32,22))</f>
        <v/>
      </c>
      <c r="D86" s="40" t="str">
        <f aca="false">IF(L86="","",INDEX(ps_ID,L86))</f>
        <v/>
      </c>
      <c r="E86" s="26" t="str">
        <f aca="false">IF(L86="","",IF(INDEX(cg_PayeeType,MATCH(D86,cg_ID,0))="Business",INDEX(cg_Business,MATCH(D86,cg_ID,0)),INDEX(ps_Name,L86)))</f>
        <v/>
      </c>
      <c r="F86" s="40" t="str">
        <f aca="false">IF(L86="","",INDEX(cg_Routing,MATCH(D86,cg_ID,0)))</f>
        <v/>
      </c>
      <c r="G86" s="40" t="str">
        <f aca="false">IF(L86="","",INDEX(cg_Account,MATCH(D86,cg_ID,0)))</f>
        <v/>
      </c>
      <c r="H86" s="28" t="str">
        <f aca="false">IF(L86="","",INDEX(ps_Total,L86))</f>
        <v/>
      </c>
      <c r="I86" s="40" t="str">
        <f aca="false">IF(L86="","",EntryDesc)</f>
        <v/>
      </c>
      <c r="J86" s="26" t="str">
        <f aca="false">IF(L86="","","Caregiver services "&amp;TEXT(WeekStart,"mmm d")&amp;" to "&amp;TEXT(WeekEnd,"mmm d"))</f>
        <v/>
      </c>
      <c r="K86" s="42" t="str">
        <f aca="false">IFERROR(SMALL(ps_KeyCCD,10),"")</f>
        <v/>
      </c>
      <c r="L86" s="42" t="str">
        <f aca="false">IF(K86="","",MATCH(K86,ps_KeyCCD,0))</f>
        <v/>
      </c>
    </row>
    <row r="87" customFormat="false" ht="15" hidden="false" customHeight="false" outlineLevel="0" collapsed="false">
      <c r="A87" s="36" t="str">
        <f aca="false">IF(L87="","",11)</f>
        <v/>
      </c>
      <c r="B87" s="40" t="str">
        <f aca="false">IF(L87="","","CCD")</f>
        <v/>
      </c>
      <c r="C87" s="52" t="str">
        <f aca="false">IF(L87="","",IF(INDEX(cg_AcctKind,MATCH(D87,cg_ID,0))="Savings",32,22))</f>
        <v/>
      </c>
      <c r="D87" s="40" t="str">
        <f aca="false">IF(L87="","",INDEX(ps_ID,L87))</f>
        <v/>
      </c>
      <c r="E87" s="26" t="str">
        <f aca="false">IF(L87="","",IF(INDEX(cg_PayeeType,MATCH(D87,cg_ID,0))="Business",INDEX(cg_Business,MATCH(D87,cg_ID,0)),INDEX(ps_Name,L87)))</f>
        <v/>
      </c>
      <c r="F87" s="40" t="str">
        <f aca="false">IF(L87="","",INDEX(cg_Routing,MATCH(D87,cg_ID,0)))</f>
        <v/>
      </c>
      <c r="G87" s="40" t="str">
        <f aca="false">IF(L87="","",INDEX(cg_Account,MATCH(D87,cg_ID,0)))</f>
        <v/>
      </c>
      <c r="H87" s="28" t="str">
        <f aca="false">IF(L87="","",INDEX(ps_Total,L87))</f>
        <v/>
      </c>
      <c r="I87" s="40" t="str">
        <f aca="false">IF(L87="","",EntryDesc)</f>
        <v/>
      </c>
      <c r="J87" s="26" t="str">
        <f aca="false">IF(L87="","","Caregiver services "&amp;TEXT(WeekStart,"mmm d")&amp;" to "&amp;TEXT(WeekEnd,"mmm d"))</f>
        <v/>
      </c>
      <c r="K87" s="42" t="str">
        <f aca="false">IFERROR(SMALL(ps_KeyCCD,11),"")</f>
        <v/>
      </c>
      <c r="L87" s="42" t="str">
        <f aca="false">IF(K87="","",MATCH(K87,ps_KeyCCD,0))</f>
        <v/>
      </c>
    </row>
    <row r="88" customFormat="false" ht="15" hidden="false" customHeight="false" outlineLevel="0" collapsed="false">
      <c r="A88" s="36" t="str">
        <f aca="false">IF(L88="","",12)</f>
        <v/>
      </c>
      <c r="B88" s="40" t="str">
        <f aca="false">IF(L88="","","CCD")</f>
        <v/>
      </c>
      <c r="C88" s="52" t="str">
        <f aca="false">IF(L88="","",IF(INDEX(cg_AcctKind,MATCH(D88,cg_ID,0))="Savings",32,22))</f>
        <v/>
      </c>
      <c r="D88" s="40" t="str">
        <f aca="false">IF(L88="","",INDEX(ps_ID,L88))</f>
        <v/>
      </c>
      <c r="E88" s="26" t="str">
        <f aca="false">IF(L88="","",IF(INDEX(cg_PayeeType,MATCH(D88,cg_ID,0))="Business",INDEX(cg_Business,MATCH(D88,cg_ID,0)),INDEX(ps_Name,L88)))</f>
        <v/>
      </c>
      <c r="F88" s="40" t="str">
        <f aca="false">IF(L88="","",INDEX(cg_Routing,MATCH(D88,cg_ID,0)))</f>
        <v/>
      </c>
      <c r="G88" s="40" t="str">
        <f aca="false">IF(L88="","",INDEX(cg_Account,MATCH(D88,cg_ID,0)))</f>
        <v/>
      </c>
      <c r="H88" s="28" t="str">
        <f aca="false">IF(L88="","",INDEX(ps_Total,L88))</f>
        <v/>
      </c>
      <c r="I88" s="40" t="str">
        <f aca="false">IF(L88="","",EntryDesc)</f>
        <v/>
      </c>
      <c r="J88" s="26" t="str">
        <f aca="false">IF(L88="","","Caregiver services "&amp;TEXT(WeekStart,"mmm d")&amp;" to "&amp;TEXT(WeekEnd,"mmm d"))</f>
        <v/>
      </c>
      <c r="K88" s="42" t="str">
        <f aca="false">IFERROR(SMALL(ps_KeyCCD,12),"")</f>
        <v/>
      </c>
      <c r="L88" s="42" t="str">
        <f aca="false">IF(K88="","",MATCH(K88,ps_KeyCCD,0))</f>
        <v/>
      </c>
    </row>
    <row r="89" customFormat="false" ht="15" hidden="false" customHeight="false" outlineLevel="0" collapsed="false">
      <c r="A89" s="36" t="str">
        <f aca="false">IF(L89="","",13)</f>
        <v/>
      </c>
      <c r="B89" s="40" t="str">
        <f aca="false">IF(L89="","","CCD")</f>
        <v/>
      </c>
      <c r="C89" s="52" t="str">
        <f aca="false">IF(L89="","",IF(INDEX(cg_AcctKind,MATCH(D89,cg_ID,0))="Savings",32,22))</f>
        <v/>
      </c>
      <c r="D89" s="40" t="str">
        <f aca="false">IF(L89="","",INDEX(ps_ID,L89))</f>
        <v/>
      </c>
      <c r="E89" s="26" t="str">
        <f aca="false">IF(L89="","",IF(INDEX(cg_PayeeType,MATCH(D89,cg_ID,0))="Business",INDEX(cg_Business,MATCH(D89,cg_ID,0)),INDEX(ps_Name,L89)))</f>
        <v/>
      </c>
      <c r="F89" s="40" t="str">
        <f aca="false">IF(L89="","",INDEX(cg_Routing,MATCH(D89,cg_ID,0)))</f>
        <v/>
      </c>
      <c r="G89" s="40" t="str">
        <f aca="false">IF(L89="","",INDEX(cg_Account,MATCH(D89,cg_ID,0)))</f>
        <v/>
      </c>
      <c r="H89" s="28" t="str">
        <f aca="false">IF(L89="","",INDEX(ps_Total,L89))</f>
        <v/>
      </c>
      <c r="I89" s="40" t="str">
        <f aca="false">IF(L89="","",EntryDesc)</f>
        <v/>
      </c>
      <c r="J89" s="26" t="str">
        <f aca="false">IF(L89="","","Caregiver services "&amp;TEXT(WeekStart,"mmm d")&amp;" to "&amp;TEXT(WeekEnd,"mmm d"))</f>
        <v/>
      </c>
      <c r="K89" s="42" t="str">
        <f aca="false">IFERROR(SMALL(ps_KeyCCD,13),"")</f>
        <v/>
      </c>
      <c r="L89" s="42" t="str">
        <f aca="false">IF(K89="","",MATCH(K89,ps_KeyCCD,0))</f>
        <v/>
      </c>
    </row>
    <row r="90" customFormat="false" ht="15" hidden="false" customHeight="false" outlineLevel="0" collapsed="false">
      <c r="A90" s="36" t="str">
        <f aca="false">IF(L90="","",14)</f>
        <v/>
      </c>
      <c r="B90" s="40" t="str">
        <f aca="false">IF(L90="","","CCD")</f>
        <v/>
      </c>
      <c r="C90" s="52" t="str">
        <f aca="false">IF(L90="","",IF(INDEX(cg_AcctKind,MATCH(D90,cg_ID,0))="Savings",32,22))</f>
        <v/>
      </c>
      <c r="D90" s="40" t="str">
        <f aca="false">IF(L90="","",INDEX(ps_ID,L90))</f>
        <v/>
      </c>
      <c r="E90" s="26" t="str">
        <f aca="false">IF(L90="","",IF(INDEX(cg_PayeeType,MATCH(D90,cg_ID,0))="Business",INDEX(cg_Business,MATCH(D90,cg_ID,0)),INDEX(ps_Name,L90)))</f>
        <v/>
      </c>
      <c r="F90" s="40" t="str">
        <f aca="false">IF(L90="","",INDEX(cg_Routing,MATCH(D90,cg_ID,0)))</f>
        <v/>
      </c>
      <c r="G90" s="40" t="str">
        <f aca="false">IF(L90="","",INDEX(cg_Account,MATCH(D90,cg_ID,0)))</f>
        <v/>
      </c>
      <c r="H90" s="28" t="str">
        <f aca="false">IF(L90="","",INDEX(ps_Total,L90))</f>
        <v/>
      </c>
      <c r="I90" s="40" t="str">
        <f aca="false">IF(L90="","",EntryDesc)</f>
        <v/>
      </c>
      <c r="J90" s="26" t="str">
        <f aca="false">IF(L90="","","Caregiver services "&amp;TEXT(WeekStart,"mmm d")&amp;" to "&amp;TEXT(WeekEnd,"mmm d"))</f>
        <v/>
      </c>
      <c r="K90" s="42" t="str">
        <f aca="false">IFERROR(SMALL(ps_KeyCCD,14),"")</f>
        <v/>
      </c>
      <c r="L90" s="42" t="str">
        <f aca="false">IF(K90="","",MATCH(K90,ps_KeyCCD,0))</f>
        <v/>
      </c>
    </row>
    <row r="91" customFormat="false" ht="15" hidden="false" customHeight="false" outlineLevel="0" collapsed="false">
      <c r="A91" s="36" t="str">
        <f aca="false">IF(L91="","",15)</f>
        <v/>
      </c>
      <c r="B91" s="40" t="str">
        <f aca="false">IF(L91="","","CCD")</f>
        <v/>
      </c>
      <c r="C91" s="52" t="str">
        <f aca="false">IF(L91="","",IF(INDEX(cg_AcctKind,MATCH(D91,cg_ID,0))="Savings",32,22))</f>
        <v/>
      </c>
      <c r="D91" s="40" t="str">
        <f aca="false">IF(L91="","",INDEX(ps_ID,L91))</f>
        <v/>
      </c>
      <c r="E91" s="26" t="str">
        <f aca="false">IF(L91="","",IF(INDEX(cg_PayeeType,MATCH(D91,cg_ID,0))="Business",INDEX(cg_Business,MATCH(D91,cg_ID,0)),INDEX(ps_Name,L91)))</f>
        <v/>
      </c>
      <c r="F91" s="40" t="str">
        <f aca="false">IF(L91="","",INDEX(cg_Routing,MATCH(D91,cg_ID,0)))</f>
        <v/>
      </c>
      <c r="G91" s="40" t="str">
        <f aca="false">IF(L91="","",INDEX(cg_Account,MATCH(D91,cg_ID,0)))</f>
        <v/>
      </c>
      <c r="H91" s="28" t="str">
        <f aca="false">IF(L91="","",INDEX(ps_Total,L91))</f>
        <v/>
      </c>
      <c r="I91" s="40" t="str">
        <f aca="false">IF(L91="","",EntryDesc)</f>
        <v/>
      </c>
      <c r="J91" s="26" t="str">
        <f aca="false">IF(L91="","","Caregiver services "&amp;TEXT(WeekStart,"mmm d")&amp;" to "&amp;TEXT(WeekEnd,"mmm d"))</f>
        <v/>
      </c>
      <c r="K91" s="42" t="str">
        <f aca="false">IFERROR(SMALL(ps_KeyCCD,15),"")</f>
        <v/>
      </c>
      <c r="L91" s="42" t="str">
        <f aca="false">IF(K91="","",MATCH(K91,ps_KeyCCD,0))</f>
        <v/>
      </c>
    </row>
    <row r="92" customFormat="false" ht="15" hidden="false" customHeight="false" outlineLevel="0" collapsed="false">
      <c r="A92" s="36" t="str">
        <f aca="false">IF(L92="","",16)</f>
        <v/>
      </c>
      <c r="B92" s="40" t="str">
        <f aca="false">IF(L92="","","CCD")</f>
        <v/>
      </c>
      <c r="C92" s="52" t="str">
        <f aca="false">IF(L92="","",IF(INDEX(cg_AcctKind,MATCH(D92,cg_ID,0))="Savings",32,22))</f>
        <v/>
      </c>
      <c r="D92" s="40" t="str">
        <f aca="false">IF(L92="","",INDEX(ps_ID,L92))</f>
        <v/>
      </c>
      <c r="E92" s="26" t="str">
        <f aca="false">IF(L92="","",IF(INDEX(cg_PayeeType,MATCH(D92,cg_ID,0))="Business",INDEX(cg_Business,MATCH(D92,cg_ID,0)),INDEX(ps_Name,L92)))</f>
        <v/>
      </c>
      <c r="F92" s="40" t="str">
        <f aca="false">IF(L92="","",INDEX(cg_Routing,MATCH(D92,cg_ID,0)))</f>
        <v/>
      </c>
      <c r="G92" s="40" t="str">
        <f aca="false">IF(L92="","",INDEX(cg_Account,MATCH(D92,cg_ID,0)))</f>
        <v/>
      </c>
      <c r="H92" s="28" t="str">
        <f aca="false">IF(L92="","",INDEX(ps_Total,L92))</f>
        <v/>
      </c>
      <c r="I92" s="40" t="str">
        <f aca="false">IF(L92="","",EntryDesc)</f>
        <v/>
      </c>
      <c r="J92" s="26" t="str">
        <f aca="false">IF(L92="","","Caregiver services "&amp;TEXT(WeekStart,"mmm d")&amp;" to "&amp;TEXT(WeekEnd,"mmm d"))</f>
        <v/>
      </c>
      <c r="K92" s="42" t="str">
        <f aca="false">IFERROR(SMALL(ps_KeyCCD,16),"")</f>
        <v/>
      </c>
      <c r="L92" s="42" t="str">
        <f aca="false">IF(K92="","",MATCH(K92,ps_KeyCCD,0))</f>
        <v/>
      </c>
    </row>
    <row r="93" customFormat="false" ht="15" hidden="false" customHeight="false" outlineLevel="0" collapsed="false">
      <c r="A93" s="36" t="str">
        <f aca="false">IF(L93="","",17)</f>
        <v/>
      </c>
      <c r="B93" s="40" t="str">
        <f aca="false">IF(L93="","","CCD")</f>
        <v/>
      </c>
      <c r="C93" s="52" t="str">
        <f aca="false">IF(L93="","",IF(INDEX(cg_AcctKind,MATCH(D93,cg_ID,0))="Savings",32,22))</f>
        <v/>
      </c>
      <c r="D93" s="40" t="str">
        <f aca="false">IF(L93="","",INDEX(ps_ID,L93))</f>
        <v/>
      </c>
      <c r="E93" s="26" t="str">
        <f aca="false">IF(L93="","",IF(INDEX(cg_PayeeType,MATCH(D93,cg_ID,0))="Business",INDEX(cg_Business,MATCH(D93,cg_ID,0)),INDEX(ps_Name,L93)))</f>
        <v/>
      </c>
      <c r="F93" s="40" t="str">
        <f aca="false">IF(L93="","",INDEX(cg_Routing,MATCH(D93,cg_ID,0)))</f>
        <v/>
      </c>
      <c r="G93" s="40" t="str">
        <f aca="false">IF(L93="","",INDEX(cg_Account,MATCH(D93,cg_ID,0)))</f>
        <v/>
      </c>
      <c r="H93" s="28" t="str">
        <f aca="false">IF(L93="","",INDEX(ps_Total,L93))</f>
        <v/>
      </c>
      <c r="I93" s="40" t="str">
        <f aca="false">IF(L93="","",EntryDesc)</f>
        <v/>
      </c>
      <c r="J93" s="26" t="str">
        <f aca="false">IF(L93="","","Caregiver services "&amp;TEXT(WeekStart,"mmm d")&amp;" to "&amp;TEXT(WeekEnd,"mmm d"))</f>
        <v/>
      </c>
      <c r="K93" s="42" t="str">
        <f aca="false">IFERROR(SMALL(ps_KeyCCD,17),"")</f>
        <v/>
      </c>
      <c r="L93" s="42" t="str">
        <f aca="false">IF(K93="","",MATCH(K93,ps_KeyCCD,0))</f>
        <v/>
      </c>
    </row>
    <row r="94" customFormat="false" ht="15" hidden="false" customHeight="false" outlineLevel="0" collapsed="false">
      <c r="A94" s="36" t="str">
        <f aca="false">IF(L94="","",18)</f>
        <v/>
      </c>
      <c r="B94" s="40" t="str">
        <f aca="false">IF(L94="","","CCD")</f>
        <v/>
      </c>
      <c r="C94" s="52" t="str">
        <f aca="false">IF(L94="","",IF(INDEX(cg_AcctKind,MATCH(D94,cg_ID,0))="Savings",32,22))</f>
        <v/>
      </c>
      <c r="D94" s="40" t="str">
        <f aca="false">IF(L94="","",INDEX(ps_ID,L94))</f>
        <v/>
      </c>
      <c r="E94" s="26" t="str">
        <f aca="false">IF(L94="","",IF(INDEX(cg_PayeeType,MATCH(D94,cg_ID,0))="Business",INDEX(cg_Business,MATCH(D94,cg_ID,0)),INDEX(ps_Name,L94)))</f>
        <v/>
      </c>
      <c r="F94" s="40" t="str">
        <f aca="false">IF(L94="","",INDEX(cg_Routing,MATCH(D94,cg_ID,0)))</f>
        <v/>
      </c>
      <c r="G94" s="40" t="str">
        <f aca="false">IF(L94="","",INDEX(cg_Account,MATCH(D94,cg_ID,0)))</f>
        <v/>
      </c>
      <c r="H94" s="28" t="str">
        <f aca="false">IF(L94="","",INDEX(ps_Total,L94))</f>
        <v/>
      </c>
      <c r="I94" s="40" t="str">
        <f aca="false">IF(L94="","",EntryDesc)</f>
        <v/>
      </c>
      <c r="J94" s="26" t="str">
        <f aca="false">IF(L94="","","Caregiver services "&amp;TEXT(WeekStart,"mmm d")&amp;" to "&amp;TEXT(WeekEnd,"mmm d"))</f>
        <v/>
      </c>
      <c r="K94" s="42" t="str">
        <f aca="false">IFERROR(SMALL(ps_KeyCCD,18),"")</f>
        <v/>
      </c>
      <c r="L94" s="42" t="str">
        <f aca="false">IF(K94="","",MATCH(K94,ps_KeyCCD,0))</f>
        <v/>
      </c>
    </row>
    <row r="95" customFormat="false" ht="15" hidden="false" customHeight="false" outlineLevel="0" collapsed="false">
      <c r="A95" s="36" t="str">
        <f aca="false">IF(L95="","",19)</f>
        <v/>
      </c>
      <c r="B95" s="40" t="str">
        <f aca="false">IF(L95="","","CCD")</f>
        <v/>
      </c>
      <c r="C95" s="52" t="str">
        <f aca="false">IF(L95="","",IF(INDEX(cg_AcctKind,MATCH(D95,cg_ID,0))="Savings",32,22))</f>
        <v/>
      </c>
      <c r="D95" s="40" t="str">
        <f aca="false">IF(L95="","",INDEX(ps_ID,L95))</f>
        <v/>
      </c>
      <c r="E95" s="26" t="str">
        <f aca="false">IF(L95="","",IF(INDEX(cg_PayeeType,MATCH(D95,cg_ID,0))="Business",INDEX(cg_Business,MATCH(D95,cg_ID,0)),INDEX(ps_Name,L95)))</f>
        <v/>
      </c>
      <c r="F95" s="40" t="str">
        <f aca="false">IF(L95="","",INDEX(cg_Routing,MATCH(D95,cg_ID,0)))</f>
        <v/>
      </c>
      <c r="G95" s="40" t="str">
        <f aca="false">IF(L95="","",INDEX(cg_Account,MATCH(D95,cg_ID,0)))</f>
        <v/>
      </c>
      <c r="H95" s="28" t="str">
        <f aca="false">IF(L95="","",INDEX(ps_Total,L95))</f>
        <v/>
      </c>
      <c r="I95" s="40" t="str">
        <f aca="false">IF(L95="","",EntryDesc)</f>
        <v/>
      </c>
      <c r="J95" s="26" t="str">
        <f aca="false">IF(L95="","","Caregiver services "&amp;TEXT(WeekStart,"mmm d")&amp;" to "&amp;TEXT(WeekEnd,"mmm d"))</f>
        <v/>
      </c>
      <c r="K95" s="42" t="str">
        <f aca="false">IFERROR(SMALL(ps_KeyCCD,19),"")</f>
        <v/>
      </c>
      <c r="L95" s="42" t="str">
        <f aca="false">IF(K95="","",MATCH(K95,ps_KeyCCD,0))</f>
        <v/>
      </c>
    </row>
    <row r="96" customFormat="false" ht="15" hidden="false" customHeight="false" outlineLevel="0" collapsed="false">
      <c r="A96" s="36" t="str">
        <f aca="false">IF(L96="","",20)</f>
        <v/>
      </c>
      <c r="B96" s="40" t="str">
        <f aca="false">IF(L96="","","CCD")</f>
        <v/>
      </c>
      <c r="C96" s="52" t="str">
        <f aca="false">IF(L96="","",IF(INDEX(cg_AcctKind,MATCH(D96,cg_ID,0))="Savings",32,22))</f>
        <v/>
      </c>
      <c r="D96" s="40" t="str">
        <f aca="false">IF(L96="","",INDEX(ps_ID,L96))</f>
        <v/>
      </c>
      <c r="E96" s="26" t="str">
        <f aca="false">IF(L96="","",IF(INDEX(cg_PayeeType,MATCH(D96,cg_ID,0))="Business",INDEX(cg_Business,MATCH(D96,cg_ID,0)),INDEX(ps_Name,L96)))</f>
        <v/>
      </c>
      <c r="F96" s="40" t="str">
        <f aca="false">IF(L96="","",INDEX(cg_Routing,MATCH(D96,cg_ID,0)))</f>
        <v/>
      </c>
      <c r="G96" s="40" t="str">
        <f aca="false">IF(L96="","",INDEX(cg_Account,MATCH(D96,cg_ID,0)))</f>
        <v/>
      </c>
      <c r="H96" s="28" t="str">
        <f aca="false">IF(L96="","",INDEX(ps_Total,L96))</f>
        <v/>
      </c>
      <c r="I96" s="40" t="str">
        <f aca="false">IF(L96="","",EntryDesc)</f>
        <v/>
      </c>
      <c r="J96" s="26" t="str">
        <f aca="false">IF(L96="","","Caregiver services "&amp;TEXT(WeekStart,"mmm d")&amp;" to "&amp;TEXT(WeekEnd,"mmm d"))</f>
        <v/>
      </c>
      <c r="K96" s="42" t="str">
        <f aca="false">IFERROR(SMALL(ps_KeyCCD,20),"")</f>
        <v/>
      </c>
      <c r="L96" s="42" t="str">
        <f aca="false">IF(K96="","",MATCH(K96,ps_KeyCCD,0))</f>
        <v/>
      </c>
    </row>
    <row r="97" customFormat="false" ht="15" hidden="false" customHeight="false" outlineLevel="0" collapsed="false">
      <c r="A97" s="36" t="str">
        <f aca="false">IF(L97="","",21)</f>
        <v/>
      </c>
      <c r="B97" s="40" t="str">
        <f aca="false">IF(L97="","","CCD")</f>
        <v/>
      </c>
      <c r="C97" s="52" t="str">
        <f aca="false">IF(L97="","",IF(INDEX(cg_AcctKind,MATCH(D97,cg_ID,0))="Savings",32,22))</f>
        <v/>
      </c>
      <c r="D97" s="40" t="str">
        <f aca="false">IF(L97="","",INDEX(ps_ID,L97))</f>
        <v/>
      </c>
      <c r="E97" s="26" t="str">
        <f aca="false">IF(L97="","",IF(INDEX(cg_PayeeType,MATCH(D97,cg_ID,0))="Business",INDEX(cg_Business,MATCH(D97,cg_ID,0)),INDEX(ps_Name,L97)))</f>
        <v/>
      </c>
      <c r="F97" s="40" t="str">
        <f aca="false">IF(L97="","",INDEX(cg_Routing,MATCH(D97,cg_ID,0)))</f>
        <v/>
      </c>
      <c r="G97" s="40" t="str">
        <f aca="false">IF(L97="","",INDEX(cg_Account,MATCH(D97,cg_ID,0)))</f>
        <v/>
      </c>
      <c r="H97" s="28" t="str">
        <f aca="false">IF(L97="","",INDEX(ps_Total,L97))</f>
        <v/>
      </c>
      <c r="I97" s="40" t="str">
        <f aca="false">IF(L97="","",EntryDesc)</f>
        <v/>
      </c>
      <c r="J97" s="26" t="str">
        <f aca="false">IF(L97="","","Caregiver services "&amp;TEXT(WeekStart,"mmm d")&amp;" to "&amp;TEXT(WeekEnd,"mmm d"))</f>
        <v/>
      </c>
      <c r="K97" s="42" t="str">
        <f aca="false">IFERROR(SMALL(ps_KeyCCD,21),"")</f>
        <v/>
      </c>
      <c r="L97" s="42" t="str">
        <f aca="false">IF(K97="","",MATCH(K97,ps_KeyCCD,0))</f>
        <v/>
      </c>
    </row>
    <row r="98" customFormat="false" ht="15" hidden="false" customHeight="false" outlineLevel="0" collapsed="false">
      <c r="A98" s="36" t="str">
        <f aca="false">IF(L98="","",22)</f>
        <v/>
      </c>
      <c r="B98" s="40" t="str">
        <f aca="false">IF(L98="","","CCD")</f>
        <v/>
      </c>
      <c r="C98" s="52" t="str">
        <f aca="false">IF(L98="","",IF(INDEX(cg_AcctKind,MATCH(D98,cg_ID,0))="Savings",32,22))</f>
        <v/>
      </c>
      <c r="D98" s="40" t="str">
        <f aca="false">IF(L98="","",INDEX(ps_ID,L98))</f>
        <v/>
      </c>
      <c r="E98" s="26" t="str">
        <f aca="false">IF(L98="","",IF(INDEX(cg_PayeeType,MATCH(D98,cg_ID,0))="Business",INDEX(cg_Business,MATCH(D98,cg_ID,0)),INDEX(ps_Name,L98)))</f>
        <v/>
      </c>
      <c r="F98" s="40" t="str">
        <f aca="false">IF(L98="","",INDEX(cg_Routing,MATCH(D98,cg_ID,0)))</f>
        <v/>
      </c>
      <c r="G98" s="40" t="str">
        <f aca="false">IF(L98="","",INDEX(cg_Account,MATCH(D98,cg_ID,0)))</f>
        <v/>
      </c>
      <c r="H98" s="28" t="str">
        <f aca="false">IF(L98="","",INDEX(ps_Total,L98))</f>
        <v/>
      </c>
      <c r="I98" s="40" t="str">
        <f aca="false">IF(L98="","",EntryDesc)</f>
        <v/>
      </c>
      <c r="J98" s="26" t="str">
        <f aca="false">IF(L98="","","Caregiver services "&amp;TEXT(WeekStart,"mmm d")&amp;" to "&amp;TEXT(WeekEnd,"mmm d"))</f>
        <v/>
      </c>
      <c r="K98" s="42" t="str">
        <f aca="false">IFERROR(SMALL(ps_KeyCCD,22),"")</f>
        <v/>
      </c>
      <c r="L98" s="42" t="str">
        <f aca="false">IF(K98="","",MATCH(K98,ps_KeyCCD,0))</f>
        <v/>
      </c>
    </row>
    <row r="99" customFormat="false" ht="15" hidden="false" customHeight="false" outlineLevel="0" collapsed="false">
      <c r="A99" s="36" t="str">
        <f aca="false">IF(L99="","",23)</f>
        <v/>
      </c>
      <c r="B99" s="40" t="str">
        <f aca="false">IF(L99="","","CCD")</f>
        <v/>
      </c>
      <c r="C99" s="52" t="str">
        <f aca="false">IF(L99="","",IF(INDEX(cg_AcctKind,MATCH(D99,cg_ID,0))="Savings",32,22))</f>
        <v/>
      </c>
      <c r="D99" s="40" t="str">
        <f aca="false">IF(L99="","",INDEX(ps_ID,L99))</f>
        <v/>
      </c>
      <c r="E99" s="26" t="str">
        <f aca="false">IF(L99="","",IF(INDEX(cg_PayeeType,MATCH(D99,cg_ID,0))="Business",INDEX(cg_Business,MATCH(D99,cg_ID,0)),INDEX(ps_Name,L99)))</f>
        <v/>
      </c>
      <c r="F99" s="40" t="str">
        <f aca="false">IF(L99="","",INDEX(cg_Routing,MATCH(D99,cg_ID,0)))</f>
        <v/>
      </c>
      <c r="G99" s="40" t="str">
        <f aca="false">IF(L99="","",INDEX(cg_Account,MATCH(D99,cg_ID,0)))</f>
        <v/>
      </c>
      <c r="H99" s="28" t="str">
        <f aca="false">IF(L99="","",INDEX(ps_Total,L99))</f>
        <v/>
      </c>
      <c r="I99" s="40" t="str">
        <f aca="false">IF(L99="","",EntryDesc)</f>
        <v/>
      </c>
      <c r="J99" s="26" t="str">
        <f aca="false">IF(L99="","","Caregiver services "&amp;TEXT(WeekStart,"mmm d")&amp;" to "&amp;TEXT(WeekEnd,"mmm d"))</f>
        <v/>
      </c>
      <c r="K99" s="42" t="str">
        <f aca="false">IFERROR(SMALL(ps_KeyCCD,23),"")</f>
        <v/>
      </c>
      <c r="L99" s="42" t="str">
        <f aca="false">IF(K99="","",MATCH(K99,ps_KeyCCD,0))</f>
        <v/>
      </c>
    </row>
    <row r="100" customFormat="false" ht="15" hidden="false" customHeight="false" outlineLevel="0" collapsed="false">
      <c r="A100" s="36" t="str">
        <f aca="false">IF(L100="","",24)</f>
        <v/>
      </c>
      <c r="B100" s="40" t="str">
        <f aca="false">IF(L100="","","CCD")</f>
        <v/>
      </c>
      <c r="C100" s="52" t="str">
        <f aca="false">IF(L100="","",IF(INDEX(cg_AcctKind,MATCH(D100,cg_ID,0))="Savings",32,22))</f>
        <v/>
      </c>
      <c r="D100" s="40" t="str">
        <f aca="false">IF(L100="","",INDEX(ps_ID,L100))</f>
        <v/>
      </c>
      <c r="E100" s="26" t="str">
        <f aca="false">IF(L100="","",IF(INDEX(cg_PayeeType,MATCH(D100,cg_ID,0))="Business",INDEX(cg_Business,MATCH(D100,cg_ID,0)),INDEX(ps_Name,L100)))</f>
        <v/>
      </c>
      <c r="F100" s="40" t="str">
        <f aca="false">IF(L100="","",INDEX(cg_Routing,MATCH(D100,cg_ID,0)))</f>
        <v/>
      </c>
      <c r="G100" s="40" t="str">
        <f aca="false">IF(L100="","",INDEX(cg_Account,MATCH(D100,cg_ID,0)))</f>
        <v/>
      </c>
      <c r="H100" s="28" t="str">
        <f aca="false">IF(L100="","",INDEX(ps_Total,L100))</f>
        <v/>
      </c>
      <c r="I100" s="40" t="str">
        <f aca="false">IF(L100="","",EntryDesc)</f>
        <v/>
      </c>
      <c r="J100" s="26" t="str">
        <f aca="false">IF(L100="","","Caregiver services "&amp;TEXT(WeekStart,"mmm d")&amp;" to "&amp;TEXT(WeekEnd,"mmm d"))</f>
        <v/>
      </c>
      <c r="K100" s="42" t="str">
        <f aca="false">IFERROR(SMALL(ps_KeyCCD,24),"")</f>
        <v/>
      </c>
      <c r="L100" s="42" t="str">
        <f aca="false">IF(K100="","",MATCH(K100,ps_KeyCCD,0))</f>
        <v/>
      </c>
    </row>
    <row r="101" customFormat="false" ht="15" hidden="false" customHeight="false" outlineLevel="0" collapsed="false">
      <c r="A101" s="36" t="str">
        <f aca="false">IF(L101="","",25)</f>
        <v/>
      </c>
      <c r="B101" s="40" t="str">
        <f aca="false">IF(L101="","","CCD")</f>
        <v/>
      </c>
      <c r="C101" s="52" t="str">
        <f aca="false">IF(L101="","",IF(INDEX(cg_AcctKind,MATCH(D101,cg_ID,0))="Savings",32,22))</f>
        <v/>
      </c>
      <c r="D101" s="40" t="str">
        <f aca="false">IF(L101="","",INDEX(ps_ID,L101))</f>
        <v/>
      </c>
      <c r="E101" s="26" t="str">
        <f aca="false">IF(L101="","",IF(INDEX(cg_PayeeType,MATCH(D101,cg_ID,0))="Business",INDEX(cg_Business,MATCH(D101,cg_ID,0)),INDEX(ps_Name,L101)))</f>
        <v/>
      </c>
      <c r="F101" s="40" t="str">
        <f aca="false">IF(L101="","",INDEX(cg_Routing,MATCH(D101,cg_ID,0)))</f>
        <v/>
      </c>
      <c r="G101" s="40" t="str">
        <f aca="false">IF(L101="","",INDEX(cg_Account,MATCH(D101,cg_ID,0)))</f>
        <v/>
      </c>
      <c r="H101" s="28" t="str">
        <f aca="false">IF(L101="","",INDEX(ps_Total,L101))</f>
        <v/>
      </c>
      <c r="I101" s="40" t="str">
        <f aca="false">IF(L101="","",EntryDesc)</f>
        <v/>
      </c>
      <c r="J101" s="26" t="str">
        <f aca="false">IF(L101="","","Caregiver services "&amp;TEXT(WeekStart,"mmm d")&amp;" to "&amp;TEXT(WeekEnd,"mmm d"))</f>
        <v/>
      </c>
      <c r="K101" s="42" t="str">
        <f aca="false">IFERROR(SMALL(ps_KeyCCD,25),"")</f>
        <v/>
      </c>
      <c r="L101" s="42" t="str">
        <f aca="false">IF(K101="","",MATCH(K101,ps_KeyCCD,0))</f>
        <v/>
      </c>
    </row>
    <row r="102" customFormat="false" ht="15" hidden="false" customHeight="false" outlineLevel="0" collapsed="false">
      <c r="A102" s="36" t="str">
        <f aca="false">IF(L102="","",26)</f>
        <v/>
      </c>
      <c r="B102" s="40" t="str">
        <f aca="false">IF(L102="","","CCD")</f>
        <v/>
      </c>
      <c r="C102" s="52" t="str">
        <f aca="false">IF(L102="","",IF(INDEX(cg_AcctKind,MATCH(D102,cg_ID,0))="Savings",32,22))</f>
        <v/>
      </c>
      <c r="D102" s="40" t="str">
        <f aca="false">IF(L102="","",INDEX(ps_ID,L102))</f>
        <v/>
      </c>
      <c r="E102" s="26" t="str">
        <f aca="false">IF(L102="","",IF(INDEX(cg_PayeeType,MATCH(D102,cg_ID,0))="Business",INDEX(cg_Business,MATCH(D102,cg_ID,0)),INDEX(ps_Name,L102)))</f>
        <v/>
      </c>
      <c r="F102" s="40" t="str">
        <f aca="false">IF(L102="","",INDEX(cg_Routing,MATCH(D102,cg_ID,0)))</f>
        <v/>
      </c>
      <c r="G102" s="40" t="str">
        <f aca="false">IF(L102="","",INDEX(cg_Account,MATCH(D102,cg_ID,0)))</f>
        <v/>
      </c>
      <c r="H102" s="28" t="str">
        <f aca="false">IF(L102="","",INDEX(ps_Total,L102))</f>
        <v/>
      </c>
      <c r="I102" s="40" t="str">
        <f aca="false">IF(L102="","",EntryDesc)</f>
        <v/>
      </c>
      <c r="J102" s="26" t="str">
        <f aca="false">IF(L102="","","Caregiver services "&amp;TEXT(WeekStart,"mmm d")&amp;" to "&amp;TEXT(WeekEnd,"mmm d"))</f>
        <v/>
      </c>
      <c r="K102" s="42" t="str">
        <f aca="false">IFERROR(SMALL(ps_KeyCCD,26),"")</f>
        <v/>
      </c>
      <c r="L102" s="42" t="str">
        <f aca="false">IF(K102="","",MATCH(K102,ps_KeyCCD,0))</f>
        <v/>
      </c>
    </row>
    <row r="103" customFormat="false" ht="15" hidden="false" customHeight="false" outlineLevel="0" collapsed="false">
      <c r="A103" s="36" t="str">
        <f aca="false">IF(L103="","",27)</f>
        <v/>
      </c>
      <c r="B103" s="40" t="str">
        <f aca="false">IF(L103="","","CCD")</f>
        <v/>
      </c>
      <c r="C103" s="52" t="str">
        <f aca="false">IF(L103="","",IF(INDEX(cg_AcctKind,MATCH(D103,cg_ID,0))="Savings",32,22))</f>
        <v/>
      </c>
      <c r="D103" s="40" t="str">
        <f aca="false">IF(L103="","",INDEX(ps_ID,L103))</f>
        <v/>
      </c>
      <c r="E103" s="26" t="str">
        <f aca="false">IF(L103="","",IF(INDEX(cg_PayeeType,MATCH(D103,cg_ID,0))="Business",INDEX(cg_Business,MATCH(D103,cg_ID,0)),INDEX(ps_Name,L103)))</f>
        <v/>
      </c>
      <c r="F103" s="40" t="str">
        <f aca="false">IF(L103="","",INDEX(cg_Routing,MATCH(D103,cg_ID,0)))</f>
        <v/>
      </c>
      <c r="G103" s="40" t="str">
        <f aca="false">IF(L103="","",INDEX(cg_Account,MATCH(D103,cg_ID,0)))</f>
        <v/>
      </c>
      <c r="H103" s="28" t="str">
        <f aca="false">IF(L103="","",INDEX(ps_Total,L103))</f>
        <v/>
      </c>
      <c r="I103" s="40" t="str">
        <f aca="false">IF(L103="","",EntryDesc)</f>
        <v/>
      </c>
      <c r="J103" s="26" t="str">
        <f aca="false">IF(L103="","","Caregiver services "&amp;TEXT(WeekStart,"mmm d")&amp;" to "&amp;TEXT(WeekEnd,"mmm d"))</f>
        <v/>
      </c>
      <c r="K103" s="42" t="str">
        <f aca="false">IFERROR(SMALL(ps_KeyCCD,27),"")</f>
        <v/>
      </c>
      <c r="L103" s="42" t="str">
        <f aca="false">IF(K103="","",MATCH(K103,ps_KeyCCD,0))</f>
        <v/>
      </c>
    </row>
    <row r="104" customFormat="false" ht="15" hidden="false" customHeight="false" outlineLevel="0" collapsed="false">
      <c r="A104" s="36" t="str">
        <f aca="false">IF(L104="","",28)</f>
        <v/>
      </c>
      <c r="B104" s="40" t="str">
        <f aca="false">IF(L104="","","CCD")</f>
        <v/>
      </c>
      <c r="C104" s="52" t="str">
        <f aca="false">IF(L104="","",IF(INDEX(cg_AcctKind,MATCH(D104,cg_ID,0))="Savings",32,22))</f>
        <v/>
      </c>
      <c r="D104" s="40" t="str">
        <f aca="false">IF(L104="","",INDEX(ps_ID,L104))</f>
        <v/>
      </c>
      <c r="E104" s="26" t="str">
        <f aca="false">IF(L104="","",IF(INDEX(cg_PayeeType,MATCH(D104,cg_ID,0))="Business",INDEX(cg_Business,MATCH(D104,cg_ID,0)),INDEX(ps_Name,L104)))</f>
        <v/>
      </c>
      <c r="F104" s="40" t="str">
        <f aca="false">IF(L104="","",INDEX(cg_Routing,MATCH(D104,cg_ID,0)))</f>
        <v/>
      </c>
      <c r="G104" s="40" t="str">
        <f aca="false">IF(L104="","",INDEX(cg_Account,MATCH(D104,cg_ID,0)))</f>
        <v/>
      </c>
      <c r="H104" s="28" t="str">
        <f aca="false">IF(L104="","",INDEX(ps_Total,L104))</f>
        <v/>
      </c>
      <c r="I104" s="40" t="str">
        <f aca="false">IF(L104="","",EntryDesc)</f>
        <v/>
      </c>
      <c r="J104" s="26" t="str">
        <f aca="false">IF(L104="","","Caregiver services "&amp;TEXT(WeekStart,"mmm d")&amp;" to "&amp;TEXT(WeekEnd,"mmm d"))</f>
        <v/>
      </c>
      <c r="K104" s="42" t="str">
        <f aca="false">IFERROR(SMALL(ps_KeyCCD,28),"")</f>
        <v/>
      </c>
      <c r="L104" s="42" t="str">
        <f aca="false">IF(K104="","",MATCH(K104,ps_KeyCCD,0))</f>
        <v/>
      </c>
    </row>
    <row r="105" customFormat="false" ht="15" hidden="false" customHeight="false" outlineLevel="0" collapsed="false">
      <c r="A105" s="36" t="str">
        <f aca="false">IF(L105="","",29)</f>
        <v/>
      </c>
      <c r="B105" s="40" t="str">
        <f aca="false">IF(L105="","","CCD")</f>
        <v/>
      </c>
      <c r="C105" s="52" t="str">
        <f aca="false">IF(L105="","",IF(INDEX(cg_AcctKind,MATCH(D105,cg_ID,0))="Savings",32,22))</f>
        <v/>
      </c>
      <c r="D105" s="40" t="str">
        <f aca="false">IF(L105="","",INDEX(ps_ID,L105))</f>
        <v/>
      </c>
      <c r="E105" s="26" t="str">
        <f aca="false">IF(L105="","",IF(INDEX(cg_PayeeType,MATCH(D105,cg_ID,0))="Business",INDEX(cg_Business,MATCH(D105,cg_ID,0)),INDEX(ps_Name,L105)))</f>
        <v/>
      </c>
      <c r="F105" s="40" t="str">
        <f aca="false">IF(L105="","",INDEX(cg_Routing,MATCH(D105,cg_ID,0)))</f>
        <v/>
      </c>
      <c r="G105" s="40" t="str">
        <f aca="false">IF(L105="","",INDEX(cg_Account,MATCH(D105,cg_ID,0)))</f>
        <v/>
      </c>
      <c r="H105" s="28" t="str">
        <f aca="false">IF(L105="","",INDEX(ps_Total,L105))</f>
        <v/>
      </c>
      <c r="I105" s="40" t="str">
        <f aca="false">IF(L105="","",EntryDesc)</f>
        <v/>
      </c>
      <c r="J105" s="26" t="str">
        <f aca="false">IF(L105="","","Caregiver services "&amp;TEXT(WeekStart,"mmm d")&amp;" to "&amp;TEXT(WeekEnd,"mmm d"))</f>
        <v/>
      </c>
      <c r="K105" s="42" t="str">
        <f aca="false">IFERROR(SMALL(ps_KeyCCD,29),"")</f>
        <v/>
      </c>
      <c r="L105" s="42" t="str">
        <f aca="false">IF(K105="","",MATCH(K105,ps_KeyCCD,0))</f>
        <v/>
      </c>
    </row>
    <row r="106" customFormat="false" ht="15" hidden="false" customHeight="false" outlineLevel="0" collapsed="false">
      <c r="A106" s="36" t="str">
        <f aca="false">IF(L106="","",30)</f>
        <v/>
      </c>
      <c r="B106" s="40" t="str">
        <f aca="false">IF(L106="","","CCD")</f>
        <v/>
      </c>
      <c r="C106" s="52" t="str">
        <f aca="false">IF(L106="","",IF(INDEX(cg_AcctKind,MATCH(D106,cg_ID,0))="Savings",32,22))</f>
        <v/>
      </c>
      <c r="D106" s="40" t="str">
        <f aca="false">IF(L106="","",INDEX(ps_ID,L106))</f>
        <v/>
      </c>
      <c r="E106" s="26" t="str">
        <f aca="false">IF(L106="","",IF(INDEX(cg_PayeeType,MATCH(D106,cg_ID,0))="Business",INDEX(cg_Business,MATCH(D106,cg_ID,0)),INDEX(ps_Name,L106)))</f>
        <v/>
      </c>
      <c r="F106" s="40" t="str">
        <f aca="false">IF(L106="","",INDEX(cg_Routing,MATCH(D106,cg_ID,0)))</f>
        <v/>
      </c>
      <c r="G106" s="40" t="str">
        <f aca="false">IF(L106="","",INDEX(cg_Account,MATCH(D106,cg_ID,0)))</f>
        <v/>
      </c>
      <c r="H106" s="28" t="str">
        <f aca="false">IF(L106="","",INDEX(ps_Total,L106))</f>
        <v/>
      </c>
      <c r="I106" s="40" t="str">
        <f aca="false">IF(L106="","",EntryDesc)</f>
        <v/>
      </c>
      <c r="J106" s="26" t="str">
        <f aca="false">IF(L106="","","Caregiver services "&amp;TEXT(WeekStart,"mmm d")&amp;" to "&amp;TEXT(WeekEnd,"mmm d"))</f>
        <v/>
      </c>
      <c r="K106" s="42" t="str">
        <f aca="false">IFERROR(SMALL(ps_KeyCCD,30),"")</f>
        <v/>
      </c>
      <c r="L106" s="42" t="str">
        <f aca="false">IF(K106="","",MATCH(K106,ps_KeyCCD,0))</f>
        <v/>
      </c>
    </row>
    <row r="107" customFormat="false" ht="15" hidden="false" customHeight="false" outlineLevel="0" collapsed="false">
      <c r="A107" s="36" t="str">
        <f aca="false">IF(L107="","",31)</f>
        <v/>
      </c>
      <c r="B107" s="40" t="str">
        <f aca="false">IF(L107="","","CCD")</f>
        <v/>
      </c>
      <c r="C107" s="52" t="str">
        <f aca="false">IF(L107="","",IF(INDEX(cg_AcctKind,MATCH(D107,cg_ID,0))="Savings",32,22))</f>
        <v/>
      </c>
      <c r="D107" s="40" t="str">
        <f aca="false">IF(L107="","",INDEX(ps_ID,L107))</f>
        <v/>
      </c>
      <c r="E107" s="26" t="str">
        <f aca="false">IF(L107="","",IF(INDEX(cg_PayeeType,MATCH(D107,cg_ID,0))="Business",INDEX(cg_Business,MATCH(D107,cg_ID,0)),INDEX(ps_Name,L107)))</f>
        <v/>
      </c>
      <c r="F107" s="40" t="str">
        <f aca="false">IF(L107="","",INDEX(cg_Routing,MATCH(D107,cg_ID,0)))</f>
        <v/>
      </c>
      <c r="G107" s="40" t="str">
        <f aca="false">IF(L107="","",INDEX(cg_Account,MATCH(D107,cg_ID,0)))</f>
        <v/>
      </c>
      <c r="H107" s="28" t="str">
        <f aca="false">IF(L107="","",INDEX(ps_Total,L107))</f>
        <v/>
      </c>
      <c r="I107" s="40" t="str">
        <f aca="false">IF(L107="","",EntryDesc)</f>
        <v/>
      </c>
      <c r="J107" s="26" t="str">
        <f aca="false">IF(L107="","","Caregiver services "&amp;TEXT(WeekStart,"mmm d")&amp;" to "&amp;TEXT(WeekEnd,"mmm d"))</f>
        <v/>
      </c>
      <c r="K107" s="42" t="str">
        <f aca="false">IFERROR(SMALL(ps_KeyCCD,31),"")</f>
        <v/>
      </c>
      <c r="L107" s="42" t="str">
        <f aca="false">IF(K107="","",MATCH(K107,ps_KeyCCD,0))</f>
        <v/>
      </c>
    </row>
    <row r="108" customFormat="false" ht="15" hidden="false" customHeight="false" outlineLevel="0" collapsed="false">
      <c r="A108" s="36" t="str">
        <f aca="false">IF(L108="","",32)</f>
        <v/>
      </c>
      <c r="B108" s="40" t="str">
        <f aca="false">IF(L108="","","CCD")</f>
        <v/>
      </c>
      <c r="C108" s="52" t="str">
        <f aca="false">IF(L108="","",IF(INDEX(cg_AcctKind,MATCH(D108,cg_ID,0))="Savings",32,22))</f>
        <v/>
      </c>
      <c r="D108" s="40" t="str">
        <f aca="false">IF(L108="","",INDEX(ps_ID,L108))</f>
        <v/>
      </c>
      <c r="E108" s="26" t="str">
        <f aca="false">IF(L108="","",IF(INDEX(cg_PayeeType,MATCH(D108,cg_ID,0))="Business",INDEX(cg_Business,MATCH(D108,cg_ID,0)),INDEX(ps_Name,L108)))</f>
        <v/>
      </c>
      <c r="F108" s="40" t="str">
        <f aca="false">IF(L108="","",INDEX(cg_Routing,MATCH(D108,cg_ID,0)))</f>
        <v/>
      </c>
      <c r="G108" s="40" t="str">
        <f aca="false">IF(L108="","",INDEX(cg_Account,MATCH(D108,cg_ID,0)))</f>
        <v/>
      </c>
      <c r="H108" s="28" t="str">
        <f aca="false">IF(L108="","",INDEX(ps_Total,L108))</f>
        <v/>
      </c>
      <c r="I108" s="40" t="str">
        <f aca="false">IF(L108="","",EntryDesc)</f>
        <v/>
      </c>
      <c r="J108" s="26" t="str">
        <f aca="false">IF(L108="","","Caregiver services "&amp;TEXT(WeekStart,"mmm d")&amp;" to "&amp;TEXT(WeekEnd,"mmm d"))</f>
        <v/>
      </c>
      <c r="K108" s="42" t="str">
        <f aca="false">IFERROR(SMALL(ps_KeyCCD,32),"")</f>
        <v/>
      </c>
      <c r="L108" s="42" t="str">
        <f aca="false">IF(K108="","",MATCH(K108,ps_KeyCCD,0))</f>
        <v/>
      </c>
    </row>
    <row r="109" customFormat="false" ht="15" hidden="false" customHeight="false" outlineLevel="0" collapsed="false">
      <c r="A109" s="36" t="str">
        <f aca="false">IF(L109="","",33)</f>
        <v/>
      </c>
      <c r="B109" s="40" t="str">
        <f aca="false">IF(L109="","","CCD")</f>
        <v/>
      </c>
      <c r="C109" s="52" t="str">
        <f aca="false">IF(L109="","",IF(INDEX(cg_AcctKind,MATCH(D109,cg_ID,0))="Savings",32,22))</f>
        <v/>
      </c>
      <c r="D109" s="40" t="str">
        <f aca="false">IF(L109="","",INDEX(ps_ID,L109))</f>
        <v/>
      </c>
      <c r="E109" s="26" t="str">
        <f aca="false">IF(L109="","",IF(INDEX(cg_PayeeType,MATCH(D109,cg_ID,0))="Business",INDEX(cg_Business,MATCH(D109,cg_ID,0)),INDEX(ps_Name,L109)))</f>
        <v/>
      </c>
      <c r="F109" s="40" t="str">
        <f aca="false">IF(L109="","",INDEX(cg_Routing,MATCH(D109,cg_ID,0)))</f>
        <v/>
      </c>
      <c r="G109" s="40" t="str">
        <f aca="false">IF(L109="","",INDEX(cg_Account,MATCH(D109,cg_ID,0)))</f>
        <v/>
      </c>
      <c r="H109" s="28" t="str">
        <f aca="false">IF(L109="","",INDEX(ps_Total,L109))</f>
        <v/>
      </c>
      <c r="I109" s="40" t="str">
        <f aca="false">IF(L109="","",EntryDesc)</f>
        <v/>
      </c>
      <c r="J109" s="26" t="str">
        <f aca="false">IF(L109="","","Caregiver services "&amp;TEXT(WeekStart,"mmm d")&amp;" to "&amp;TEXT(WeekEnd,"mmm d"))</f>
        <v/>
      </c>
      <c r="K109" s="42" t="str">
        <f aca="false">IFERROR(SMALL(ps_KeyCCD,33),"")</f>
        <v/>
      </c>
      <c r="L109" s="42" t="str">
        <f aca="false">IF(K109="","",MATCH(K109,ps_KeyCCD,0))</f>
        <v/>
      </c>
    </row>
    <row r="110" customFormat="false" ht="15" hidden="false" customHeight="false" outlineLevel="0" collapsed="false">
      <c r="A110" s="36" t="str">
        <f aca="false">IF(L110="","",34)</f>
        <v/>
      </c>
      <c r="B110" s="40" t="str">
        <f aca="false">IF(L110="","","CCD")</f>
        <v/>
      </c>
      <c r="C110" s="52" t="str">
        <f aca="false">IF(L110="","",IF(INDEX(cg_AcctKind,MATCH(D110,cg_ID,0))="Savings",32,22))</f>
        <v/>
      </c>
      <c r="D110" s="40" t="str">
        <f aca="false">IF(L110="","",INDEX(ps_ID,L110))</f>
        <v/>
      </c>
      <c r="E110" s="26" t="str">
        <f aca="false">IF(L110="","",IF(INDEX(cg_PayeeType,MATCH(D110,cg_ID,0))="Business",INDEX(cg_Business,MATCH(D110,cg_ID,0)),INDEX(ps_Name,L110)))</f>
        <v/>
      </c>
      <c r="F110" s="40" t="str">
        <f aca="false">IF(L110="","",INDEX(cg_Routing,MATCH(D110,cg_ID,0)))</f>
        <v/>
      </c>
      <c r="G110" s="40" t="str">
        <f aca="false">IF(L110="","",INDEX(cg_Account,MATCH(D110,cg_ID,0)))</f>
        <v/>
      </c>
      <c r="H110" s="28" t="str">
        <f aca="false">IF(L110="","",INDEX(ps_Total,L110))</f>
        <v/>
      </c>
      <c r="I110" s="40" t="str">
        <f aca="false">IF(L110="","",EntryDesc)</f>
        <v/>
      </c>
      <c r="J110" s="26" t="str">
        <f aca="false">IF(L110="","","Caregiver services "&amp;TEXT(WeekStart,"mmm d")&amp;" to "&amp;TEXT(WeekEnd,"mmm d"))</f>
        <v/>
      </c>
      <c r="K110" s="42" t="str">
        <f aca="false">IFERROR(SMALL(ps_KeyCCD,34),"")</f>
        <v/>
      </c>
      <c r="L110" s="42" t="str">
        <f aca="false">IF(K110="","",MATCH(K110,ps_KeyCCD,0))</f>
        <v/>
      </c>
    </row>
    <row r="111" customFormat="false" ht="15" hidden="false" customHeight="false" outlineLevel="0" collapsed="false">
      <c r="A111" s="36" t="str">
        <f aca="false">IF(L111="","",35)</f>
        <v/>
      </c>
      <c r="B111" s="40" t="str">
        <f aca="false">IF(L111="","","CCD")</f>
        <v/>
      </c>
      <c r="C111" s="52" t="str">
        <f aca="false">IF(L111="","",IF(INDEX(cg_AcctKind,MATCH(D111,cg_ID,0))="Savings",32,22))</f>
        <v/>
      </c>
      <c r="D111" s="40" t="str">
        <f aca="false">IF(L111="","",INDEX(ps_ID,L111))</f>
        <v/>
      </c>
      <c r="E111" s="26" t="str">
        <f aca="false">IF(L111="","",IF(INDEX(cg_PayeeType,MATCH(D111,cg_ID,0))="Business",INDEX(cg_Business,MATCH(D111,cg_ID,0)),INDEX(ps_Name,L111)))</f>
        <v/>
      </c>
      <c r="F111" s="40" t="str">
        <f aca="false">IF(L111="","",INDEX(cg_Routing,MATCH(D111,cg_ID,0)))</f>
        <v/>
      </c>
      <c r="G111" s="40" t="str">
        <f aca="false">IF(L111="","",INDEX(cg_Account,MATCH(D111,cg_ID,0)))</f>
        <v/>
      </c>
      <c r="H111" s="28" t="str">
        <f aca="false">IF(L111="","",INDEX(ps_Total,L111))</f>
        <v/>
      </c>
      <c r="I111" s="40" t="str">
        <f aca="false">IF(L111="","",EntryDesc)</f>
        <v/>
      </c>
      <c r="J111" s="26" t="str">
        <f aca="false">IF(L111="","","Caregiver services "&amp;TEXT(WeekStart,"mmm d")&amp;" to "&amp;TEXT(WeekEnd,"mmm d"))</f>
        <v/>
      </c>
      <c r="K111" s="42" t="str">
        <f aca="false">IFERROR(SMALL(ps_KeyCCD,35),"")</f>
        <v/>
      </c>
      <c r="L111" s="42" t="str">
        <f aca="false">IF(K111="","",MATCH(K111,ps_KeyCCD,0))</f>
        <v/>
      </c>
    </row>
    <row r="112" customFormat="false" ht="15" hidden="false" customHeight="false" outlineLevel="0" collapsed="false">
      <c r="A112" s="36" t="str">
        <f aca="false">IF(L112="","",36)</f>
        <v/>
      </c>
      <c r="B112" s="40" t="str">
        <f aca="false">IF(L112="","","CCD")</f>
        <v/>
      </c>
      <c r="C112" s="52" t="str">
        <f aca="false">IF(L112="","",IF(INDEX(cg_AcctKind,MATCH(D112,cg_ID,0))="Savings",32,22))</f>
        <v/>
      </c>
      <c r="D112" s="40" t="str">
        <f aca="false">IF(L112="","",INDEX(ps_ID,L112))</f>
        <v/>
      </c>
      <c r="E112" s="26" t="str">
        <f aca="false">IF(L112="","",IF(INDEX(cg_PayeeType,MATCH(D112,cg_ID,0))="Business",INDEX(cg_Business,MATCH(D112,cg_ID,0)),INDEX(ps_Name,L112)))</f>
        <v/>
      </c>
      <c r="F112" s="40" t="str">
        <f aca="false">IF(L112="","",INDEX(cg_Routing,MATCH(D112,cg_ID,0)))</f>
        <v/>
      </c>
      <c r="G112" s="40" t="str">
        <f aca="false">IF(L112="","",INDEX(cg_Account,MATCH(D112,cg_ID,0)))</f>
        <v/>
      </c>
      <c r="H112" s="28" t="str">
        <f aca="false">IF(L112="","",INDEX(ps_Total,L112))</f>
        <v/>
      </c>
      <c r="I112" s="40" t="str">
        <f aca="false">IF(L112="","",EntryDesc)</f>
        <v/>
      </c>
      <c r="J112" s="26" t="str">
        <f aca="false">IF(L112="","","Caregiver services "&amp;TEXT(WeekStart,"mmm d")&amp;" to "&amp;TEXT(WeekEnd,"mmm d"))</f>
        <v/>
      </c>
      <c r="K112" s="42" t="str">
        <f aca="false">IFERROR(SMALL(ps_KeyCCD,36),"")</f>
        <v/>
      </c>
      <c r="L112" s="42" t="str">
        <f aca="false">IF(K112="","",MATCH(K112,ps_KeyCCD,0))</f>
        <v/>
      </c>
    </row>
    <row r="113" customFormat="false" ht="15" hidden="false" customHeight="false" outlineLevel="0" collapsed="false">
      <c r="A113" s="36" t="str">
        <f aca="false">IF(L113="","",37)</f>
        <v/>
      </c>
      <c r="B113" s="40" t="str">
        <f aca="false">IF(L113="","","CCD")</f>
        <v/>
      </c>
      <c r="C113" s="52" t="str">
        <f aca="false">IF(L113="","",IF(INDEX(cg_AcctKind,MATCH(D113,cg_ID,0))="Savings",32,22))</f>
        <v/>
      </c>
      <c r="D113" s="40" t="str">
        <f aca="false">IF(L113="","",INDEX(ps_ID,L113))</f>
        <v/>
      </c>
      <c r="E113" s="26" t="str">
        <f aca="false">IF(L113="","",IF(INDEX(cg_PayeeType,MATCH(D113,cg_ID,0))="Business",INDEX(cg_Business,MATCH(D113,cg_ID,0)),INDEX(ps_Name,L113)))</f>
        <v/>
      </c>
      <c r="F113" s="40" t="str">
        <f aca="false">IF(L113="","",INDEX(cg_Routing,MATCH(D113,cg_ID,0)))</f>
        <v/>
      </c>
      <c r="G113" s="40" t="str">
        <f aca="false">IF(L113="","",INDEX(cg_Account,MATCH(D113,cg_ID,0)))</f>
        <v/>
      </c>
      <c r="H113" s="28" t="str">
        <f aca="false">IF(L113="","",INDEX(ps_Total,L113))</f>
        <v/>
      </c>
      <c r="I113" s="40" t="str">
        <f aca="false">IF(L113="","",EntryDesc)</f>
        <v/>
      </c>
      <c r="J113" s="26" t="str">
        <f aca="false">IF(L113="","","Caregiver services "&amp;TEXT(WeekStart,"mmm d")&amp;" to "&amp;TEXT(WeekEnd,"mmm d"))</f>
        <v/>
      </c>
      <c r="K113" s="42" t="str">
        <f aca="false">IFERROR(SMALL(ps_KeyCCD,37),"")</f>
        <v/>
      </c>
      <c r="L113" s="42" t="str">
        <f aca="false">IF(K113="","",MATCH(K113,ps_KeyCCD,0))</f>
        <v/>
      </c>
    </row>
    <row r="114" customFormat="false" ht="15" hidden="false" customHeight="false" outlineLevel="0" collapsed="false">
      <c r="A114" s="36" t="str">
        <f aca="false">IF(L114="","",38)</f>
        <v/>
      </c>
      <c r="B114" s="40" t="str">
        <f aca="false">IF(L114="","","CCD")</f>
        <v/>
      </c>
      <c r="C114" s="52" t="str">
        <f aca="false">IF(L114="","",IF(INDEX(cg_AcctKind,MATCH(D114,cg_ID,0))="Savings",32,22))</f>
        <v/>
      </c>
      <c r="D114" s="40" t="str">
        <f aca="false">IF(L114="","",INDEX(ps_ID,L114))</f>
        <v/>
      </c>
      <c r="E114" s="26" t="str">
        <f aca="false">IF(L114="","",IF(INDEX(cg_PayeeType,MATCH(D114,cg_ID,0))="Business",INDEX(cg_Business,MATCH(D114,cg_ID,0)),INDEX(ps_Name,L114)))</f>
        <v/>
      </c>
      <c r="F114" s="40" t="str">
        <f aca="false">IF(L114="","",INDEX(cg_Routing,MATCH(D114,cg_ID,0)))</f>
        <v/>
      </c>
      <c r="G114" s="40" t="str">
        <f aca="false">IF(L114="","",INDEX(cg_Account,MATCH(D114,cg_ID,0)))</f>
        <v/>
      </c>
      <c r="H114" s="28" t="str">
        <f aca="false">IF(L114="","",INDEX(ps_Total,L114))</f>
        <v/>
      </c>
      <c r="I114" s="40" t="str">
        <f aca="false">IF(L114="","",EntryDesc)</f>
        <v/>
      </c>
      <c r="J114" s="26" t="str">
        <f aca="false">IF(L114="","","Caregiver services "&amp;TEXT(WeekStart,"mmm d")&amp;" to "&amp;TEXT(WeekEnd,"mmm d"))</f>
        <v/>
      </c>
      <c r="K114" s="42" t="str">
        <f aca="false">IFERROR(SMALL(ps_KeyCCD,38),"")</f>
        <v/>
      </c>
      <c r="L114" s="42" t="str">
        <f aca="false">IF(K114="","",MATCH(K114,ps_KeyCCD,0))</f>
        <v/>
      </c>
    </row>
    <row r="115" customFormat="false" ht="15" hidden="false" customHeight="false" outlineLevel="0" collapsed="false">
      <c r="A115" s="36" t="str">
        <f aca="false">IF(L115="","",39)</f>
        <v/>
      </c>
      <c r="B115" s="40" t="str">
        <f aca="false">IF(L115="","","CCD")</f>
        <v/>
      </c>
      <c r="C115" s="52" t="str">
        <f aca="false">IF(L115="","",IF(INDEX(cg_AcctKind,MATCH(D115,cg_ID,0))="Savings",32,22))</f>
        <v/>
      </c>
      <c r="D115" s="40" t="str">
        <f aca="false">IF(L115="","",INDEX(ps_ID,L115))</f>
        <v/>
      </c>
      <c r="E115" s="26" t="str">
        <f aca="false">IF(L115="","",IF(INDEX(cg_PayeeType,MATCH(D115,cg_ID,0))="Business",INDEX(cg_Business,MATCH(D115,cg_ID,0)),INDEX(ps_Name,L115)))</f>
        <v/>
      </c>
      <c r="F115" s="40" t="str">
        <f aca="false">IF(L115="","",INDEX(cg_Routing,MATCH(D115,cg_ID,0)))</f>
        <v/>
      </c>
      <c r="G115" s="40" t="str">
        <f aca="false">IF(L115="","",INDEX(cg_Account,MATCH(D115,cg_ID,0)))</f>
        <v/>
      </c>
      <c r="H115" s="28" t="str">
        <f aca="false">IF(L115="","",INDEX(ps_Total,L115))</f>
        <v/>
      </c>
      <c r="I115" s="40" t="str">
        <f aca="false">IF(L115="","",EntryDesc)</f>
        <v/>
      </c>
      <c r="J115" s="26" t="str">
        <f aca="false">IF(L115="","","Caregiver services "&amp;TEXT(WeekStart,"mmm d")&amp;" to "&amp;TEXT(WeekEnd,"mmm d"))</f>
        <v/>
      </c>
      <c r="K115" s="42" t="str">
        <f aca="false">IFERROR(SMALL(ps_KeyCCD,39),"")</f>
        <v/>
      </c>
      <c r="L115" s="42" t="str">
        <f aca="false">IF(K115="","",MATCH(K115,ps_KeyCCD,0))</f>
        <v/>
      </c>
    </row>
    <row r="116" customFormat="false" ht="15" hidden="false" customHeight="false" outlineLevel="0" collapsed="false">
      <c r="A116" s="36" t="str">
        <f aca="false">IF(L116="","",40)</f>
        <v/>
      </c>
      <c r="B116" s="40" t="str">
        <f aca="false">IF(L116="","","CCD")</f>
        <v/>
      </c>
      <c r="C116" s="52" t="str">
        <f aca="false">IF(L116="","",IF(INDEX(cg_AcctKind,MATCH(D116,cg_ID,0))="Savings",32,22))</f>
        <v/>
      </c>
      <c r="D116" s="40" t="str">
        <f aca="false">IF(L116="","",INDEX(ps_ID,L116))</f>
        <v/>
      </c>
      <c r="E116" s="26" t="str">
        <f aca="false">IF(L116="","",IF(INDEX(cg_PayeeType,MATCH(D116,cg_ID,0))="Business",INDEX(cg_Business,MATCH(D116,cg_ID,0)),INDEX(ps_Name,L116)))</f>
        <v/>
      </c>
      <c r="F116" s="40" t="str">
        <f aca="false">IF(L116="","",INDEX(cg_Routing,MATCH(D116,cg_ID,0)))</f>
        <v/>
      </c>
      <c r="G116" s="40" t="str">
        <f aca="false">IF(L116="","",INDEX(cg_Account,MATCH(D116,cg_ID,0)))</f>
        <v/>
      </c>
      <c r="H116" s="28" t="str">
        <f aca="false">IF(L116="","",INDEX(ps_Total,L116))</f>
        <v/>
      </c>
      <c r="I116" s="40" t="str">
        <f aca="false">IF(L116="","",EntryDesc)</f>
        <v/>
      </c>
      <c r="J116" s="26" t="str">
        <f aca="false">IF(L116="","","Caregiver services "&amp;TEXT(WeekStart,"mmm d")&amp;" to "&amp;TEXT(WeekEnd,"mmm d"))</f>
        <v/>
      </c>
      <c r="K116" s="42" t="str">
        <f aca="false">IFERROR(SMALL(ps_KeyCCD,40),"")</f>
        <v/>
      </c>
      <c r="L116" s="42" t="str">
        <f aca="false">IF(K116="","",MATCH(K116,ps_KeyCCD,0))</f>
        <v/>
      </c>
    </row>
    <row r="117" customFormat="false" ht="15" hidden="false" customHeight="false" outlineLevel="0" collapsed="false">
      <c r="A117" s="36" t="str">
        <f aca="false">IF(L117="","",41)</f>
        <v/>
      </c>
      <c r="B117" s="40" t="str">
        <f aca="false">IF(L117="","","CCD")</f>
        <v/>
      </c>
      <c r="C117" s="52" t="str">
        <f aca="false">IF(L117="","",IF(INDEX(cg_AcctKind,MATCH(D117,cg_ID,0))="Savings",32,22))</f>
        <v/>
      </c>
      <c r="D117" s="40" t="str">
        <f aca="false">IF(L117="","",INDEX(ps_ID,L117))</f>
        <v/>
      </c>
      <c r="E117" s="26" t="str">
        <f aca="false">IF(L117="","",IF(INDEX(cg_PayeeType,MATCH(D117,cg_ID,0))="Business",INDEX(cg_Business,MATCH(D117,cg_ID,0)),INDEX(ps_Name,L117)))</f>
        <v/>
      </c>
      <c r="F117" s="40" t="str">
        <f aca="false">IF(L117="","",INDEX(cg_Routing,MATCH(D117,cg_ID,0)))</f>
        <v/>
      </c>
      <c r="G117" s="40" t="str">
        <f aca="false">IF(L117="","",INDEX(cg_Account,MATCH(D117,cg_ID,0)))</f>
        <v/>
      </c>
      <c r="H117" s="28" t="str">
        <f aca="false">IF(L117="","",INDEX(ps_Total,L117))</f>
        <v/>
      </c>
      <c r="I117" s="40" t="str">
        <f aca="false">IF(L117="","",EntryDesc)</f>
        <v/>
      </c>
      <c r="J117" s="26" t="str">
        <f aca="false">IF(L117="","","Caregiver services "&amp;TEXT(WeekStart,"mmm d")&amp;" to "&amp;TEXT(WeekEnd,"mmm d"))</f>
        <v/>
      </c>
      <c r="K117" s="42" t="str">
        <f aca="false">IFERROR(SMALL(ps_KeyCCD,41),"")</f>
        <v/>
      </c>
      <c r="L117" s="42" t="str">
        <f aca="false">IF(K117="","",MATCH(K117,ps_KeyCCD,0))</f>
        <v/>
      </c>
    </row>
    <row r="118" customFormat="false" ht="15" hidden="false" customHeight="false" outlineLevel="0" collapsed="false">
      <c r="A118" s="36" t="str">
        <f aca="false">IF(L118="","",42)</f>
        <v/>
      </c>
      <c r="B118" s="40" t="str">
        <f aca="false">IF(L118="","","CCD")</f>
        <v/>
      </c>
      <c r="C118" s="52" t="str">
        <f aca="false">IF(L118="","",IF(INDEX(cg_AcctKind,MATCH(D118,cg_ID,0))="Savings",32,22))</f>
        <v/>
      </c>
      <c r="D118" s="40" t="str">
        <f aca="false">IF(L118="","",INDEX(ps_ID,L118))</f>
        <v/>
      </c>
      <c r="E118" s="26" t="str">
        <f aca="false">IF(L118="","",IF(INDEX(cg_PayeeType,MATCH(D118,cg_ID,0))="Business",INDEX(cg_Business,MATCH(D118,cg_ID,0)),INDEX(ps_Name,L118)))</f>
        <v/>
      </c>
      <c r="F118" s="40" t="str">
        <f aca="false">IF(L118="","",INDEX(cg_Routing,MATCH(D118,cg_ID,0)))</f>
        <v/>
      </c>
      <c r="G118" s="40" t="str">
        <f aca="false">IF(L118="","",INDEX(cg_Account,MATCH(D118,cg_ID,0)))</f>
        <v/>
      </c>
      <c r="H118" s="28" t="str">
        <f aca="false">IF(L118="","",INDEX(ps_Total,L118))</f>
        <v/>
      </c>
      <c r="I118" s="40" t="str">
        <f aca="false">IF(L118="","",EntryDesc)</f>
        <v/>
      </c>
      <c r="J118" s="26" t="str">
        <f aca="false">IF(L118="","","Caregiver services "&amp;TEXT(WeekStart,"mmm d")&amp;" to "&amp;TEXT(WeekEnd,"mmm d"))</f>
        <v/>
      </c>
      <c r="K118" s="42" t="str">
        <f aca="false">IFERROR(SMALL(ps_KeyCCD,42),"")</f>
        <v/>
      </c>
      <c r="L118" s="42" t="str">
        <f aca="false">IF(K118="","",MATCH(K118,ps_KeyCCD,0))</f>
        <v/>
      </c>
    </row>
    <row r="119" customFormat="false" ht="15" hidden="false" customHeight="false" outlineLevel="0" collapsed="false">
      <c r="A119" s="36" t="str">
        <f aca="false">IF(L119="","",43)</f>
        <v/>
      </c>
      <c r="B119" s="40" t="str">
        <f aca="false">IF(L119="","","CCD")</f>
        <v/>
      </c>
      <c r="C119" s="52" t="str">
        <f aca="false">IF(L119="","",IF(INDEX(cg_AcctKind,MATCH(D119,cg_ID,0))="Savings",32,22))</f>
        <v/>
      </c>
      <c r="D119" s="40" t="str">
        <f aca="false">IF(L119="","",INDEX(ps_ID,L119))</f>
        <v/>
      </c>
      <c r="E119" s="26" t="str">
        <f aca="false">IF(L119="","",IF(INDEX(cg_PayeeType,MATCH(D119,cg_ID,0))="Business",INDEX(cg_Business,MATCH(D119,cg_ID,0)),INDEX(ps_Name,L119)))</f>
        <v/>
      </c>
      <c r="F119" s="40" t="str">
        <f aca="false">IF(L119="","",INDEX(cg_Routing,MATCH(D119,cg_ID,0)))</f>
        <v/>
      </c>
      <c r="G119" s="40" t="str">
        <f aca="false">IF(L119="","",INDEX(cg_Account,MATCH(D119,cg_ID,0)))</f>
        <v/>
      </c>
      <c r="H119" s="28" t="str">
        <f aca="false">IF(L119="","",INDEX(ps_Total,L119))</f>
        <v/>
      </c>
      <c r="I119" s="40" t="str">
        <f aca="false">IF(L119="","",EntryDesc)</f>
        <v/>
      </c>
      <c r="J119" s="26" t="str">
        <f aca="false">IF(L119="","","Caregiver services "&amp;TEXT(WeekStart,"mmm d")&amp;" to "&amp;TEXT(WeekEnd,"mmm d"))</f>
        <v/>
      </c>
      <c r="K119" s="42" t="str">
        <f aca="false">IFERROR(SMALL(ps_KeyCCD,43),"")</f>
        <v/>
      </c>
      <c r="L119" s="42" t="str">
        <f aca="false">IF(K119="","",MATCH(K119,ps_KeyCCD,0))</f>
        <v/>
      </c>
    </row>
    <row r="120" customFormat="false" ht="15" hidden="false" customHeight="false" outlineLevel="0" collapsed="false">
      <c r="A120" s="36" t="str">
        <f aca="false">IF(L120="","",44)</f>
        <v/>
      </c>
      <c r="B120" s="40" t="str">
        <f aca="false">IF(L120="","","CCD")</f>
        <v/>
      </c>
      <c r="C120" s="52" t="str">
        <f aca="false">IF(L120="","",IF(INDEX(cg_AcctKind,MATCH(D120,cg_ID,0))="Savings",32,22))</f>
        <v/>
      </c>
      <c r="D120" s="40" t="str">
        <f aca="false">IF(L120="","",INDEX(ps_ID,L120))</f>
        <v/>
      </c>
      <c r="E120" s="26" t="str">
        <f aca="false">IF(L120="","",IF(INDEX(cg_PayeeType,MATCH(D120,cg_ID,0))="Business",INDEX(cg_Business,MATCH(D120,cg_ID,0)),INDEX(ps_Name,L120)))</f>
        <v/>
      </c>
      <c r="F120" s="40" t="str">
        <f aca="false">IF(L120="","",INDEX(cg_Routing,MATCH(D120,cg_ID,0)))</f>
        <v/>
      </c>
      <c r="G120" s="40" t="str">
        <f aca="false">IF(L120="","",INDEX(cg_Account,MATCH(D120,cg_ID,0)))</f>
        <v/>
      </c>
      <c r="H120" s="28" t="str">
        <f aca="false">IF(L120="","",INDEX(ps_Total,L120))</f>
        <v/>
      </c>
      <c r="I120" s="40" t="str">
        <f aca="false">IF(L120="","",EntryDesc)</f>
        <v/>
      </c>
      <c r="J120" s="26" t="str">
        <f aca="false">IF(L120="","","Caregiver services "&amp;TEXT(WeekStart,"mmm d")&amp;" to "&amp;TEXT(WeekEnd,"mmm d"))</f>
        <v/>
      </c>
      <c r="K120" s="42" t="str">
        <f aca="false">IFERROR(SMALL(ps_KeyCCD,44),"")</f>
        <v/>
      </c>
      <c r="L120" s="42" t="str">
        <f aca="false">IF(K120="","",MATCH(K120,ps_KeyCCD,0))</f>
        <v/>
      </c>
    </row>
    <row r="121" customFormat="false" ht="15" hidden="false" customHeight="false" outlineLevel="0" collapsed="false">
      <c r="A121" s="36" t="str">
        <f aca="false">IF(L121="","",45)</f>
        <v/>
      </c>
      <c r="B121" s="40" t="str">
        <f aca="false">IF(L121="","","CCD")</f>
        <v/>
      </c>
      <c r="C121" s="52" t="str">
        <f aca="false">IF(L121="","",IF(INDEX(cg_AcctKind,MATCH(D121,cg_ID,0))="Savings",32,22))</f>
        <v/>
      </c>
      <c r="D121" s="40" t="str">
        <f aca="false">IF(L121="","",INDEX(ps_ID,L121))</f>
        <v/>
      </c>
      <c r="E121" s="26" t="str">
        <f aca="false">IF(L121="","",IF(INDEX(cg_PayeeType,MATCH(D121,cg_ID,0))="Business",INDEX(cg_Business,MATCH(D121,cg_ID,0)),INDEX(ps_Name,L121)))</f>
        <v/>
      </c>
      <c r="F121" s="40" t="str">
        <f aca="false">IF(L121="","",INDEX(cg_Routing,MATCH(D121,cg_ID,0)))</f>
        <v/>
      </c>
      <c r="G121" s="40" t="str">
        <f aca="false">IF(L121="","",INDEX(cg_Account,MATCH(D121,cg_ID,0)))</f>
        <v/>
      </c>
      <c r="H121" s="28" t="str">
        <f aca="false">IF(L121="","",INDEX(ps_Total,L121))</f>
        <v/>
      </c>
      <c r="I121" s="40" t="str">
        <f aca="false">IF(L121="","",EntryDesc)</f>
        <v/>
      </c>
      <c r="J121" s="26" t="str">
        <f aca="false">IF(L121="","","Caregiver services "&amp;TEXT(WeekStart,"mmm d")&amp;" to "&amp;TEXT(WeekEnd,"mmm d"))</f>
        <v/>
      </c>
      <c r="K121" s="42" t="str">
        <f aca="false">IFERROR(SMALL(ps_KeyCCD,45),"")</f>
        <v/>
      </c>
      <c r="L121" s="42" t="str">
        <f aca="false">IF(K121="","",MATCH(K121,ps_KeyCCD,0))</f>
        <v/>
      </c>
    </row>
    <row r="122" customFormat="false" ht="15" hidden="false" customHeight="false" outlineLevel="0" collapsed="false">
      <c r="A122" s="36" t="str">
        <f aca="false">IF(L122="","",46)</f>
        <v/>
      </c>
      <c r="B122" s="40" t="str">
        <f aca="false">IF(L122="","","CCD")</f>
        <v/>
      </c>
      <c r="C122" s="52" t="str">
        <f aca="false">IF(L122="","",IF(INDEX(cg_AcctKind,MATCH(D122,cg_ID,0))="Savings",32,22))</f>
        <v/>
      </c>
      <c r="D122" s="40" t="str">
        <f aca="false">IF(L122="","",INDEX(ps_ID,L122))</f>
        <v/>
      </c>
      <c r="E122" s="26" t="str">
        <f aca="false">IF(L122="","",IF(INDEX(cg_PayeeType,MATCH(D122,cg_ID,0))="Business",INDEX(cg_Business,MATCH(D122,cg_ID,0)),INDEX(ps_Name,L122)))</f>
        <v/>
      </c>
      <c r="F122" s="40" t="str">
        <f aca="false">IF(L122="","",INDEX(cg_Routing,MATCH(D122,cg_ID,0)))</f>
        <v/>
      </c>
      <c r="G122" s="40" t="str">
        <f aca="false">IF(L122="","",INDEX(cg_Account,MATCH(D122,cg_ID,0)))</f>
        <v/>
      </c>
      <c r="H122" s="28" t="str">
        <f aca="false">IF(L122="","",INDEX(ps_Total,L122))</f>
        <v/>
      </c>
      <c r="I122" s="40" t="str">
        <f aca="false">IF(L122="","",EntryDesc)</f>
        <v/>
      </c>
      <c r="J122" s="26" t="str">
        <f aca="false">IF(L122="","","Caregiver services "&amp;TEXT(WeekStart,"mmm d")&amp;" to "&amp;TEXT(WeekEnd,"mmm d"))</f>
        <v/>
      </c>
      <c r="K122" s="42" t="str">
        <f aca="false">IFERROR(SMALL(ps_KeyCCD,46),"")</f>
        <v/>
      </c>
      <c r="L122" s="42" t="str">
        <f aca="false">IF(K122="","",MATCH(K122,ps_KeyCCD,0))</f>
        <v/>
      </c>
    </row>
    <row r="123" customFormat="false" ht="15" hidden="false" customHeight="false" outlineLevel="0" collapsed="false">
      <c r="A123" s="36" t="str">
        <f aca="false">IF(L123="","",47)</f>
        <v/>
      </c>
      <c r="B123" s="40" t="str">
        <f aca="false">IF(L123="","","CCD")</f>
        <v/>
      </c>
      <c r="C123" s="52" t="str">
        <f aca="false">IF(L123="","",IF(INDEX(cg_AcctKind,MATCH(D123,cg_ID,0))="Savings",32,22))</f>
        <v/>
      </c>
      <c r="D123" s="40" t="str">
        <f aca="false">IF(L123="","",INDEX(ps_ID,L123))</f>
        <v/>
      </c>
      <c r="E123" s="26" t="str">
        <f aca="false">IF(L123="","",IF(INDEX(cg_PayeeType,MATCH(D123,cg_ID,0))="Business",INDEX(cg_Business,MATCH(D123,cg_ID,0)),INDEX(ps_Name,L123)))</f>
        <v/>
      </c>
      <c r="F123" s="40" t="str">
        <f aca="false">IF(L123="","",INDEX(cg_Routing,MATCH(D123,cg_ID,0)))</f>
        <v/>
      </c>
      <c r="G123" s="40" t="str">
        <f aca="false">IF(L123="","",INDEX(cg_Account,MATCH(D123,cg_ID,0)))</f>
        <v/>
      </c>
      <c r="H123" s="28" t="str">
        <f aca="false">IF(L123="","",INDEX(ps_Total,L123))</f>
        <v/>
      </c>
      <c r="I123" s="40" t="str">
        <f aca="false">IF(L123="","",EntryDesc)</f>
        <v/>
      </c>
      <c r="J123" s="26" t="str">
        <f aca="false">IF(L123="","","Caregiver services "&amp;TEXT(WeekStart,"mmm d")&amp;" to "&amp;TEXT(WeekEnd,"mmm d"))</f>
        <v/>
      </c>
      <c r="K123" s="42" t="str">
        <f aca="false">IFERROR(SMALL(ps_KeyCCD,47),"")</f>
        <v/>
      </c>
      <c r="L123" s="42" t="str">
        <f aca="false">IF(K123="","",MATCH(K123,ps_KeyCCD,0))</f>
        <v/>
      </c>
    </row>
    <row r="124" customFormat="false" ht="15" hidden="false" customHeight="false" outlineLevel="0" collapsed="false">
      <c r="A124" s="36" t="str">
        <f aca="false">IF(L124="","",48)</f>
        <v/>
      </c>
      <c r="B124" s="40" t="str">
        <f aca="false">IF(L124="","","CCD")</f>
        <v/>
      </c>
      <c r="C124" s="52" t="str">
        <f aca="false">IF(L124="","",IF(INDEX(cg_AcctKind,MATCH(D124,cg_ID,0))="Savings",32,22))</f>
        <v/>
      </c>
      <c r="D124" s="40" t="str">
        <f aca="false">IF(L124="","",INDEX(ps_ID,L124))</f>
        <v/>
      </c>
      <c r="E124" s="26" t="str">
        <f aca="false">IF(L124="","",IF(INDEX(cg_PayeeType,MATCH(D124,cg_ID,0))="Business",INDEX(cg_Business,MATCH(D124,cg_ID,0)),INDEX(ps_Name,L124)))</f>
        <v/>
      </c>
      <c r="F124" s="40" t="str">
        <f aca="false">IF(L124="","",INDEX(cg_Routing,MATCH(D124,cg_ID,0)))</f>
        <v/>
      </c>
      <c r="G124" s="40" t="str">
        <f aca="false">IF(L124="","",INDEX(cg_Account,MATCH(D124,cg_ID,0)))</f>
        <v/>
      </c>
      <c r="H124" s="28" t="str">
        <f aca="false">IF(L124="","",INDEX(ps_Total,L124))</f>
        <v/>
      </c>
      <c r="I124" s="40" t="str">
        <f aca="false">IF(L124="","",EntryDesc)</f>
        <v/>
      </c>
      <c r="J124" s="26" t="str">
        <f aca="false">IF(L124="","","Caregiver services "&amp;TEXT(WeekStart,"mmm d")&amp;" to "&amp;TEXT(WeekEnd,"mmm d"))</f>
        <v/>
      </c>
      <c r="K124" s="42" t="str">
        <f aca="false">IFERROR(SMALL(ps_KeyCCD,48),"")</f>
        <v/>
      </c>
      <c r="L124" s="42" t="str">
        <f aca="false">IF(K124="","",MATCH(K124,ps_KeyCCD,0))</f>
        <v/>
      </c>
    </row>
    <row r="125" customFormat="false" ht="15" hidden="false" customHeight="false" outlineLevel="0" collapsed="false">
      <c r="A125" s="36" t="str">
        <f aca="false">IF(L125="","",49)</f>
        <v/>
      </c>
      <c r="B125" s="40" t="str">
        <f aca="false">IF(L125="","","CCD")</f>
        <v/>
      </c>
      <c r="C125" s="52" t="str">
        <f aca="false">IF(L125="","",IF(INDEX(cg_AcctKind,MATCH(D125,cg_ID,0))="Savings",32,22))</f>
        <v/>
      </c>
      <c r="D125" s="40" t="str">
        <f aca="false">IF(L125="","",INDEX(ps_ID,L125))</f>
        <v/>
      </c>
      <c r="E125" s="26" t="str">
        <f aca="false">IF(L125="","",IF(INDEX(cg_PayeeType,MATCH(D125,cg_ID,0))="Business",INDEX(cg_Business,MATCH(D125,cg_ID,0)),INDEX(ps_Name,L125)))</f>
        <v/>
      </c>
      <c r="F125" s="40" t="str">
        <f aca="false">IF(L125="","",INDEX(cg_Routing,MATCH(D125,cg_ID,0)))</f>
        <v/>
      </c>
      <c r="G125" s="40" t="str">
        <f aca="false">IF(L125="","",INDEX(cg_Account,MATCH(D125,cg_ID,0)))</f>
        <v/>
      </c>
      <c r="H125" s="28" t="str">
        <f aca="false">IF(L125="","",INDEX(ps_Total,L125))</f>
        <v/>
      </c>
      <c r="I125" s="40" t="str">
        <f aca="false">IF(L125="","",EntryDesc)</f>
        <v/>
      </c>
      <c r="J125" s="26" t="str">
        <f aca="false">IF(L125="","","Caregiver services "&amp;TEXT(WeekStart,"mmm d")&amp;" to "&amp;TEXT(WeekEnd,"mmm d"))</f>
        <v/>
      </c>
      <c r="K125" s="42" t="str">
        <f aca="false">IFERROR(SMALL(ps_KeyCCD,49),"")</f>
        <v/>
      </c>
      <c r="L125" s="42" t="str">
        <f aca="false">IF(K125="","",MATCH(K125,ps_KeyCCD,0))</f>
        <v/>
      </c>
    </row>
    <row r="126" customFormat="false" ht="15" hidden="false" customHeight="false" outlineLevel="0" collapsed="false">
      <c r="A126" s="36" t="str">
        <f aca="false">IF(L126="","",50)</f>
        <v/>
      </c>
      <c r="B126" s="40" t="str">
        <f aca="false">IF(L126="","","CCD")</f>
        <v/>
      </c>
      <c r="C126" s="52" t="str">
        <f aca="false">IF(L126="","",IF(INDEX(cg_AcctKind,MATCH(D126,cg_ID,0))="Savings",32,22))</f>
        <v/>
      </c>
      <c r="D126" s="40" t="str">
        <f aca="false">IF(L126="","",INDEX(ps_ID,L126))</f>
        <v/>
      </c>
      <c r="E126" s="26" t="str">
        <f aca="false">IF(L126="","",IF(INDEX(cg_PayeeType,MATCH(D126,cg_ID,0))="Business",INDEX(cg_Business,MATCH(D126,cg_ID,0)),INDEX(ps_Name,L126)))</f>
        <v/>
      </c>
      <c r="F126" s="40" t="str">
        <f aca="false">IF(L126="","",INDEX(cg_Routing,MATCH(D126,cg_ID,0)))</f>
        <v/>
      </c>
      <c r="G126" s="40" t="str">
        <f aca="false">IF(L126="","",INDEX(cg_Account,MATCH(D126,cg_ID,0)))</f>
        <v/>
      </c>
      <c r="H126" s="28" t="str">
        <f aca="false">IF(L126="","",INDEX(ps_Total,L126))</f>
        <v/>
      </c>
      <c r="I126" s="40" t="str">
        <f aca="false">IF(L126="","",EntryDesc)</f>
        <v/>
      </c>
      <c r="J126" s="26" t="str">
        <f aca="false">IF(L126="","","Caregiver services "&amp;TEXT(WeekStart,"mmm d")&amp;" to "&amp;TEXT(WeekEnd,"mmm d"))</f>
        <v/>
      </c>
      <c r="K126" s="42" t="str">
        <f aca="false">IFERROR(SMALL(ps_KeyCCD,50),"")</f>
        <v/>
      </c>
      <c r="L126" s="42" t="str">
        <f aca="false">IF(K126="","",MATCH(K126,ps_KeyCCD,0))</f>
        <v/>
      </c>
    </row>
    <row r="127" customFormat="false" ht="15" hidden="false" customHeight="false" outlineLevel="0" collapsed="false">
      <c r="A127" s="36" t="str">
        <f aca="false">IF(L127="","",51)</f>
        <v/>
      </c>
      <c r="B127" s="40" t="str">
        <f aca="false">IF(L127="","","CCD")</f>
        <v/>
      </c>
      <c r="C127" s="52" t="str">
        <f aca="false">IF(L127="","",IF(INDEX(cg_AcctKind,MATCH(D127,cg_ID,0))="Savings",32,22))</f>
        <v/>
      </c>
      <c r="D127" s="40" t="str">
        <f aca="false">IF(L127="","",INDEX(ps_ID,L127))</f>
        <v/>
      </c>
      <c r="E127" s="26" t="str">
        <f aca="false">IF(L127="","",IF(INDEX(cg_PayeeType,MATCH(D127,cg_ID,0))="Business",INDEX(cg_Business,MATCH(D127,cg_ID,0)),INDEX(ps_Name,L127)))</f>
        <v/>
      </c>
      <c r="F127" s="40" t="str">
        <f aca="false">IF(L127="","",INDEX(cg_Routing,MATCH(D127,cg_ID,0)))</f>
        <v/>
      </c>
      <c r="G127" s="40" t="str">
        <f aca="false">IF(L127="","",INDEX(cg_Account,MATCH(D127,cg_ID,0)))</f>
        <v/>
      </c>
      <c r="H127" s="28" t="str">
        <f aca="false">IF(L127="","",INDEX(ps_Total,L127))</f>
        <v/>
      </c>
      <c r="I127" s="40" t="str">
        <f aca="false">IF(L127="","",EntryDesc)</f>
        <v/>
      </c>
      <c r="J127" s="26" t="str">
        <f aca="false">IF(L127="","","Caregiver services "&amp;TEXT(WeekStart,"mmm d")&amp;" to "&amp;TEXT(WeekEnd,"mmm d"))</f>
        <v/>
      </c>
      <c r="K127" s="42" t="str">
        <f aca="false">IFERROR(SMALL(ps_KeyCCD,51),"")</f>
        <v/>
      </c>
      <c r="L127" s="42" t="str">
        <f aca="false">IF(K127="","",MATCH(K127,ps_KeyCCD,0))</f>
        <v/>
      </c>
    </row>
    <row r="128" customFormat="false" ht="15" hidden="false" customHeight="false" outlineLevel="0" collapsed="false">
      <c r="A128" s="36" t="str">
        <f aca="false">IF(L128="","",52)</f>
        <v/>
      </c>
      <c r="B128" s="40" t="str">
        <f aca="false">IF(L128="","","CCD")</f>
        <v/>
      </c>
      <c r="C128" s="52" t="str">
        <f aca="false">IF(L128="","",IF(INDEX(cg_AcctKind,MATCH(D128,cg_ID,0))="Savings",32,22))</f>
        <v/>
      </c>
      <c r="D128" s="40" t="str">
        <f aca="false">IF(L128="","",INDEX(ps_ID,L128))</f>
        <v/>
      </c>
      <c r="E128" s="26" t="str">
        <f aca="false">IF(L128="","",IF(INDEX(cg_PayeeType,MATCH(D128,cg_ID,0))="Business",INDEX(cg_Business,MATCH(D128,cg_ID,0)),INDEX(ps_Name,L128)))</f>
        <v/>
      </c>
      <c r="F128" s="40" t="str">
        <f aca="false">IF(L128="","",INDEX(cg_Routing,MATCH(D128,cg_ID,0)))</f>
        <v/>
      </c>
      <c r="G128" s="40" t="str">
        <f aca="false">IF(L128="","",INDEX(cg_Account,MATCH(D128,cg_ID,0)))</f>
        <v/>
      </c>
      <c r="H128" s="28" t="str">
        <f aca="false">IF(L128="","",INDEX(ps_Total,L128))</f>
        <v/>
      </c>
      <c r="I128" s="40" t="str">
        <f aca="false">IF(L128="","",EntryDesc)</f>
        <v/>
      </c>
      <c r="J128" s="26" t="str">
        <f aca="false">IF(L128="","","Caregiver services "&amp;TEXT(WeekStart,"mmm d")&amp;" to "&amp;TEXT(WeekEnd,"mmm d"))</f>
        <v/>
      </c>
      <c r="K128" s="42" t="str">
        <f aca="false">IFERROR(SMALL(ps_KeyCCD,52),"")</f>
        <v/>
      </c>
      <c r="L128" s="42" t="str">
        <f aca="false">IF(K128="","",MATCH(K128,ps_KeyCCD,0))</f>
        <v/>
      </c>
    </row>
    <row r="129" customFormat="false" ht="15" hidden="false" customHeight="false" outlineLevel="0" collapsed="false">
      <c r="A129" s="36" t="str">
        <f aca="false">IF(L129="","",53)</f>
        <v/>
      </c>
      <c r="B129" s="40" t="str">
        <f aca="false">IF(L129="","","CCD")</f>
        <v/>
      </c>
      <c r="C129" s="52" t="str">
        <f aca="false">IF(L129="","",IF(INDEX(cg_AcctKind,MATCH(D129,cg_ID,0))="Savings",32,22))</f>
        <v/>
      </c>
      <c r="D129" s="40" t="str">
        <f aca="false">IF(L129="","",INDEX(ps_ID,L129))</f>
        <v/>
      </c>
      <c r="E129" s="26" t="str">
        <f aca="false">IF(L129="","",IF(INDEX(cg_PayeeType,MATCH(D129,cg_ID,0))="Business",INDEX(cg_Business,MATCH(D129,cg_ID,0)),INDEX(ps_Name,L129)))</f>
        <v/>
      </c>
      <c r="F129" s="40" t="str">
        <f aca="false">IF(L129="","",INDEX(cg_Routing,MATCH(D129,cg_ID,0)))</f>
        <v/>
      </c>
      <c r="G129" s="40" t="str">
        <f aca="false">IF(L129="","",INDEX(cg_Account,MATCH(D129,cg_ID,0)))</f>
        <v/>
      </c>
      <c r="H129" s="28" t="str">
        <f aca="false">IF(L129="","",INDEX(ps_Total,L129))</f>
        <v/>
      </c>
      <c r="I129" s="40" t="str">
        <f aca="false">IF(L129="","",EntryDesc)</f>
        <v/>
      </c>
      <c r="J129" s="26" t="str">
        <f aca="false">IF(L129="","","Caregiver services "&amp;TEXT(WeekStart,"mmm d")&amp;" to "&amp;TEXT(WeekEnd,"mmm d"))</f>
        <v/>
      </c>
      <c r="K129" s="42" t="str">
        <f aca="false">IFERROR(SMALL(ps_KeyCCD,53),"")</f>
        <v/>
      </c>
      <c r="L129" s="42" t="str">
        <f aca="false">IF(K129="","",MATCH(K129,ps_KeyCCD,0))</f>
        <v/>
      </c>
    </row>
    <row r="130" customFormat="false" ht="15" hidden="false" customHeight="false" outlineLevel="0" collapsed="false">
      <c r="A130" s="36" t="str">
        <f aca="false">IF(L130="","",54)</f>
        <v/>
      </c>
      <c r="B130" s="40" t="str">
        <f aca="false">IF(L130="","","CCD")</f>
        <v/>
      </c>
      <c r="C130" s="52" t="str">
        <f aca="false">IF(L130="","",IF(INDEX(cg_AcctKind,MATCH(D130,cg_ID,0))="Savings",32,22))</f>
        <v/>
      </c>
      <c r="D130" s="40" t="str">
        <f aca="false">IF(L130="","",INDEX(ps_ID,L130))</f>
        <v/>
      </c>
      <c r="E130" s="26" t="str">
        <f aca="false">IF(L130="","",IF(INDEX(cg_PayeeType,MATCH(D130,cg_ID,0))="Business",INDEX(cg_Business,MATCH(D130,cg_ID,0)),INDEX(ps_Name,L130)))</f>
        <v/>
      </c>
      <c r="F130" s="40" t="str">
        <f aca="false">IF(L130="","",INDEX(cg_Routing,MATCH(D130,cg_ID,0)))</f>
        <v/>
      </c>
      <c r="G130" s="40" t="str">
        <f aca="false">IF(L130="","",INDEX(cg_Account,MATCH(D130,cg_ID,0)))</f>
        <v/>
      </c>
      <c r="H130" s="28" t="str">
        <f aca="false">IF(L130="","",INDEX(ps_Total,L130))</f>
        <v/>
      </c>
      <c r="I130" s="40" t="str">
        <f aca="false">IF(L130="","",EntryDesc)</f>
        <v/>
      </c>
      <c r="J130" s="26" t="str">
        <f aca="false">IF(L130="","","Caregiver services "&amp;TEXT(WeekStart,"mmm d")&amp;" to "&amp;TEXT(WeekEnd,"mmm d"))</f>
        <v/>
      </c>
      <c r="K130" s="42" t="str">
        <f aca="false">IFERROR(SMALL(ps_KeyCCD,54),"")</f>
        <v/>
      </c>
      <c r="L130" s="42" t="str">
        <f aca="false">IF(K130="","",MATCH(K130,ps_KeyCCD,0))</f>
        <v/>
      </c>
    </row>
    <row r="131" customFormat="false" ht="15" hidden="false" customHeight="false" outlineLevel="0" collapsed="false">
      <c r="A131" s="36" t="str">
        <f aca="false">IF(L131="","",55)</f>
        <v/>
      </c>
      <c r="B131" s="40" t="str">
        <f aca="false">IF(L131="","","CCD")</f>
        <v/>
      </c>
      <c r="C131" s="52" t="str">
        <f aca="false">IF(L131="","",IF(INDEX(cg_AcctKind,MATCH(D131,cg_ID,0))="Savings",32,22))</f>
        <v/>
      </c>
      <c r="D131" s="40" t="str">
        <f aca="false">IF(L131="","",INDEX(ps_ID,L131))</f>
        <v/>
      </c>
      <c r="E131" s="26" t="str">
        <f aca="false">IF(L131="","",IF(INDEX(cg_PayeeType,MATCH(D131,cg_ID,0))="Business",INDEX(cg_Business,MATCH(D131,cg_ID,0)),INDEX(ps_Name,L131)))</f>
        <v/>
      </c>
      <c r="F131" s="40" t="str">
        <f aca="false">IF(L131="","",INDEX(cg_Routing,MATCH(D131,cg_ID,0)))</f>
        <v/>
      </c>
      <c r="G131" s="40" t="str">
        <f aca="false">IF(L131="","",INDEX(cg_Account,MATCH(D131,cg_ID,0)))</f>
        <v/>
      </c>
      <c r="H131" s="28" t="str">
        <f aca="false">IF(L131="","",INDEX(ps_Total,L131))</f>
        <v/>
      </c>
      <c r="I131" s="40" t="str">
        <f aca="false">IF(L131="","",EntryDesc)</f>
        <v/>
      </c>
      <c r="J131" s="26" t="str">
        <f aca="false">IF(L131="","","Caregiver services "&amp;TEXT(WeekStart,"mmm d")&amp;" to "&amp;TEXT(WeekEnd,"mmm d"))</f>
        <v/>
      </c>
      <c r="K131" s="42" t="str">
        <f aca="false">IFERROR(SMALL(ps_KeyCCD,55),"")</f>
        <v/>
      </c>
      <c r="L131" s="42" t="str">
        <f aca="false">IF(K131="","",MATCH(K131,ps_KeyCCD,0))</f>
        <v/>
      </c>
    </row>
    <row r="132" customFormat="false" ht="15" hidden="false" customHeight="false" outlineLevel="0" collapsed="false">
      <c r="A132" s="36" t="str">
        <f aca="false">IF(L132="","",56)</f>
        <v/>
      </c>
      <c r="B132" s="40" t="str">
        <f aca="false">IF(L132="","","CCD")</f>
        <v/>
      </c>
      <c r="C132" s="52" t="str">
        <f aca="false">IF(L132="","",IF(INDEX(cg_AcctKind,MATCH(D132,cg_ID,0))="Savings",32,22))</f>
        <v/>
      </c>
      <c r="D132" s="40" t="str">
        <f aca="false">IF(L132="","",INDEX(ps_ID,L132))</f>
        <v/>
      </c>
      <c r="E132" s="26" t="str">
        <f aca="false">IF(L132="","",IF(INDEX(cg_PayeeType,MATCH(D132,cg_ID,0))="Business",INDEX(cg_Business,MATCH(D132,cg_ID,0)),INDEX(ps_Name,L132)))</f>
        <v/>
      </c>
      <c r="F132" s="40" t="str">
        <f aca="false">IF(L132="","",INDEX(cg_Routing,MATCH(D132,cg_ID,0)))</f>
        <v/>
      </c>
      <c r="G132" s="40" t="str">
        <f aca="false">IF(L132="","",INDEX(cg_Account,MATCH(D132,cg_ID,0)))</f>
        <v/>
      </c>
      <c r="H132" s="28" t="str">
        <f aca="false">IF(L132="","",INDEX(ps_Total,L132))</f>
        <v/>
      </c>
      <c r="I132" s="40" t="str">
        <f aca="false">IF(L132="","",EntryDesc)</f>
        <v/>
      </c>
      <c r="J132" s="26" t="str">
        <f aca="false">IF(L132="","","Caregiver services "&amp;TEXT(WeekStart,"mmm d")&amp;" to "&amp;TEXT(WeekEnd,"mmm d"))</f>
        <v/>
      </c>
      <c r="K132" s="42" t="str">
        <f aca="false">IFERROR(SMALL(ps_KeyCCD,56),"")</f>
        <v/>
      </c>
      <c r="L132" s="42" t="str">
        <f aca="false">IF(K132="","",MATCH(K132,ps_KeyCCD,0))</f>
        <v/>
      </c>
    </row>
    <row r="133" customFormat="false" ht="15" hidden="false" customHeight="false" outlineLevel="0" collapsed="false">
      <c r="A133" s="36" t="str">
        <f aca="false">IF(L133="","",57)</f>
        <v/>
      </c>
      <c r="B133" s="40" t="str">
        <f aca="false">IF(L133="","","CCD")</f>
        <v/>
      </c>
      <c r="C133" s="52" t="str">
        <f aca="false">IF(L133="","",IF(INDEX(cg_AcctKind,MATCH(D133,cg_ID,0))="Savings",32,22))</f>
        <v/>
      </c>
      <c r="D133" s="40" t="str">
        <f aca="false">IF(L133="","",INDEX(ps_ID,L133))</f>
        <v/>
      </c>
      <c r="E133" s="26" t="str">
        <f aca="false">IF(L133="","",IF(INDEX(cg_PayeeType,MATCH(D133,cg_ID,0))="Business",INDEX(cg_Business,MATCH(D133,cg_ID,0)),INDEX(ps_Name,L133)))</f>
        <v/>
      </c>
      <c r="F133" s="40" t="str">
        <f aca="false">IF(L133="","",INDEX(cg_Routing,MATCH(D133,cg_ID,0)))</f>
        <v/>
      </c>
      <c r="G133" s="40" t="str">
        <f aca="false">IF(L133="","",INDEX(cg_Account,MATCH(D133,cg_ID,0)))</f>
        <v/>
      </c>
      <c r="H133" s="28" t="str">
        <f aca="false">IF(L133="","",INDEX(ps_Total,L133))</f>
        <v/>
      </c>
      <c r="I133" s="40" t="str">
        <f aca="false">IF(L133="","",EntryDesc)</f>
        <v/>
      </c>
      <c r="J133" s="26" t="str">
        <f aca="false">IF(L133="","","Caregiver services "&amp;TEXT(WeekStart,"mmm d")&amp;" to "&amp;TEXT(WeekEnd,"mmm d"))</f>
        <v/>
      </c>
      <c r="K133" s="42" t="str">
        <f aca="false">IFERROR(SMALL(ps_KeyCCD,57),"")</f>
        <v/>
      </c>
      <c r="L133" s="42" t="str">
        <f aca="false">IF(K133="","",MATCH(K133,ps_KeyCCD,0))</f>
        <v/>
      </c>
    </row>
    <row r="134" customFormat="false" ht="15" hidden="false" customHeight="false" outlineLevel="0" collapsed="false">
      <c r="A134" s="36" t="str">
        <f aca="false">IF(L134="","",58)</f>
        <v/>
      </c>
      <c r="B134" s="40" t="str">
        <f aca="false">IF(L134="","","CCD")</f>
        <v/>
      </c>
      <c r="C134" s="52" t="str">
        <f aca="false">IF(L134="","",IF(INDEX(cg_AcctKind,MATCH(D134,cg_ID,0))="Savings",32,22))</f>
        <v/>
      </c>
      <c r="D134" s="40" t="str">
        <f aca="false">IF(L134="","",INDEX(ps_ID,L134))</f>
        <v/>
      </c>
      <c r="E134" s="26" t="str">
        <f aca="false">IF(L134="","",IF(INDEX(cg_PayeeType,MATCH(D134,cg_ID,0))="Business",INDEX(cg_Business,MATCH(D134,cg_ID,0)),INDEX(ps_Name,L134)))</f>
        <v/>
      </c>
      <c r="F134" s="40" t="str">
        <f aca="false">IF(L134="","",INDEX(cg_Routing,MATCH(D134,cg_ID,0)))</f>
        <v/>
      </c>
      <c r="G134" s="40" t="str">
        <f aca="false">IF(L134="","",INDEX(cg_Account,MATCH(D134,cg_ID,0)))</f>
        <v/>
      </c>
      <c r="H134" s="28" t="str">
        <f aca="false">IF(L134="","",INDEX(ps_Total,L134))</f>
        <v/>
      </c>
      <c r="I134" s="40" t="str">
        <f aca="false">IF(L134="","",EntryDesc)</f>
        <v/>
      </c>
      <c r="J134" s="26" t="str">
        <f aca="false">IF(L134="","","Caregiver services "&amp;TEXT(WeekStart,"mmm d")&amp;" to "&amp;TEXT(WeekEnd,"mmm d"))</f>
        <v/>
      </c>
      <c r="K134" s="42" t="str">
        <f aca="false">IFERROR(SMALL(ps_KeyCCD,58),"")</f>
        <v/>
      </c>
      <c r="L134" s="42" t="str">
        <f aca="false">IF(K134="","",MATCH(K134,ps_KeyCCD,0))</f>
        <v/>
      </c>
    </row>
    <row r="135" customFormat="false" ht="15" hidden="false" customHeight="false" outlineLevel="0" collapsed="false">
      <c r="A135" s="36" t="str">
        <f aca="false">IF(L135="","",59)</f>
        <v/>
      </c>
      <c r="B135" s="40" t="str">
        <f aca="false">IF(L135="","","CCD")</f>
        <v/>
      </c>
      <c r="C135" s="52" t="str">
        <f aca="false">IF(L135="","",IF(INDEX(cg_AcctKind,MATCH(D135,cg_ID,0))="Savings",32,22))</f>
        <v/>
      </c>
      <c r="D135" s="40" t="str">
        <f aca="false">IF(L135="","",INDEX(ps_ID,L135))</f>
        <v/>
      </c>
      <c r="E135" s="26" t="str">
        <f aca="false">IF(L135="","",IF(INDEX(cg_PayeeType,MATCH(D135,cg_ID,0))="Business",INDEX(cg_Business,MATCH(D135,cg_ID,0)),INDEX(ps_Name,L135)))</f>
        <v/>
      </c>
      <c r="F135" s="40" t="str">
        <f aca="false">IF(L135="","",INDEX(cg_Routing,MATCH(D135,cg_ID,0)))</f>
        <v/>
      </c>
      <c r="G135" s="40" t="str">
        <f aca="false">IF(L135="","",INDEX(cg_Account,MATCH(D135,cg_ID,0)))</f>
        <v/>
      </c>
      <c r="H135" s="28" t="str">
        <f aca="false">IF(L135="","",INDEX(ps_Total,L135))</f>
        <v/>
      </c>
      <c r="I135" s="40" t="str">
        <f aca="false">IF(L135="","",EntryDesc)</f>
        <v/>
      </c>
      <c r="J135" s="26" t="str">
        <f aca="false">IF(L135="","","Caregiver services "&amp;TEXT(WeekStart,"mmm d")&amp;" to "&amp;TEXT(WeekEnd,"mmm d"))</f>
        <v/>
      </c>
      <c r="K135" s="42" t="str">
        <f aca="false">IFERROR(SMALL(ps_KeyCCD,59),"")</f>
        <v/>
      </c>
      <c r="L135" s="42" t="str">
        <f aca="false">IF(K135="","",MATCH(K135,ps_KeyCCD,0))</f>
        <v/>
      </c>
    </row>
    <row r="136" customFormat="false" ht="15" hidden="false" customHeight="false" outlineLevel="0" collapsed="false">
      <c r="A136" s="36" t="str">
        <f aca="false">IF(L136="","",60)</f>
        <v/>
      </c>
      <c r="B136" s="40" t="str">
        <f aca="false">IF(L136="","","CCD")</f>
        <v/>
      </c>
      <c r="C136" s="52" t="str">
        <f aca="false">IF(L136="","",IF(INDEX(cg_AcctKind,MATCH(D136,cg_ID,0))="Savings",32,22))</f>
        <v/>
      </c>
      <c r="D136" s="40" t="str">
        <f aca="false">IF(L136="","",INDEX(ps_ID,L136))</f>
        <v/>
      </c>
      <c r="E136" s="26" t="str">
        <f aca="false">IF(L136="","",IF(INDEX(cg_PayeeType,MATCH(D136,cg_ID,0))="Business",INDEX(cg_Business,MATCH(D136,cg_ID,0)),INDEX(ps_Name,L136)))</f>
        <v/>
      </c>
      <c r="F136" s="40" t="str">
        <f aca="false">IF(L136="","",INDEX(cg_Routing,MATCH(D136,cg_ID,0)))</f>
        <v/>
      </c>
      <c r="G136" s="40" t="str">
        <f aca="false">IF(L136="","",INDEX(cg_Account,MATCH(D136,cg_ID,0)))</f>
        <v/>
      </c>
      <c r="H136" s="28" t="str">
        <f aca="false">IF(L136="","",INDEX(ps_Total,L136))</f>
        <v/>
      </c>
      <c r="I136" s="40" t="str">
        <f aca="false">IF(L136="","",EntryDesc)</f>
        <v/>
      </c>
      <c r="J136" s="26" t="str">
        <f aca="false">IF(L136="","","Caregiver services "&amp;TEXT(WeekStart,"mmm d")&amp;" to "&amp;TEXT(WeekEnd,"mmm d"))</f>
        <v/>
      </c>
      <c r="K136" s="42" t="str">
        <f aca="false">IFERROR(SMALL(ps_KeyCCD,60),"")</f>
        <v/>
      </c>
      <c r="L136" s="42" t="str">
        <f aca="false">IF(K136="","",MATCH(K136,ps_KeyCCD,0))</f>
        <v/>
      </c>
    </row>
    <row r="137" customFormat="false" ht="15" hidden="false" customHeight="false" outlineLevel="0" collapsed="false">
      <c r="A137" s="53"/>
      <c r="B137" s="53"/>
      <c r="C137" s="53"/>
      <c r="D137" s="53"/>
      <c r="E137" s="53" t="s">
        <v>246</v>
      </c>
      <c r="F137" s="53"/>
      <c r="G137" s="53"/>
      <c r="H137" s="54" t="n">
        <f aca="false">SUM(H77:H136)</f>
        <v>2854.92</v>
      </c>
      <c r="I137" s="53"/>
      <c r="J137" s="53"/>
    </row>
  </sheetData>
  <sheetProtection sheet="true" formatColumns="false" formatRows="false" sort="false" autoFilter="false"/>
  <mergeCells count="4">
    <mergeCell ref="D4:E4"/>
    <mergeCell ref="D5:E5"/>
    <mergeCell ref="D6:E6"/>
    <mergeCell ref="D7:E7"/>
  </mergeCells>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E7F8C"/>
    <pageSetUpPr fitToPage="true"/>
  </sheetPr>
  <dimension ref="A1:S3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2" min="2" style="0" width="11"/>
    <col collapsed="false" customWidth="true" hidden="false" outlineLevel="0" max="3" min="3" style="0" width="6"/>
    <col collapsed="false" customWidth="true" hidden="false" outlineLevel="0" max="4" min="4" style="0" width="17"/>
    <col collapsed="false" customWidth="true" hidden="false" outlineLevel="0" max="5" min="5" style="0" width="9"/>
    <col collapsed="false" customWidth="true" hidden="false" outlineLevel="0" max="6" min="6" style="0" width="36"/>
    <col collapsed="false" customWidth="true" hidden="false" outlineLevel="0" max="8" min="7" style="0" width="12"/>
    <col collapsed="false" customWidth="true" hidden="false" outlineLevel="0" max="9" min="9" style="0" width="9"/>
    <col collapsed="false" customWidth="true" hidden="false" outlineLevel="0" max="10" min="10" style="0" width="21"/>
    <col collapsed="false" customWidth="true" hidden="false" outlineLevel="0" max="11" min="11" style="0" width="25"/>
    <col collapsed="false" customWidth="true" hidden="false" outlineLevel="0" max="12" min="12" style="0" width="40"/>
    <col collapsed="false" customWidth="true" hidden="true" outlineLevel="0" max="15" min="13" style="0" width="6"/>
    <col collapsed="false" customWidth="true" hidden="true" outlineLevel="0" max="16" min="16" style="0" width="9"/>
    <col collapsed="false" customWidth="true" hidden="true" outlineLevel="0" max="17" min="17" style="0" width="30"/>
    <col collapsed="false" customWidth="true" hidden="true" outlineLevel="0" max="18" min="18" style="0" width="12"/>
    <col collapsed="false" customWidth="true" hidden="true" outlineLevel="0" max="19" min="19" style="0" width="6"/>
  </cols>
  <sheetData>
    <row r="1" customFormat="false" ht="33.75" hidden="false" customHeight="true" outlineLevel="0" collapsed="false">
      <c r="A1" s="1" t="s">
        <v>247</v>
      </c>
    </row>
    <row r="2" customFormat="false" ht="18" hidden="false" customHeight="true" outlineLevel="0" collapsed="false">
      <c r="A2" s="30" t="s">
        <v>248</v>
      </c>
    </row>
    <row r="3" customFormat="false" ht="15" hidden="false" customHeight="false" outlineLevel="0" collapsed="false">
      <c r="A3" s="43" t="s">
        <v>249</v>
      </c>
      <c r="B3" s="43" t="s">
        <v>250</v>
      </c>
      <c r="F3" s="43" t="s">
        <v>251</v>
      </c>
      <c r="J3" s="43" t="s">
        <v>252</v>
      </c>
      <c r="K3" s="43" t="s">
        <v>253</v>
      </c>
    </row>
    <row r="4" customFormat="false" ht="21" hidden="false" customHeight="true" outlineLevel="0" collapsed="false">
      <c r="A4" s="55" t="n">
        <f aca="false">acc_SumLines+MAX(in_Seq)</f>
        <v>74</v>
      </c>
      <c r="B4" s="55" t="n">
        <f aca="false">COUNT(C7:C306)</f>
        <v>74</v>
      </c>
      <c r="F4" s="56" t="n">
        <f aca="false">SUM(G7:G306)</f>
        <v>14178.7</v>
      </c>
      <c r="J4" s="56" t="n">
        <f aca="false">SUM(H7:H306)</f>
        <v>14178.7</v>
      </c>
      <c r="K4" s="57" t="str">
        <f aca="false">IF(ROUND(F4-J4,2)=0,"OK","Review")</f>
        <v>OK</v>
      </c>
    </row>
    <row r="6" customFormat="false" ht="30" hidden="false" customHeight="true" outlineLevel="0" collapsed="false">
      <c r="A6" s="34" t="s">
        <v>254</v>
      </c>
      <c r="B6" s="34" t="s">
        <v>255</v>
      </c>
      <c r="C6" s="34" t="s">
        <v>91</v>
      </c>
      <c r="D6" s="34" t="s">
        <v>256</v>
      </c>
      <c r="E6" s="34" t="s">
        <v>238</v>
      </c>
      <c r="F6" s="34" t="s">
        <v>257</v>
      </c>
      <c r="G6" s="34" t="s">
        <v>258</v>
      </c>
      <c r="H6" s="34" t="s">
        <v>259</v>
      </c>
      <c r="I6" s="34" t="s">
        <v>260</v>
      </c>
      <c r="J6" s="34" t="s">
        <v>261</v>
      </c>
      <c r="K6" s="34" t="s">
        <v>262</v>
      </c>
      <c r="L6" s="34" t="s">
        <v>241</v>
      </c>
      <c r="M6" s="34" t="s">
        <v>263</v>
      </c>
      <c r="N6" s="34" t="s">
        <v>243</v>
      </c>
      <c r="P6" s="35" t="s">
        <v>238</v>
      </c>
      <c r="Q6" s="35" t="s">
        <v>257</v>
      </c>
      <c r="R6" s="35" t="s">
        <v>239</v>
      </c>
      <c r="S6" s="35" t="s">
        <v>264</v>
      </c>
    </row>
    <row r="7" customFormat="false" ht="15" hidden="false" customHeight="false" outlineLevel="0" collapsed="false">
      <c r="A7" s="26" t="str">
        <f aca="false">IF(M7="","",JrnPrefix&amp;"-"&amp;TEXT(WeekEnd,"yyyymmdd"))</f>
        <v>LHHC-20260920</v>
      </c>
      <c r="B7" s="58" t="n">
        <f aca="false">IF(M7="","",WeekEnd)</f>
        <v>46285</v>
      </c>
      <c r="C7" s="52" t="n">
        <f aca="false">IF(M7="","",1)</f>
        <v>1</v>
      </c>
      <c r="D7" s="26" t="str">
        <f aca="false">IF(M7="","",IF(M7="S",IF(INDEX(acc_SumAcct,N7)=MileGL,"Mileage summary","Expense summary"),"Caregiver payable"))</f>
        <v>Expense summary</v>
      </c>
      <c r="E7" s="40" t="str">
        <f aca="false">IF(M7="","",IF(M7="S",INDEX(acc_SumAcct,N7),APGL))</f>
        <v>5110</v>
      </c>
      <c r="F7" s="26" t="str">
        <f aca="false">IF(M7="","",IF(M7="S",INDEX(acc_SumName,N7),APGLName))</f>
        <v>Contract Care: Personal Care</v>
      </c>
      <c r="G7" s="59" t="n">
        <f aca="false">IF(M7="","",IF(M7="S",INDEX(acc_SumAmt,N7),0))</f>
        <v>7656</v>
      </c>
      <c r="H7" s="59" t="n">
        <f aca="false">IF(M7="","",IF(M7="S",0,INDEX(in_Payable,N7)))</f>
        <v>0</v>
      </c>
      <c r="I7" s="40" t="str">
        <f aca="false">IF(M7&lt;&gt;"P","",IFERROR(INDEX(cg_Vendor,MATCH(INDEX(in_CGID,N7),cg_ID,0)),""))</f>
        <v/>
      </c>
      <c r="J7" s="26" t="str">
        <f aca="false">IF(M7&lt;&gt;"P","",INDEX(in_CGName,N7))</f>
        <v/>
      </c>
      <c r="K7" s="26" t="str">
        <f aca="false">IF(M7&lt;&gt;"P","",IFERROR(INDEX(cl_Payer,MATCH(INDEX(in_ClientID,N7),cl_ID,0)),"Unassigned"))</f>
        <v/>
      </c>
      <c r="L7" s="26" t="str">
        <f aca="false">IF(M7="","",IF(M7="S","Weekly caregiver pay, week ending "&amp;TEXT(WeekEnd,"m/d/yyyy"),INDEX(in_Svc,N7)&amp;" "&amp;INDEX(in_ClientID,N7)&amp;", "&amp;INDEX(in_Units,N7)&amp;" units"&amp;IF(N(INDEX(in_Miles,N7))&gt;0,", "&amp;INDEX(in_Miles,N7)&amp;" miles","")))</f>
        <v>Weekly caregiver pay, week ending 9/20/2026</v>
      </c>
      <c r="M7" s="60" t="str">
        <f aca="false">IF(1&gt;acc_TotalLines,"",IF(1&lt;=acc_SumLines,"S","P"))</f>
        <v>S</v>
      </c>
      <c r="N7" s="42" t="n">
        <f aca="false">IF(M7="","",IF(M7="S",MATCH(1,acc_SumSeq,0),MATCH(1-acc_SumLines,in_Seq,0)))</f>
        <v>1</v>
      </c>
      <c r="P7" s="60" t="str">
        <f aca="false">IF(INDEX(rt_Code,1)="","",INDEX(rt_GL,1))</f>
        <v>5110</v>
      </c>
      <c r="Q7" s="60" t="str">
        <f aca="false">IF(INDEX(rt_Code,1)="","",INDEX(rt_GLName,1))</f>
        <v>Contract Care: Personal Care</v>
      </c>
      <c r="R7" s="61" t="n">
        <f aca="false">IF(INDEX(rt_Code,1)="",0,SUMIFS(in_ServicePay,in_Svc,INDEX(rt_Code,1),in_PayStatus,"Pay"))</f>
        <v>7656</v>
      </c>
      <c r="S7" s="60" t="n">
        <f aca="false">IF(R7&gt;0,1,0)</f>
        <v>1</v>
      </c>
    </row>
    <row r="8" customFormat="false" ht="15" hidden="false" customHeight="false" outlineLevel="0" collapsed="false">
      <c r="A8" s="26" t="str">
        <f aca="false">IF(M8="","",JrnPrefix&amp;"-"&amp;TEXT(WeekEnd,"yyyymmdd"))</f>
        <v>LHHC-20260920</v>
      </c>
      <c r="B8" s="58" t="n">
        <f aca="false">IF(M8="","",WeekEnd)</f>
        <v>46285</v>
      </c>
      <c r="C8" s="52" t="n">
        <f aca="false">IF(M8="","",2)</f>
        <v>2</v>
      </c>
      <c r="D8" s="26" t="str">
        <f aca="false">IF(M8="","",IF(M8="S",IF(INDEX(acc_SumAcct,N8)=MileGL,"Mileage summary","Expense summary"),"Caregiver payable"))</f>
        <v>Expense summary</v>
      </c>
      <c r="E8" s="40" t="str">
        <f aca="false">IF(M8="","",IF(M8="S",INDEX(acc_SumAcct,N8),APGL))</f>
        <v>5120</v>
      </c>
      <c r="F8" s="26" t="str">
        <f aca="false">IF(M8="","",IF(M8="S",INDEX(acc_SumName,N8),APGLName))</f>
        <v>Contract Care: Homemaker</v>
      </c>
      <c r="G8" s="59" t="n">
        <f aca="false">IF(M8="","",IF(M8="S",INDEX(acc_SumAmt,N8),0))</f>
        <v>1564</v>
      </c>
      <c r="H8" s="59" t="n">
        <f aca="false">IF(M8="","",IF(M8="S",0,INDEX(in_Payable,N8)))</f>
        <v>0</v>
      </c>
      <c r="I8" s="40" t="str">
        <f aca="false">IF(M8&lt;&gt;"P","",IFERROR(INDEX(cg_Vendor,MATCH(INDEX(in_CGID,N8),cg_ID,0)),""))</f>
        <v/>
      </c>
      <c r="J8" s="26" t="str">
        <f aca="false">IF(M8&lt;&gt;"P","",INDEX(in_CGName,N8))</f>
        <v/>
      </c>
      <c r="K8" s="26" t="str">
        <f aca="false">IF(M8&lt;&gt;"P","",IFERROR(INDEX(cl_Payer,MATCH(INDEX(in_ClientID,N8),cl_ID,0)),"Unassigned"))</f>
        <v/>
      </c>
      <c r="L8" s="26" t="str">
        <f aca="false">IF(M8="","",IF(M8="S","Weekly caregiver pay, week ending "&amp;TEXT(WeekEnd,"m/d/yyyy"),INDEX(in_Svc,N8)&amp;" "&amp;INDEX(in_ClientID,N8)&amp;", "&amp;INDEX(in_Units,N8)&amp;" units"&amp;IF(N(INDEX(in_Miles,N8))&gt;0,", "&amp;INDEX(in_Miles,N8)&amp;" miles","")))</f>
        <v>Weekly caregiver pay, week ending 9/20/2026</v>
      </c>
      <c r="M8" s="60" t="str">
        <f aca="false">IF(2&gt;acc_TotalLines,"",IF(2&lt;=acc_SumLines,"S","P"))</f>
        <v>S</v>
      </c>
      <c r="N8" s="42" t="n">
        <f aca="false">IF(M8="","",IF(M8="S",MATCH(2,acc_SumSeq,0),MATCH(2-acc_SumLines,in_Seq,0)))</f>
        <v>2</v>
      </c>
      <c r="P8" s="60" t="str">
        <f aca="false">IF(INDEX(rt_Code,2)="","",INDEX(rt_GL,2))</f>
        <v>5120</v>
      </c>
      <c r="Q8" s="60" t="str">
        <f aca="false">IF(INDEX(rt_Code,2)="","",INDEX(rt_GLName,2))</f>
        <v>Contract Care: Homemaker</v>
      </c>
      <c r="R8" s="61" t="n">
        <f aca="false">IF(INDEX(rt_Code,2)="",0,SUMIFS(in_ServicePay,in_Svc,INDEX(rt_Code,2),in_PayStatus,"Pay"))</f>
        <v>1564</v>
      </c>
      <c r="S8" s="60" t="n">
        <f aca="false">S7+IF(R8&gt;0,1,0)</f>
        <v>2</v>
      </c>
    </row>
    <row r="9" customFormat="false" ht="15" hidden="false" customHeight="false" outlineLevel="0" collapsed="false">
      <c r="A9" s="26" t="str">
        <f aca="false">IF(M9="","",JrnPrefix&amp;"-"&amp;TEXT(WeekEnd,"yyyymmdd"))</f>
        <v>LHHC-20260920</v>
      </c>
      <c r="B9" s="58" t="n">
        <f aca="false">IF(M9="","",WeekEnd)</f>
        <v>46285</v>
      </c>
      <c r="C9" s="52" t="n">
        <f aca="false">IF(M9="","",3)</f>
        <v>3</v>
      </c>
      <c r="D9" s="26" t="str">
        <f aca="false">IF(M9="","",IF(M9="S",IF(INDEX(acc_SumAcct,N9)=MileGL,"Mileage summary","Expense summary"),"Caregiver payable"))</f>
        <v>Expense summary</v>
      </c>
      <c r="E9" s="40" t="str">
        <f aca="false">IF(M9="","",IF(M9="S",INDEX(acc_SumAcct,N9),APGL))</f>
        <v>5130</v>
      </c>
      <c r="F9" s="26" t="str">
        <f aca="false">IF(M9="","",IF(M9="S",INDEX(acc_SumName,N9),APGLName))</f>
        <v>Contract Care: Companion</v>
      </c>
      <c r="G9" s="59" t="n">
        <f aca="false">IF(M9="","",IF(M9="S",INDEX(acc_SumAmt,N9),0))</f>
        <v>1921</v>
      </c>
      <c r="H9" s="59" t="n">
        <f aca="false">IF(M9="","",IF(M9="S",0,INDEX(in_Payable,N9)))</f>
        <v>0</v>
      </c>
      <c r="I9" s="40" t="str">
        <f aca="false">IF(M9&lt;&gt;"P","",IFERROR(INDEX(cg_Vendor,MATCH(INDEX(in_CGID,N9),cg_ID,0)),""))</f>
        <v/>
      </c>
      <c r="J9" s="26" t="str">
        <f aca="false">IF(M9&lt;&gt;"P","",INDEX(in_CGName,N9))</f>
        <v/>
      </c>
      <c r="K9" s="26" t="str">
        <f aca="false">IF(M9&lt;&gt;"P","",IFERROR(INDEX(cl_Payer,MATCH(INDEX(in_ClientID,N9),cl_ID,0)),"Unassigned"))</f>
        <v/>
      </c>
      <c r="L9" s="26" t="str">
        <f aca="false">IF(M9="","",IF(M9="S","Weekly caregiver pay, week ending "&amp;TEXT(WeekEnd,"m/d/yyyy"),INDEX(in_Svc,N9)&amp;" "&amp;INDEX(in_ClientID,N9)&amp;", "&amp;INDEX(in_Units,N9)&amp;" units"&amp;IF(N(INDEX(in_Miles,N9))&gt;0,", "&amp;INDEX(in_Miles,N9)&amp;" miles","")))</f>
        <v>Weekly caregiver pay, week ending 9/20/2026</v>
      </c>
      <c r="M9" s="60" t="str">
        <f aca="false">IF(3&gt;acc_TotalLines,"",IF(3&lt;=acc_SumLines,"S","P"))</f>
        <v>S</v>
      </c>
      <c r="N9" s="42" t="n">
        <f aca="false">IF(M9="","",IF(M9="S",MATCH(3,acc_SumSeq,0),MATCH(3-acc_SumLines,in_Seq,0)))</f>
        <v>3</v>
      </c>
      <c r="P9" s="60" t="str">
        <f aca="false">IF(INDEX(rt_Code,3)="","",INDEX(rt_GL,3))</f>
        <v>5130</v>
      </c>
      <c r="Q9" s="60" t="str">
        <f aca="false">IF(INDEX(rt_Code,3)="","",INDEX(rt_GLName,3))</f>
        <v>Contract Care: Companion</v>
      </c>
      <c r="R9" s="61" t="n">
        <f aca="false">IF(INDEX(rt_Code,3)="",0,SUMIFS(in_ServicePay,in_Svc,INDEX(rt_Code,3),in_PayStatus,"Pay"))</f>
        <v>1921</v>
      </c>
      <c r="S9" s="60" t="n">
        <f aca="false">S8+IF(R9&gt;0,1,0)</f>
        <v>3</v>
      </c>
    </row>
    <row r="10" customFormat="false" ht="15" hidden="false" customHeight="false" outlineLevel="0" collapsed="false">
      <c r="A10" s="26" t="str">
        <f aca="false">IF(M10="","",JrnPrefix&amp;"-"&amp;TEXT(WeekEnd,"yyyymmdd"))</f>
        <v>LHHC-20260920</v>
      </c>
      <c r="B10" s="58" t="n">
        <f aca="false">IF(M10="","",WeekEnd)</f>
        <v>46285</v>
      </c>
      <c r="C10" s="52" t="n">
        <f aca="false">IF(M10="","",4)</f>
        <v>4</v>
      </c>
      <c r="D10" s="26" t="str">
        <f aca="false">IF(M10="","",IF(M10="S",IF(INDEX(acc_SumAcct,N10)=MileGL,"Mileage summary","Expense summary"),"Caregiver payable"))</f>
        <v>Expense summary</v>
      </c>
      <c r="E10" s="40" t="str">
        <f aca="false">IF(M10="","",IF(M10="S",INDEX(acc_SumAcct,N10),APGL))</f>
        <v>5140</v>
      </c>
      <c r="F10" s="26" t="str">
        <f aca="false">IF(M10="","",IF(M10="S",INDEX(acc_SumName,N10),APGLName))</f>
        <v>Contract Care: Respite</v>
      </c>
      <c r="G10" s="59" t="n">
        <f aca="false">IF(M10="","",IF(M10="S",INDEX(acc_SumAmt,N10),0))</f>
        <v>2631.6</v>
      </c>
      <c r="H10" s="59" t="n">
        <f aca="false">IF(M10="","",IF(M10="S",0,INDEX(in_Payable,N10)))</f>
        <v>0</v>
      </c>
      <c r="I10" s="40" t="str">
        <f aca="false">IF(M10&lt;&gt;"P","",IFERROR(INDEX(cg_Vendor,MATCH(INDEX(in_CGID,N10),cg_ID,0)),""))</f>
        <v/>
      </c>
      <c r="J10" s="26" t="str">
        <f aca="false">IF(M10&lt;&gt;"P","",INDEX(in_CGName,N10))</f>
        <v/>
      </c>
      <c r="K10" s="26" t="str">
        <f aca="false">IF(M10&lt;&gt;"P","",IFERROR(INDEX(cl_Payer,MATCH(INDEX(in_ClientID,N10),cl_ID,0)),"Unassigned"))</f>
        <v/>
      </c>
      <c r="L10" s="26" t="str">
        <f aca="false">IF(M10="","",IF(M10="S","Weekly caregiver pay, week ending "&amp;TEXT(WeekEnd,"m/d/yyyy"),INDEX(in_Svc,N10)&amp;" "&amp;INDEX(in_ClientID,N10)&amp;", "&amp;INDEX(in_Units,N10)&amp;" units"&amp;IF(N(INDEX(in_Miles,N10))&gt;0,", "&amp;INDEX(in_Miles,N10)&amp;" miles","")))</f>
        <v>Weekly caregiver pay, week ending 9/20/2026</v>
      </c>
      <c r="M10" s="60" t="str">
        <f aca="false">IF(4&gt;acc_TotalLines,"",IF(4&lt;=acc_SumLines,"S","P"))</f>
        <v>S</v>
      </c>
      <c r="N10" s="42" t="n">
        <f aca="false">IF(M10="","",IF(M10="S",MATCH(4,acc_SumSeq,0),MATCH(4-acc_SumLines,in_Seq,0)))</f>
        <v>4</v>
      </c>
      <c r="P10" s="60" t="str">
        <f aca="false">IF(INDEX(rt_Code,4)="","",INDEX(rt_GL,4))</f>
        <v>5140</v>
      </c>
      <c r="Q10" s="60" t="str">
        <f aca="false">IF(INDEX(rt_Code,4)="","",INDEX(rt_GLName,4))</f>
        <v>Contract Care: Respite</v>
      </c>
      <c r="R10" s="61" t="n">
        <f aca="false">IF(INDEX(rt_Code,4)="",0,SUMIFS(in_ServicePay,in_Svc,INDEX(rt_Code,4),in_PayStatus,"Pay"))</f>
        <v>2631.6</v>
      </c>
      <c r="S10" s="60" t="n">
        <f aca="false">S9+IF(R10&gt;0,1,0)</f>
        <v>4</v>
      </c>
    </row>
    <row r="11" customFormat="false" ht="15" hidden="false" customHeight="false" outlineLevel="0" collapsed="false">
      <c r="A11" s="26" t="str">
        <f aca="false">IF(M11="","",JrnPrefix&amp;"-"&amp;TEXT(WeekEnd,"yyyymmdd"))</f>
        <v>LHHC-20260920</v>
      </c>
      <c r="B11" s="58" t="n">
        <f aca="false">IF(M11="","",WeekEnd)</f>
        <v>46285</v>
      </c>
      <c r="C11" s="52" t="n">
        <f aca="false">IF(M11="","",5)</f>
        <v>5</v>
      </c>
      <c r="D11" s="26" t="str">
        <f aca="false">IF(M11="","",IF(M11="S",IF(INDEX(acc_SumAcct,N11)=MileGL,"Mileage summary","Expense summary"),"Caregiver payable"))</f>
        <v>Expense summary</v>
      </c>
      <c r="E11" s="40" t="str">
        <f aca="false">IF(M11="","",IF(M11="S",INDEX(acc_SumAcct,N11),APGL))</f>
        <v>5150</v>
      </c>
      <c r="F11" s="26" t="str">
        <f aca="false">IF(M11="","",IF(M11="S",INDEX(acc_SumName,N11),APGLName))</f>
        <v>Contract Care: Nurse Visits</v>
      </c>
      <c r="G11" s="59" t="n">
        <f aca="false">IF(M11="","",IF(M11="S",INDEX(acc_SumAmt,N11),0))</f>
        <v>186</v>
      </c>
      <c r="H11" s="59" t="n">
        <f aca="false">IF(M11="","",IF(M11="S",0,INDEX(in_Payable,N11)))</f>
        <v>0</v>
      </c>
      <c r="I11" s="40" t="str">
        <f aca="false">IF(M11&lt;&gt;"P","",IFERROR(INDEX(cg_Vendor,MATCH(INDEX(in_CGID,N11),cg_ID,0)),""))</f>
        <v/>
      </c>
      <c r="J11" s="26" t="str">
        <f aca="false">IF(M11&lt;&gt;"P","",INDEX(in_CGName,N11))</f>
        <v/>
      </c>
      <c r="K11" s="26" t="str">
        <f aca="false">IF(M11&lt;&gt;"P","",IFERROR(INDEX(cl_Payer,MATCH(INDEX(in_ClientID,N11),cl_ID,0)),"Unassigned"))</f>
        <v/>
      </c>
      <c r="L11" s="26" t="str">
        <f aca="false">IF(M11="","",IF(M11="S","Weekly caregiver pay, week ending "&amp;TEXT(WeekEnd,"m/d/yyyy"),INDEX(in_Svc,N11)&amp;" "&amp;INDEX(in_ClientID,N11)&amp;", "&amp;INDEX(in_Units,N11)&amp;" units"&amp;IF(N(INDEX(in_Miles,N11))&gt;0,", "&amp;INDEX(in_Miles,N11)&amp;" miles","")))</f>
        <v>Weekly caregiver pay, week ending 9/20/2026</v>
      </c>
      <c r="M11" s="60" t="str">
        <f aca="false">IF(5&gt;acc_TotalLines,"",IF(5&lt;=acc_SumLines,"S","P"))</f>
        <v>S</v>
      </c>
      <c r="N11" s="42" t="n">
        <f aca="false">IF(M11="","",IF(M11="S",MATCH(5,acc_SumSeq,0),MATCH(5-acc_SumLines,in_Seq,0)))</f>
        <v>5</v>
      </c>
      <c r="P11" s="60" t="str">
        <f aca="false">IF(INDEX(rt_Code,5)="","",INDEX(rt_GL,5))</f>
        <v>5150</v>
      </c>
      <c r="Q11" s="60" t="str">
        <f aca="false">IF(INDEX(rt_Code,5)="","",INDEX(rt_GLName,5))</f>
        <v>Contract Care: Nurse Visits</v>
      </c>
      <c r="R11" s="61" t="n">
        <f aca="false">IF(INDEX(rt_Code,5)="",0,SUMIFS(in_ServicePay,in_Svc,INDEX(rt_Code,5),in_PayStatus,"Pay"))</f>
        <v>186</v>
      </c>
      <c r="S11" s="60" t="n">
        <f aca="false">S10+IF(R11&gt;0,1,0)</f>
        <v>5</v>
      </c>
    </row>
    <row r="12" customFormat="false" ht="15" hidden="false" customHeight="false" outlineLevel="0" collapsed="false">
      <c r="A12" s="26" t="str">
        <f aca="false">IF(M12="","",JrnPrefix&amp;"-"&amp;TEXT(WeekEnd,"yyyymmdd"))</f>
        <v>LHHC-20260920</v>
      </c>
      <c r="B12" s="58" t="n">
        <f aca="false">IF(M12="","",WeekEnd)</f>
        <v>46285</v>
      </c>
      <c r="C12" s="52" t="n">
        <f aca="false">IF(M12="","",6)</f>
        <v>6</v>
      </c>
      <c r="D12" s="26" t="str">
        <f aca="false">IF(M12="","",IF(M12="S",IF(INDEX(acc_SumAcct,N12)=MileGL,"Mileage summary","Expense summary"),"Caregiver payable"))</f>
        <v>Mileage summary</v>
      </c>
      <c r="E12" s="40" t="str">
        <f aca="false">IF(M12="","",IF(M12="S",INDEX(acc_SumAcct,N12),APGL))</f>
        <v>5190</v>
      </c>
      <c r="F12" s="26" t="str">
        <f aca="false">IF(M12="","",IF(M12="S",INDEX(acc_SumName,N12),APGLName))</f>
        <v>Caregiver Mileage Reimbursement</v>
      </c>
      <c r="G12" s="59" t="n">
        <f aca="false">IF(M12="","",IF(M12="S",INDEX(acc_SumAmt,N12),0))</f>
        <v>220.1</v>
      </c>
      <c r="H12" s="59" t="n">
        <f aca="false">IF(M12="","",IF(M12="S",0,INDEX(in_Payable,N12)))</f>
        <v>0</v>
      </c>
      <c r="I12" s="40" t="str">
        <f aca="false">IF(M12&lt;&gt;"P","",IFERROR(INDEX(cg_Vendor,MATCH(INDEX(in_CGID,N12),cg_ID,0)),""))</f>
        <v/>
      </c>
      <c r="J12" s="26" t="str">
        <f aca="false">IF(M12&lt;&gt;"P","",INDEX(in_CGName,N12))</f>
        <v/>
      </c>
      <c r="K12" s="26" t="str">
        <f aca="false">IF(M12&lt;&gt;"P","",IFERROR(INDEX(cl_Payer,MATCH(INDEX(in_ClientID,N12),cl_ID,0)),"Unassigned"))</f>
        <v/>
      </c>
      <c r="L12" s="26" t="str">
        <f aca="false">IF(M12="","",IF(M12="S","Weekly caregiver pay, week ending "&amp;TEXT(WeekEnd,"m/d/yyyy"),INDEX(in_Svc,N12)&amp;" "&amp;INDEX(in_ClientID,N12)&amp;", "&amp;INDEX(in_Units,N12)&amp;" units"&amp;IF(N(INDEX(in_Miles,N12))&gt;0,", "&amp;INDEX(in_Miles,N12)&amp;" miles","")))</f>
        <v>Weekly caregiver pay, week ending 9/20/2026</v>
      </c>
      <c r="M12" s="60" t="str">
        <f aca="false">IF(6&gt;acc_TotalLines,"",IF(6&lt;=acc_SumLines,"S","P"))</f>
        <v>S</v>
      </c>
      <c r="N12" s="42" t="n">
        <f aca="false">IF(M12="","",IF(M12="S",MATCH(6,acc_SumSeq,0),MATCH(6-acc_SumLines,in_Seq,0)))</f>
        <v>11</v>
      </c>
      <c r="P12" s="60" t="str">
        <f aca="false">IF(INDEX(rt_Code,6)="","",INDEX(rt_GL,6))</f>
        <v/>
      </c>
      <c r="Q12" s="60" t="str">
        <f aca="false">IF(INDEX(rt_Code,6)="","",INDEX(rt_GLName,6))</f>
        <v/>
      </c>
      <c r="R12" s="61" t="n">
        <f aca="false">IF(INDEX(rt_Code,6)="",0,SUMIFS(in_ServicePay,in_Svc,INDEX(rt_Code,6),in_PayStatus,"Pay"))</f>
        <v>0</v>
      </c>
      <c r="S12" s="60" t="n">
        <f aca="false">S11+IF(R12&gt;0,1,0)</f>
        <v>5</v>
      </c>
    </row>
    <row r="13" customFormat="false" ht="15" hidden="false" customHeight="false" outlineLevel="0" collapsed="false">
      <c r="A13" s="26" t="str">
        <f aca="false">IF(M13="","",JrnPrefix&amp;"-"&amp;TEXT(WeekEnd,"yyyymmdd"))</f>
        <v>LHHC-20260920</v>
      </c>
      <c r="B13" s="58" t="n">
        <f aca="false">IF(M13="","",WeekEnd)</f>
        <v>46285</v>
      </c>
      <c r="C13" s="52" t="n">
        <f aca="false">IF(M13="","",7)</f>
        <v>7</v>
      </c>
      <c r="D13" s="26" t="str">
        <f aca="false">IF(M13="","",IF(M13="S",IF(INDEX(acc_SumAcct,N13)=MileGL,"Mileage summary","Expense summary"),"Caregiver payable"))</f>
        <v>Caregiver payable</v>
      </c>
      <c r="E13" s="40" t="str">
        <f aca="false">IF(M13="","",IF(M13="S",INDEX(acc_SumAcct,N13),APGL))</f>
        <v>2050</v>
      </c>
      <c r="F13" s="26" t="str">
        <f aca="false">IF(M13="","",IF(M13="S",INDEX(acc_SumName,N13),APGLName))</f>
        <v>Accounts Payable: Contract Caregivers</v>
      </c>
      <c r="G13" s="59" t="n">
        <f aca="false">IF(M13="","",IF(M13="S",INDEX(acc_SumAmt,N13),0))</f>
        <v>0</v>
      </c>
      <c r="H13" s="59" t="n">
        <f aca="false">IF(M13="","",IF(M13="S",0,INDEX(in_Payable,N13)))</f>
        <v>293.96</v>
      </c>
      <c r="I13" s="40" t="str">
        <f aca="false">IF(M13&lt;&gt;"P","",IFERROR(INDEX(cg_Vendor,MATCH(INDEX(in_CGID,N13),cg_ID,0)),""))</f>
        <v>V3235</v>
      </c>
      <c r="J13" s="26" t="str">
        <f aca="false">IF(M13&lt;&gt;"P","",INDEX(in_CGName,N13))</f>
        <v>Kendra Acosta</v>
      </c>
      <c r="K13" s="26" t="str">
        <f aca="false">IF(M13&lt;&gt;"P","",IFERROR(INDEX(cl_Payer,MATCH(INDEX(in_ClientID,N13),cl_ID,0)),"Unassigned"))</f>
        <v>Medicaid Waiver</v>
      </c>
      <c r="L13" s="26" t="str">
        <f aca="false">IF(M13="","",IF(M13="S","Weekly caregiver pay, week ending "&amp;TEXT(WeekEnd,"m/d/yyyy"),INDEX(in_Svc,N13)&amp;" "&amp;INDEX(in_ClientID,N13)&amp;", "&amp;INDEX(in_Units,N13)&amp;" units"&amp;IF(N(INDEX(in_Miles,N13))&gt;0,", "&amp;INDEX(in_Miles,N13)&amp;" miles","")))</f>
        <v>CO CL-2040, 68 units, 8 miles</v>
      </c>
      <c r="M13" s="60" t="str">
        <f aca="false">IF(7&gt;acc_TotalLines,"",IF(7&lt;=acc_SumLines,"S","P"))</f>
        <v>P</v>
      </c>
      <c r="N13" s="42" t="n">
        <f aca="false">IF(M13="","",IF(M13="S",MATCH(7,acc_SumSeq,0),MATCH(7-acc_SumLines,in_Seq,0)))</f>
        <v>1</v>
      </c>
      <c r="P13" s="60" t="str">
        <f aca="false">IF(INDEX(rt_Code,7)="","",INDEX(rt_GL,7))</f>
        <v/>
      </c>
      <c r="Q13" s="60" t="str">
        <f aca="false">IF(INDEX(rt_Code,7)="","",INDEX(rt_GLName,7))</f>
        <v/>
      </c>
      <c r="R13" s="61" t="n">
        <f aca="false">IF(INDEX(rt_Code,7)="",0,SUMIFS(in_ServicePay,in_Svc,INDEX(rt_Code,7),in_PayStatus,"Pay"))</f>
        <v>0</v>
      </c>
      <c r="S13" s="60" t="n">
        <f aca="false">S12+IF(R13&gt;0,1,0)</f>
        <v>5</v>
      </c>
    </row>
    <row r="14" customFormat="false" ht="15" hidden="false" customHeight="false" outlineLevel="0" collapsed="false">
      <c r="A14" s="26" t="str">
        <f aca="false">IF(M14="","",JrnPrefix&amp;"-"&amp;TEXT(WeekEnd,"yyyymmdd"))</f>
        <v>LHHC-20260920</v>
      </c>
      <c r="B14" s="58" t="n">
        <f aca="false">IF(M14="","",WeekEnd)</f>
        <v>46285</v>
      </c>
      <c r="C14" s="52" t="n">
        <f aca="false">IF(M14="","",8)</f>
        <v>8</v>
      </c>
      <c r="D14" s="26" t="str">
        <f aca="false">IF(M14="","",IF(M14="S",IF(INDEX(acc_SumAcct,N14)=MileGL,"Mileage summary","Expense summary"),"Caregiver payable"))</f>
        <v>Caregiver payable</v>
      </c>
      <c r="E14" s="40" t="str">
        <f aca="false">IF(M14="","",IF(M14="S",INDEX(acc_SumAcct,N14),APGL))</f>
        <v>2050</v>
      </c>
      <c r="F14" s="26" t="str">
        <f aca="false">IF(M14="","",IF(M14="S",INDEX(acc_SumName,N14),APGLName))</f>
        <v>Accounts Payable: Contract Caregivers</v>
      </c>
      <c r="G14" s="59" t="n">
        <f aca="false">IF(M14="","",IF(M14="S",INDEX(acc_SumAmt,N14),0))</f>
        <v>0</v>
      </c>
      <c r="H14" s="59" t="n">
        <f aca="false">IF(M14="","",IF(M14="S",0,INDEX(in_Payable,N14)))</f>
        <v>253</v>
      </c>
      <c r="I14" s="40" t="str">
        <f aca="false">IF(M14&lt;&gt;"P","",IFERROR(INDEX(cg_Vendor,MATCH(INDEX(in_CGID,N14),cg_ID,0)),""))</f>
        <v>V3235</v>
      </c>
      <c r="J14" s="26" t="str">
        <f aca="false">IF(M14&lt;&gt;"P","",INDEX(in_CGName,N14))</f>
        <v>Kendra Acosta</v>
      </c>
      <c r="K14" s="26" t="str">
        <f aca="false">IF(M14&lt;&gt;"P","",IFERROR(INDEX(cl_Payer,MATCH(INDEX(in_ClientID,N14),cl_ID,0)),"Unassigned"))</f>
        <v>Medicaid Waiver</v>
      </c>
      <c r="L14" s="26" t="str">
        <f aca="false">IF(M14="","",IF(M14="S","Weekly caregiver pay, week ending "&amp;TEXT(WeekEnd,"m/d/yyyy"),INDEX(in_Svc,N14)&amp;" "&amp;INDEX(in_ClientID,N14)&amp;", "&amp;INDEX(in_Units,N14)&amp;" units"&amp;IF(N(INDEX(in_Miles,N14))&gt;0,", "&amp;INDEX(in_Miles,N14)&amp;" miles","")))</f>
        <v>PC CL-2061, 46 units</v>
      </c>
      <c r="M14" s="60" t="str">
        <f aca="false">IF(8&gt;acc_TotalLines,"",IF(8&lt;=acc_SumLines,"S","P"))</f>
        <v>P</v>
      </c>
      <c r="N14" s="42" t="n">
        <f aca="false">IF(M14="","",IF(M14="S",MATCH(8,acc_SumSeq,0),MATCH(8-acc_SumLines,in_Seq,0)))</f>
        <v>2</v>
      </c>
      <c r="P14" s="60" t="str">
        <f aca="false">IF(INDEX(rt_Code,8)="","",INDEX(rt_GL,8))</f>
        <v/>
      </c>
      <c r="Q14" s="60" t="str">
        <f aca="false">IF(INDEX(rt_Code,8)="","",INDEX(rt_GLName,8))</f>
        <v/>
      </c>
      <c r="R14" s="61" t="n">
        <f aca="false">IF(INDEX(rt_Code,8)="",0,SUMIFS(in_ServicePay,in_Svc,INDEX(rt_Code,8),in_PayStatus,"Pay"))</f>
        <v>0</v>
      </c>
      <c r="S14" s="60" t="n">
        <f aca="false">S13+IF(R14&gt;0,1,0)</f>
        <v>5</v>
      </c>
    </row>
    <row r="15" customFormat="false" ht="15" hidden="false" customHeight="false" outlineLevel="0" collapsed="false">
      <c r="A15" s="26" t="str">
        <f aca="false">IF(M15="","",JrnPrefix&amp;"-"&amp;TEXT(WeekEnd,"yyyymmdd"))</f>
        <v>LHHC-20260920</v>
      </c>
      <c r="B15" s="58" t="n">
        <f aca="false">IF(M15="","",WeekEnd)</f>
        <v>46285</v>
      </c>
      <c r="C15" s="52" t="n">
        <f aca="false">IF(M15="","",9)</f>
        <v>9</v>
      </c>
      <c r="D15" s="26" t="str">
        <f aca="false">IF(M15="","",IF(M15="S",IF(INDEX(acc_SumAcct,N15)=MileGL,"Mileage summary","Expense summary"),"Caregiver payable"))</f>
        <v>Caregiver payable</v>
      </c>
      <c r="E15" s="40" t="str">
        <f aca="false">IF(M15="","",IF(M15="S",INDEX(acc_SumAcct,N15),APGL))</f>
        <v>2050</v>
      </c>
      <c r="F15" s="26" t="str">
        <f aca="false">IF(M15="","",IF(M15="S",INDEX(acc_SumName,N15),APGLName))</f>
        <v>Accounts Payable: Contract Caregivers</v>
      </c>
      <c r="G15" s="59" t="n">
        <f aca="false">IF(M15="","",IF(M15="S",INDEX(acc_SumAmt,N15),0))</f>
        <v>0</v>
      </c>
      <c r="H15" s="59" t="n">
        <f aca="false">IF(M15="","",IF(M15="S",0,INDEX(in_Payable,N15)))</f>
        <v>253.94</v>
      </c>
      <c r="I15" s="40" t="str">
        <f aca="false">IF(M15&lt;&gt;"P","",IFERROR(INDEX(cg_Vendor,MATCH(INDEX(in_CGID,N15),cg_ID,0)),""))</f>
        <v>V3235</v>
      </c>
      <c r="J15" s="26" t="str">
        <f aca="false">IF(M15&lt;&gt;"P","",INDEX(in_CGName,N15))</f>
        <v>Kendra Acosta</v>
      </c>
      <c r="K15" s="26" t="str">
        <f aca="false">IF(M15&lt;&gt;"P","",IFERROR(INDEX(cl_Payer,MATCH(INDEX(in_ClientID,N15),cl_ID,0)),"Unassigned"))</f>
        <v>Long-Term Care Insurance</v>
      </c>
      <c r="L15" s="26" t="str">
        <f aca="false">IF(M15="","",IF(M15="S","Weekly caregiver pay, week ending "&amp;TEXT(WeekEnd,"m/d/yyyy"),INDEX(in_Svc,N15)&amp;" "&amp;INDEX(in_ClientID,N15)&amp;", "&amp;INDEX(in_Units,N15)&amp;" units"&amp;IF(N(INDEX(in_Miles,N15))&gt;0,", "&amp;INDEX(in_Miles,N15)&amp;" miles","")))</f>
        <v>CO CL-2031, 58 units, 12 miles</v>
      </c>
      <c r="M15" s="60" t="str">
        <f aca="false">IF(9&gt;acc_TotalLines,"",IF(9&lt;=acc_SumLines,"S","P"))</f>
        <v>P</v>
      </c>
      <c r="N15" s="42" t="n">
        <f aca="false">IF(M15="","",IF(M15="S",MATCH(9,acc_SumSeq,0),MATCH(9-acc_SumLines,in_Seq,0)))</f>
        <v>3</v>
      </c>
      <c r="P15" s="60" t="str">
        <f aca="false">IF(INDEX(rt_Code,9)="","",INDEX(rt_GL,9))</f>
        <v/>
      </c>
      <c r="Q15" s="60" t="str">
        <f aca="false">IF(INDEX(rt_Code,9)="","",INDEX(rt_GLName,9))</f>
        <v/>
      </c>
      <c r="R15" s="61" t="n">
        <f aca="false">IF(INDEX(rt_Code,9)="",0,SUMIFS(in_ServicePay,in_Svc,INDEX(rt_Code,9),in_PayStatus,"Pay"))</f>
        <v>0</v>
      </c>
      <c r="S15" s="60" t="n">
        <f aca="false">S14+IF(R15&gt;0,1,0)</f>
        <v>5</v>
      </c>
    </row>
    <row r="16" customFormat="false" ht="15" hidden="false" customHeight="false" outlineLevel="0" collapsed="false">
      <c r="A16" s="26" t="str">
        <f aca="false">IF(M16="","",JrnPrefix&amp;"-"&amp;TEXT(WeekEnd,"yyyymmdd"))</f>
        <v>LHHC-20260920</v>
      </c>
      <c r="B16" s="58" t="n">
        <f aca="false">IF(M16="","",WeekEnd)</f>
        <v>46285</v>
      </c>
      <c r="C16" s="52" t="n">
        <f aca="false">IF(M16="","",10)</f>
        <v>10</v>
      </c>
      <c r="D16" s="26" t="str">
        <f aca="false">IF(M16="","",IF(M16="S",IF(INDEX(acc_SumAcct,N16)=MileGL,"Mileage summary","Expense summary"),"Caregiver payable"))</f>
        <v>Caregiver payable</v>
      </c>
      <c r="E16" s="40" t="str">
        <f aca="false">IF(M16="","",IF(M16="S",INDEX(acc_SumAcct,N16),APGL))</f>
        <v>2050</v>
      </c>
      <c r="F16" s="26" t="str">
        <f aca="false">IF(M16="","",IF(M16="S",INDEX(acc_SumName,N16),APGLName))</f>
        <v>Accounts Payable: Contract Caregivers</v>
      </c>
      <c r="G16" s="59" t="n">
        <f aca="false">IF(M16="","",IF(M16="S",INDEX(acc_SumAmt,N16),0))</f>
        <v>0</v>
      </c>
      <c r="H16" s="59" t="n">
        <f aca="false">IF(M16="","",IF(M16="S",0,INDEX(in_Payable,N16)))</f>
        <v>247.9</v>
      </c>
      <c r="I16" s="40" t="str">
        <f aca="false">IF(M16&lt;&gt;"P","",IFERROR(INDEX(cg_Vendor,MATCH(INDEX(in_CGID,N16),cg_ID,0)),""))</f>
        <v>V3208</v>
      </c>
      <c r="J16" s="26" t="str">
        <f aca="false">IF(M16&lt;&gt;"P","",INDEX(in_CGName,N16))</f>
        <v>Jada Barajas</v>
      </c>
      <c r="K16" s="26" t="str">
        <f aca="false">IF(M16&lt;&gt;"P","",IFERROR(INDEX(cl_Payer,MATCH(INDEX(in_ClientID,N16),cl_ID,0)),"Unassigned"))</f>
        <v>Medicaid Waiver</v>
      </c>
      <c r="L16" s="26" t="str">
        <f aca="false">IF(M16="","",IF(M16="S","Weekly caregiver pay, week ending "&amp;TEXT(WeekEnd,"m/d/yyyy"),INDEX(in_Svc,N16)&amp;" "&amp;INDEX(in_ClientID,N16)&amp;", "&amp;INDEX(in_Units,N16)&amp;" units"&amp;IF(N(INDEX(in_Miles,N16))&gt;0,", "&amp;INDEX(in_Miles,N16)&amp;" miles","")))</f>
        <v>RS CL-2033, 48 units, 5 miles</v>
      </c>
      <c r="M16" s="60" t="str">
        <f aca="false">IF(10&gt;acc_TotalLines,"",IF(10&lt;=acc_SumLines,"S","P"))</f>
        <v>P</v>
      </c>
      <c r="N16" s="42" t="n">
        <f aca="false">IF(M16="","",IF(M16="S",MATCH(10,acc_SumSeq,0),MATCH(10-acc_SumLines,in_Seq,0)))</f>
        <v>4</v>
      </c>
      <c r="P16" s="60" t="str">
        <f aca="false">IF(INDEX(rt_Code,10)="","",INDEX(rt_GL,10))</f>
        <v/>
      </c>
      <c r="Q16" s="60" t="str">
        <f aca="false">IF(INDEX(rt_Code,10)="","",INDEX(rt_GLName,10))</f>
        <v/>
      </c>
      <c r="R16" s="61" t="n">
        <f aca="false">IF(INDEX(rt_Code,10)="",0,SUMIFS(in_ServicePay,in_Svc,INDEX(rt_Code,10),in_PayStatus,"Pay"))</f>
        <v>0</v>
      </c>
      <c r="S16" s="60" t="n">
        <f aca="false">S15+IF(R16&gt;0,1,0)</f>
        <v>5</v>
      </c>
    </row>
    <row r="17" customFormat="false" ht="15" hidden="false" customHeight="false" outlineLevel="0" collapsed="false">
      <c r="A17" s="26" t="str">
        <f aca="false">IF(M17="","",JrnPrefix&amp;"-"&amp;TEXT(WeekEnd,"yyyymmdd"))</f>
        <v>LHHC-20260920</v>
      </c>
      <c r="B17" s="58" t="n">
        <f aca="false">IF(M17="","",WeekEnd)</f>
        <v>46285</v>
      </c>
      <c r="C17" s="52" t="n">
        <f aca="false">IF(M17="","",11)</f>
        <v>11</v>
      </c>
      <c r="D17" s="26" t="str">
        <f aca="false">IF(M17="","",IF(M17="S",IF(INDEX(acc_SumAcct,N17)=MileGL,"Mileage summary","Expense summary"),"Caregiver payable"))</f>
        <v>Caregiver payable</v>
      </c>
      <c r="E17" s="40" t="str">
        <f aca="false">IF(M17="","",IF(M17="S",INDEX(acc_SumAcct,N17),APGL))</f>
        <v>2050</v>
      </c>
      <c r="F17" s="26" t="str">
        <f aca="false">IF(M17="","",IF(M17="S",INDEX(acc_SumName,N17),APGLName))</f>
        <v>Accounts Payable: Contract Caregivers</v>
      </c>
      <c r="G17" s="59" t="n">
        <f aca="false">IF(M17="","",IF(M17="S",INDEX(acc_SumAmt,N17),0))</f>
        <v>0</v>
      </c>
      <c r="H17" s="59" t="n">
        <f aca="false">IF(M17="","",IF(M17="S",0,INDEX(in_Payable,N17)))</f>
        <v>220</v>
      </c>
      <c r="I17" s="40" t="str">
        <f aca="false">IF(M17&lt;&gt;"P","",IFERROR(INDEX(cg_Vendor,MATCH(INDEX(in_CGID,N17),cg_ID,0)),""))</f>
        <v>V3208</v>
      </c>
      <c r="J17" s="26" t="str">
        <f aca="false">IF(M17&lt;&gt;"P","",INDEX(in_CGName,N17))</f>
        <v>Jada Barajas</v>
      </c>
      <c r="K17" s="26" t="str">
        <f aca="false">IF(M17&lt;&gt;"P","",IFERROR(INDEX(cl_Payer,MATCH(INDEX(in_ClientID,N17),cl_ID,0)),"Unassigned"))</f>
        <v>Private Pay</v>
      </c>
      <c r="L17" s="26" t="str">
        <f aca="false">IF(M17="","",IF(M17="S","Weekly caregiver pay, week ending "&amp;TEXT(WeekEnd,"m/d/yyyy"),INDEX(in_Svc,N17)&amp;" "&amp;INDEX(in_ClientID,N17)&amp;", "&amp;INDEX(in_Units,N17)&amp;" units"&amp;IF(N(INDEX(in_Miles,N17))&gt;0,", "&amp;INDEX(in_Miles,N17)&amp;" miles","")))</f>
        <v>PC CL-2006, 40 units</v>
      </c>
      <c r="M17" s="60" t="str">
        <f aca="false">IF(11&gt;acc_TotalLines,"",IF(11&lt;=acc_SumLines,"S","P"))</f>
        <v>P</v>
      </c>
      <c r="N17" s="42" t="n">
        <f aca="false">IF(M17="","",IF(M17="S",MATCH(11,acc_SumSeq,0),MATCH(11-acc_SumLines,in_Seq,0)))</f>
        <v>5</v>
      </c>
      <c r="P17" s="60" t="str">
        <f aca="false">MileGL</f>
        <v>5190</v>
      </c>
      <c r="Q17" s="60" t="str">
        <f aca="false">MileGLName</f>
        <v>Caregiver Mileage Reimbursement</v>
      </c>
      <c r="R17" s="61" t="n">
        <f aca="false">SUMIFS(in_MilePay,in_PayStatus,"Pay")</f>
        <v>220.1</v>
      </c>
      <c r="S17" s="60" t="n">
        <f aca="false">S16+IF(R17&gt;0,1,0)</f>
        <v>6</v>
      </c>
    </row>
    <row r="18" customFormat="false" ht="15" hidden="false" customHeight="false" outlineLevel="0" collapsed="false">
      <c r="A18" s="26" t="str">
        <f aca="false">IF(M18="","",JrnPrefix&amp;"-"&amp;TEXT(WeekEnd,"yyyymmdd"))</f>
        <v>LHHC-20260920</v>
      </c>
      <c r="B18" s="58" t="n">
        <f aca="false">IF(M18="","",WeekEnd)</f>
        <v>46285</v>
      </c>
      <c r="C18" s="52" t="n">
        <f aca="false">IF(M18="","",12)</f>
        <v>12</v>
      </c>
      <c r="D18" s="26" t="str">
        <f aca="false">IF(M18="","",IF(M18="S",IF(INDEX(acc_SumAcct,N18)=MileGL,"Mileage summary","Expense summary"),"Caregiver payable"))</f>
        <v>Caregiver payable</v>
      </c>
      <c r="E18" s="40" t="str">
        <f aca="false">IF(M18="","",IF(M18="S",INDEX(acc_SumAcct,N18),APGL))</f>
        <v>2050</v>
      </c>
      <c r="F18" s="26" t="str">
        <f aca="false">IF(M18="","",IF(M18="S",INDEX(acc_SumName,N18),APGLName))</f>
        <v>Accounts Payable: Contract Caregivers</v>
      </c>
      <c r="G18" s="59" t="n">
        <f aca="false">IF(M18="","",IF(M18="S",INDEX(acc_SumAmt,N18),0))</f>
        <v>0</v>
      </c>
      <c r="H18" s="59" t="n">
        <f aca="false">IF(M18="","",IF(M18="S",0,INDEX(in_Payable,N18)))</f>
        <v>222.26</v>
      </c>
      <c r="I18" s="40" t="str">
        <f aca="false">IF(M18&lt;&gt;"P","",IFERROR(INDEX(cg_Vendor,MATCH(INDEX(in_CGID,N18),cg_ID,0)),""))</f>
        <v>V3201</v>
      </c>
      <c r="J18" s="26" t="str">
        <f aca="false">IF(M18&lt;&gt;"P","",INDEX(in_CGName,N18))</f>
        <v>Mireille Beasley</v>
      </c>
      <c r="K18" s="26" t="str">
        <f aca="false">IF(M18&lt;&gt;"P","",IFERROR(INDEX(cl_Payer,MATCH(INDEX(in_ClientID,N18),cl_ID,0)),"Unassigned"))</f>
        <v>Area Agency on Aging</v>
      </c>
      <c r="L18" s="26" t="str">
        <f aca="false">IF(M18="","",IF(M18="S","Weekly caregiver pay, week ending "&amp;TEXT(WeekEnd,"m/d/yyyy"),INDEX(in_Svc,N18)&amp;" "&amp;INDEX(in_ClientID,N18)&amp;", "&amp;INDEX(in_Units,N18)&amp;" units"&amp;IF(N(INDEX(in_Miles,N18))&gt;0,", "&amp;INDEX(in_Miles,N18)&amp;" miles","")))</f>
        <v>RS CL-2025, 42 units, 13 miles</v>
      </c>
      <c r="M18" s="60" t="str">
        <f aca="false">IF(12&gt;acc_TotalLines,"",IF(12&lt;=acc_SumLines,"S","P"))</f>
        <v>P</v>
      </c>
      <c r="N18" s="42" t="n">
        <f aca="false">IF(M18="","",IF(M18="S",MATCH(12,acc_SumSeq,0),MATCH(12-acc_SumLines,in_Seq,0)))</f>
        <v>6</v>
      </c>
    </row>
    <row r="19" customFormat="false" ht="15" hidden="false" customHeight="false" outlineLevel="0" collapsed="false">
      <c r="A19" s="26" t="str">
        <f aca="false">IF(M19="","",JrnPrefix&amp;"-"&amp;TEXT(WeekEnd,"yyyymmdd"))</f>
        <v>LHHC-20260920</v>
      </c>
      <c r="B19" s="58" t="n">
        <f aca="false">IF(M19="","",WeekEnd)</f>
        <v>46285</v>
      </c>
      <c r="C19" s="52" t="n">
        <f aca="false">IF(M19="","",13)</f>
        <v>13</v>
      </c>
      <c r="D19" s="26" t="str">
        <f aca="false">IF(M19="","",IF(M19="S",IF(INDEX(acc_SumAcct,N19)=MileGL,"Mileage summary","Expense summary"),"Caregiver payable"))</f>
        <v>Caregiver payable</v>
      </c>
      <c r="E19" s="40" t="str">
        <f aca="false">IF(M19="","",IF(M19="S",INDEX(acc_SumAcct,N19),APGL))</f>
        <v>2050</v>
      </c>
      <c r="F19" s="26" t="str">
        <f aca="false">IF(M19="","",IF(M19="S",INDEX(acc_SumName,N19),APGLName))</f>
        <v>Accounts Payable: Contract Caregivers</v>
      </c>
      <c r="G19" s="59" t="n">
        <f aca="false">IF(M19="","",IF(M19="S",INDEX(acc_SumAmt,N19),0))</f>
        <v>0</v>
      </c>
      <c r="H19" s="59" t="n">
        <f aca="false">IF(M19="","",IF(M19="S",0,INDEX(in_Payable,N19)))</f>
        <v>363</v>
      </c>
      <c r="I19" s="40" t="str">
        <f aca="false">IF(M19&lt;&gt;"P","",IFERROR(INDEX(cg_Vendor,MATCH(INDEX(in_CGID,N19),cg_ID,0)),""))</f>
        <v>V3210</v>
      </c>
      <c r="J19" s="26" t="str">
        <f aca="false">IF(M19&lt;&gt;"P","",INDEX(in_CGName,N19))</f>
        <v>Vanessa Bledsoe</v>
      </c>
      <c r="K19" s="26" t="str">
        <f aca="false">IF(M19&lt;&gt;"P","",IFERROR(INDEX(cl_Payer,MATCH(INDEX(in_ClientID,N19),cl_ID,0)),"Unassigned"))</f>
        <v>Private Pay</v>
      </c>
      <c r="L19" s="26" t="str">
        <f aca="false">IF(M19="","",IF(M19="S","Weekly caregiver pay, week ending "&amp;TEXT(WeekEnd,"m/d/yyyy"),INDEX(in_Svc,N19)&amp;" "&amp;INDEX(in_ClientID,N19)&amp;", "&amp;INDEX(in_Units,N19)&amp;" units"&amp;IF(N(INDEX(in_Miles,N19))&gt;0,", "&amp;INDEX(in_Miles,N19)&amp;" miles","")))</f>
        <v>PC CL-2034, 66 units</v>
      </c>
      <c r="M19" s="60" t="str">
        <f aca="false">IF(13&gt;acc_TotalLines,"",IF(13&lt;=acc_SumLines,"S","P"))</f>
        <v>P</v>
      </c>
      <c r="N19" s="42" t="n">
        <f aca="false">IF(M19="","",IF(M19="S",MATCH(13,acc_SumSeq,0),MATCH(13-acc_SumLines,in_Seq,0)))</f>
        <v>7</v>
      </c>
    </row>
    <row r="20" customFormat="false" ht="15" hidden="false" customHeight="false" outlineLevel="0" collapsed="false">
      <c r="A20" s="26" t="str">
        <f aca="false">IF(M20="","",JrnPrefix&amp;"-"&amp;TEXT(WeekEnd,"yyyymmdd"))</f>
        <v>LHHC-20260920</v>
      </c>
      <c r="B20" s="58" t="n">
        <f aca="false">IF(M20="","",WeekEnd)</f>
        <v>46285</v>
      </c>
      <c r="C20" s="52" t="n">
        <f aca="false">IF(M20="","",14)</f>
        <v>14</v>
      </c>
      <c r="D20" s="26" t="str">
        <f aca="false">IF(M20="","",IF(M20="S",IF(INDEX(acc_SumAcct,N20)=MileGL,"Mileage summary","Expense summary"),"Caregiver payable"))</f>
        <v>Caregiver payable</v>
      </c>
      <c r="E20" s="40" t="str">
        <f aca="false">IF(M20="","",IF(M20="S",INDEX(acc_SumAcct,N20),APGL))</f>
        <v>2050</v>
      </c>
      <c r="F20" s="26" t="str">
        <f aca="false">IF(M20="","",IF(M20="S",INDEX(acc_SumName,N20),APGLName))</f>
        <v>Accounts Payable: Contract Caregivers</v>
      </c>
      <c r="G20" s="59" t="n">
        <f aca="false">IF(M20="","",IF(M20="S",INDEX(acc_SumAmt,N20),0))</f>
        <v>0</v>
      </c>
      <c r="H20" s="59" t="n">
        <f aca="false">IF(M20="","",IF(M20="S",0,INDEX(in_Payable,N20)))</f>
        <v>242</v>
      </c>
      <c r="I20" s="40" t="str">
        <f aca="false">IF(M20&lt;&gt;"P","",IFERROR(INDEX(cg_Vendor,MATCH(INDEX(in_CGID,N20),cg_ID,0)),""))</f>
        <v>V3210</v>
      </c>
      <c r="J20" s="26" t="str">
        <f aca="false">IF(M20&lt;&gt;"P","",INDEX(in_CGName,N20))</f>
        <v>Vanessa Bledsoe</v>
      </c>
      <c r="K20" s="26" t="str">
        <f aca="false">IF(M20&lt;&gt;"P","",IFERROR(INDEX(cl_Payer,MATCH(INDEX(in_ClientID,N20),cl_ID,0)),"Unassigned"))</f>
        <v>Medicaid Waiver</v>
      </c>
      <c r="L20" s="26" t="str">
        <f aca="false">IF(M20="","",IF(M20="S","Weekly caregiver pay, week ending "&amp;TEXT(WeekEnd,"m/d/yyyy"),INDEX(in_Svc,N20)&amp;" "&amp;INDEX(in_ClientID,N20)&amp;", "&amp;INDEX(in_Units,N20)&amp;" units"&amp;IF(N(INDEX(in_Miles,N20))&gt;0,", "&amp;INDEX(in_Miles,N20)&amp;" miles","")))</f>
        <v>PC CL-2042, 44 units</v>
      </c>
      <c r="M20" s="60" t="str">
        <f aca="false">IF(14&gt;acc_TotalLines,"",IF(14&lt;=acc_SumLines,"S","P"))</f>
        <v>P</v>
      </c>
      <c r="N20" s="42" t="n">
        <f aca="false">IF(M20="","",IF(M20="S",MATCH(14,acc_SumSeq,0),MATCH(14-acc_SumLines,in_Seq,0)))</f>
        <v>8</v>
      </c>
    </row>
    <row r="21" customFormat="false" ht="15" hidden="false" customHeight="false" outlineLevel="0" collapsed="false">
      <c r="A21" s="26" t="str">
        <f aca="false">IF(M21="","",JrnPrefix&amp;"-"&amp;TEXT(WeekEnd,"yyyymmdd"))</f>
        <v>LHHC-20260920</v>
      </c>
      <c r="B21" s="58" t="n">
        <f aca="false">IF(M21="","",WeekEnd)</f>
        <v>46285</v>
      </c>
      <c r="C21" s="52" t="n">
        <f aca="false">IF(M21="","",15)</f>
        <v>15</v>
      </c>
      <c r="D21" s="26" t="str">
        <f aca="false">IF(M21="","",IF(M21="S",IF(INDEX(acc_SumAcct,N21)=MileGL,"Mileage summary","Expense summary"),"Caregiver payable"))</f>
        <v>Caregiver payable</v>
      </c>
      <c r="E21" s="40" t="str">
        <f aca="false">IF(M21="","",IF(M21="S",INDEX(acc_SumAcct,N21),APGL))</f>
        <v>2050</v>
      </c>
      <c r="F21" s="26" t="str">
        <f aca="false">IF(M21="","",IF(M21="S",INDEX(acc_SumName,N21),APGLName))</f>
        <v>Accounts Payable: Contract Caregivers</v>
      </c>
      <c r="G21" s="59" t="n">
        <f aca="false">IF(M21="","",IF(M21="S",INDEX(acc_SumAmt,N21),0))</f>
        <v>0</v>
      </c>
      <c r="H21" s="59" t="n">
        <f aca="false">IF(M21="","",IF(M21="S",0,INDEX(in_Payable,N21)))</f>
        <v>105.28</v>
      </c>
      <c r="I21" s="40" t="str">
        <f aca="false">IF(M21&lt;&gt;"P","",IFERROR(INDEX(cg_Vendor,MATCH(INDEX(in_CGID,N21),cg_ID,0)),""))</f>
        <v>V3210</v>
      </c>
      <c r="J21" s="26" t="str">
        <f aca="false">IF(M21&lt;&gt;"P","",INDEX(in_CGName,N21))</f>
        <v>Vanessa Bledsoe</v>
      </c>
      <c r="K21" s="26" t="str">
        <f aca="false">IF(M21&lt;&gt;"P","",IFERROR(INDEX(cl_Payer,MATCH(INDEX(in_ClientID,N21),cl_ID,0)),"Unassigned"))</f>
        <v>Private Pay</v>
      </c>
      <c r="L21" s="26" t="str">
        <f aca="false">IF(M21="","",IF(M21="S","Weekly caregiver pay, week ending "&amp;TEXT(WeekEnd,"m/d/yyyy"),INDEX(in_Svc,N21)&amp;" "&amp;INDEX(in_ClientID,N21)&amp;", "&amp;INDEX(in_Units,N21)&amp;" units"&amp;IF(N(INDEX(in_Miles,N21))&gt;0,", "&amp;INDEX(in_Miles,N21)&amp;" miles","")))</f>
        <v>CO CL-2035, 22 units, 19 miles</v>
      </c>
      <c r="M21" s="60" t="str">
        <f aca="false">IF(15&gt;acc_TotalLines,"",IF(15&lt;=acc_SumLines,"S","P"))</f>
        <v>P</v>
      </c>
      <c r="N21" s="42" t="n">
        <f aca="false">IF(M21="","",IF(M21="S",MATCH(15,acc_SumSeq,0),MATCH(15-acc_SumLines,in_Seq,0)))</f>
        <v>9</v>
      </c>
    </row>
    <row r="22" customFormat="false" ht="15" hidden="false" customHeight="false" outlineLevel="0" collapsed="false">
      <c r="A22" s="26" t="str">
        <f aca="false">IF(M22="","",JrnPrefix&amp;"-"&amp;TEXT(WeekEnd,"yyyymmdd"))</f>
        <v>LHHC-20260920</v>
      </c>
      <c r="B22" s="58" t="n">
        <f aca="false">IF(M22="","",WeekEnd)</f>
        <v>46285</v>
      </c>
      <c r="C22" s="52" t="n">
        <f aca="false">IF(M22="","",16)</f>
        <v>16</v>
      </c>
      <c r="D22" s="26" t="str">
        <f aca="false">IF(M22="","",IF(M22="S",IF(INDEX(acc_SumAcct,N22)=MileGL,"Mileage summary","Expense summary"),"Caregiver payable"))</f>
        <v>Caregiver payable</v>
      </c>
      <c r="E22" s="40" t="str">
        <f aca="false">IF(M22="","",IF(M22="S",INDEX(acc_SumAcct,N22),APGL))</f>
        <v>2050</v>
      </c>
      <c r="F22" s="26" t="str">
        <f aca="false">IF(M22="","",IF(M22="S",INDEX(acc_SumName,N22),APGLName))</f>
        <v>Accounts Payable: Contract Caregivers</v>
      </c>
      <c r="G22" s="59" t="n">
        <f aca="false">IF(M22="","",IF(M22="S",INDEX(acc_SumAmt,N22),0))</f>
        <v>0</v>
      </c>
      <c r="H22" s="59" t="n">
        <f aca="false">IF(M22="","",IF(M22="S",0,INDEX(in_Payable,N22)))</f>
        <v>102</v>
      </c>
      <c r="I22" s="40" t="str">
        <f aca="false">IF(M22&lt;&gt;"P","",IFERROR(INDEX(cg_Vendor,MATCH(INDEX(in_CGID,N22),cg_ID,0)),""))</f>
        <v>V3237</v>
      </c>
      <c r="J22" s="26" t="str">
        <f aca="false">IF(M22&lt;&gt;"P","",INDEX(in_CGName,N22))</f>
        <v>Zora Burrell</v>
      </c>
      <c r="K22" s="26" t="str">
        <f aca="false">IF(M22&lt;&gt;"P","",IFERROR(INDEX(cl_Payer,MATCH(INDEX(in_ClientID,N22),cl_ID,0)),"Unassigned"))</f>
        <v>Medicaid Waiver</v>
      </c>
      <c r="L22" s="26" t="str">
        <f aca="false">IF(M22="","",IF(M22="S","Weekly caregiver pay, week ending "&amp;TEXT(WeekEnd,"m/d/yyyy"),INDEX(in_Svc,N22)&amp;" "&amp;INDEX(in_ClientID,N22)&amp;", "&amp;INDEX(in_Units,N22)&amp;" units"&amp;IF(N(INDEX(in_Miles,N22))&gt;0,", "&amp;INDEX(in_Miles,N22)&amp;" miles","")))</f>
        <v>RS CL-2036, 20 units</v>
      </c>
      <c r="M22" s="60" t="str">
        <f aca="false">IF(16&gt;acc_TotalLines,"",IF(16&lt;=acc_SumLines,"S","P"))</f>
        <v>P</v>
      </c>
      <c r="N22" s="42" t="n">
        <f aca="false">IF(M22="","",IF(M22="S",MATCH(16,acc_SumSeq,0),MATCH(16-acc_SumLines,in_Seq,0)))</f>
        <v>10</v>
      </c>
    </row>
    <row r="23" customFormat="false" ht="15" hidden="false" customHeight="false" outlineLevel="0" collapsed="false">
      <c r="A23" s="26" t="str">
        <f aca="false">IF(M23="","",JrnPrefix&amp;"-"&amp;TEXT(WeekEnd,"yyyymmdd"))</f>
        <v>LHHC-20260920</v>
      </c>
      <c r="B23" s="58" t="n">
        <f aca="false">IF(M23="","",WeekEnd)</f>
        <v>46285</v>
      </c>
      <c r="C23" s="52" t="n">
        <f aca="false">IF(M23="","",17)</f>
        <v>17</v>
      </c>
      <c r="D23" s="26" t="str">
        <f aca="false">IF(M23="","",IF(M23="S",IF(INDEX(acc_SumAcct,N23)=MileGL,"Mileage summary","Expense summary"),"Caregiver payable"))</f>
        <v>Caregiver payable</v>
      </c>
      <c r="E23" s="40" t="str">
        <f aca="false">IF(M23="","",IF(M23="S",INDEX(acc_SumAcct,N23),APGL))</f>
        <v>2050</v>
      </c>
      <c r="F23" s="26" t="str">
        <f aca="false">IF(M23="","",IF(M23="S",INDEX(acc_SumName,N23),APGLName))</f>
        <v>Accounts Payable: Contract Caregivers</v>
      </c>
      <c r="G23" s="59" t="n">
        <f aca="false">IF(M23="","",IF(M23="S",INDEX(acc_SumAmt,N23),0))</f>
        <v>0</v>
      </c>
      <c r="H23" s="59" t="n">
        <f aca="false">IF(M23="","",IF(M23="S",0,INDEX(in_Payable,N23)))</f>
        <v>156.48</v>
      </c>
      <c r="I23" s="40" t="str">
        <f aca="false">IF(M23&lt;&gt;"P","",IFERROR(INDEX(cg_Vendor,MATCH(INDEX(in_CGID,N23),cg_ID,0)),""))</f>
        <v>V3226</v>
      </c>
      <c r="J23" s="26" t="str">
        <f aca="false">IF(M23&lt;&gt;"P","",INDEX(in_CGName,N23))</f>
        <v>Andre Coleman</v>
      </c>
      <c r="K23" s="26" t="str">
        <f aca="false">IF(M23&lt;&gt;"P","",IFERROR(INDEX(cl_Payer,MATCH(INDEX(in_ClientID,N23),cl_ID,0)),"Unassigned"))</f>
        <v>Area Agency on Aging</v>
      </c>
      <c r="L23" s="26" t="str">
        <f aca="false">IF(M23="","",IF(M23="S","Weekly caregiver pay, week ending "&amp;TEXT(WeekEnd,"m/d/yyyy"),INDEX(in_Svc,N23)&amp;" "&amp;INDEX(in_ClientID,N23)&amp;", "&amp;INDEX(in_Units,N23)&amp;" units"&amp;IF(N(INDEX(in_Miles,N23))&gt;0,", "&amp;INDEX(in_Miles,N23)&amp;" miles","")))</f>
        <v>PC CL-2018, 28 units, 4 miles</v>
      </c>
      <c r="M23" s="60" t="str">
        <f aca="false">IF(17&gt;acc_TotalLines,"",IF(17&lt;=acc_SumLines,"S","P"))</f>
        <v>P</v>
      </c>
      <c r="N23" s="42" t="n">
        <f aca="false">IF(M23="","",IF(M23="S",MATCH(17,acc_SumSeq,0),MATCH(17-acc_SumLines,in_Seq,0)))</f>
        <v>11</v>
      </c>
    </row>
    <row r="24" customFormat="false" ht="15" hidden="false" customHeight="false" outlineLevel="0" collapsed="false">
      <c r="A24" s="26" t="str">
        <f aca="false">IF(M24="","",JrnPrefix&amp;"-"&amp;TEXT(WeekEnd,"yyyymmdd"))</f>
        <v>LHHC-20260920</v>
      </c>
      <c r="B24" s="58" t="n">
        <f aca="false">IF(M24="","",WeekEnd)</f>
        <v>46285</v>
      </c>
      <c r="C24" s="52" t="n">
        <f aca="false">IF(M24="","",18)</f>
        <v>18</v>
      </c>
      <c r="D24" s="26" t="str">
        <f aca="false">IF(M24="","",IF(M24="S",IF(INDEX(acc_SumAcct,N24)=MileGL,"Mileage summary","Expense summary"),"Caregiver payable"))</f>
        <v>Caregiver payable</v>
      </c>
      <c r="E24" s="40" t="str">
        <f aca="false">IF(M24="","",IF(M24="S",INDEX(acc_SumAcct,N24),APGL))</f>
        <v>2050</v>
      </c>
      <c r="F24" s="26" t="str">
        <f aca="false">IF(M24="","",IF(M24="S",INDEX(acc_SumName,N24),APGLName))</f>
        <v>Accounts Payable: Contract Caregivers</v>
      </c>
      <c r="G24" s="59" t="n">
        <f aca="false">IF(M24="","",IF(M24="S",INDEX(acc_SumAmt,N24),0))</f>
        <v>0</v>
      </c>
      <c r="H24" s="59" t="n">
        <f aca="false">IF(M24="","",IF(M24="S",0,INDEX(in_Payable,N24)))</f>
        <v>265.2</v>
      </c>
      <c r="I24" s="40" t="str">
        <f aca="false">IF(M24&lt;&gt;"P","",IFERROR(INDEX(cg_Vendor,MATCH(INDEX(in_CGID,N24),cg_ID,0)),""))</f>
        <v>V3227</v>
      </c>
      <c r="J24" s="26" t="str">
        <f aca="false">IF(M24&lt;&gt;"P","",INDEX(in_CGName,N24))</f>
        <v>Zora Coleman</v>
      </c>
      <c r="K24" s="26" t="str">
        <f aca="false">IF(M24&lt;&gt;"P","",IFERROR(INDEX(cl_Payer,MATCH(INDEX(in_ClientID,N24),cl_ID,0)),"Unassigned"))</f>
        <v>Medicaid Waiver</v>
      </c>
      <c r="L24" s="26" t="str">
        <f aca="false">IF(M24="","",IF(M24="S","Weekly caregiver pay, week ending "&amp;TEXT(WeekEnd,"m/d/yyyy"),INDEX(in_Svc,N24)&amp;" "&amp;INDEX(in_ClientID,N24)&amp;", "&amp;INDEX(in_Units,N24)&amp;" units"&amp;IF(N(INDEX(in_Miles,N24))&gt;0,", "&amp;INDEX(in_Miles,N24)&amp;" miles","")))</f>
        <v>RS CL-2044, 52 units</v>
      </c>
      <c r="M24" s="60" t="str">
        <f aca="false">IF(18&gt;acc_TotalLines,"",IF(18&lt;=acc_SumLines,"S","P"))</f>
        <v>P</v>
      </c>
      <c r="N24" s="42" t="n">
        <f aca="false">IF(M24="","",IF(M24="S",MATCH(18,acc_SumSeq,0),MATCH(18-acc_SumLines,in_Seq,0)))</f>
        <v>12</v>
      </c>
    </row>
    <row r="25" customFormat="false" ht="15" hidden="false" customHeight="false" outlineLevel="0" collapsed="false">
      <c r="A25" s="26" t="str">
        <f aca="false">IF(M25="","",JrnPrefix&amp;"-"&amp;TEXT(WeekEnd,"yyyymmdd"))</f>
        <v>LHHC-20260920</v>
      </c>
      <c r="B25" s="58" t="n">
        <f aca="false">IF(M25="","",WeekEnd)</f>
        <v>46285</v>
      </c>
      <c r="C25" s="52" t="n">
        <f aca="false">IF(M25="","",19)</f>
        <v>19</v>
      </c>
      <c r="D25" s="26" t="str">
        <f aca="false">IF(M25="","",IF(M25="S",IF(INDEX(acc_SumAcct,N25)=MileGL,"Mileage summary","Expense summary"),"Caregiver payable"))</f>
        <v>Caregiver payable</v>
      </c>
      <c r="E25" s="40" t="str">
        <f aca="false">IF(M25="","",IF(M25="S",INDEX(acc_SumAcct,N25),APGL))</f>
        <v>2050</v>
      </c>
      <c r="F25" s="26" t="str">
        <f aca="false">IF(M25="","",IF(M25="S",INDEX(acc_SumName,N25),APGLName))</f>
        <v>Accounts Payable: Contract Caregivers</v>
      </c>
      <c r="G25" s="59" t="n">
        <f aca="false">IF(M25="","",IF(M25="S",INDEX(acc_SumAmt,N25),0))</f>
        <v>0</v>
      </c>
      <c r="H25" s="59" t="n">
        <f aca="false">IF(M25="","",IF(M25="S",0,INDEX(in_Payable,N25)))</f>
        <v>195.78</v>
      </c>
      <c r="I25" s="40" t="str">
        <f aca="false">IF(M25&lt;&gt;"P","",IFERROR(INDEX(cg_Vendor,MATCH(INDEX(in_CGID,N25),cg_ID,0)),""))</f>
        <v>V3244</v>
      </c>
      <c r="J25" s="26" t="str">
        <f aca="false">IF(M25&lt;&gt;"P","",INDEX(in_CGName,N25))</f>
        <v>Bernice Corbett</v>
      </c>
      <c r="K25" s="26" t="str">
        <f aca="false">IF(M25&lt;&gt;"P","",IFERROR(INDEX(cl_Payer,MATCH(INDEX(in_ClientID,N25),cl_ID,0)),"Unassigned"))</f>
        <v>Area Agency on Aging</v>
      </c>
      <c r="L25" s="26" t="str">
        <f aca="false">IF(M25="","",IF(M25="S","Weekly caregiver pay, week ending "&amp;TEXT(WeekEnd,"m/d/yyyy"),INDEX(in_Svc,N25)&amp;" "&amp;INDEX(in_ClientID,N25)&amp;", "&amp;INDEX(in_Units,N25)&amp;" units"&amp;IF(N(INDEX(in_Miles,N25))&gt;0,", "&amp;INDEX(in_Miles,N25)&amp;" miles","")))</f>
        <v>HM CL-2022, 40 units, 19 miles</v>
      </c>
      <c r="M25" s="60" t="str">
        <f aca="false">IF(19&gt;acc_TotalLines,"",IF(19&lt;=acc_SumLines,"S","P"))</f>
        <v>P</v>
      </c>
      <c r="N25" s="42" t="n">
        <f aca="false">IF(M25="","",IF(M25="S",MATCH(19,acc_SumSeq,0),MATCH(19-acc_SumLines,in_Seq,0)))</f>
        <v>13</v>
      </c>
    </row>
    <row r="26" customFormat="false" ht="15" hidden="false" customHeight="false" outlineLevel="0" collapsed="false">
      <c r="A26" s="26" t="str">
        <f aca="false">IF(M26="","",JrnPrefix&amp;"-"&amp;TEXT(WeekEnd,"yyyymmdd"))</f>
        <v>LHHC-20260920</v>
      </c>
      <c r="B26" s="58" t="n">
        <f aca="false">IF(M26="","",WeekEnd)</f>
        <v>46285</v>
      </c>
      <c r="C26" s="52" t="n">
        <f aca="false">IF(M26="","",20)</f>
        <v>20</v>
      </c>
      <c r="D26" s="26" t="str">
        <f aca="false">IF(M26="","",IF(M26="S",IF(INDEX(acc_SumAcct,N26)=MileGL,"Mileage summary","Expense summary"),"Caregiver payable"))</f>
        <v>Caregiver payable</v>
      </c>
      <c r="E26" s="40" t="str">
        <f aca="false">IF(M26="","",IF(M26="S",INDEX(acc_SumAcct,N26),APGL))</f>
        <v>2050</v>
      </c>
      <c r="F26" s="26" t="str">
        <f aca="false">IF(M26="","",IF(M26="S",INDEX(acc_SumName,N26),APGLName))</f>
        <v>Accounts Payable: Contract Caregivers</v>
      </c>
      <c r="G26" s="59" t="n">
        <f aca="false">IF(M26="","",IF(M26="S",INDEX(acc_SumAmt,N26),0))</f>
        <v>0</v>
      </c>
      <c r="H26" s="59" t="n">
        <f aca="false">IF(M26="","",IF(M26="S",0,INDEX(in_Payable,N26)))</f>
        <v>279.96</v>
      </c>
      <c r="I26" s="40" t="str">
        <f aca="false">IF(M26&lt;&gt;"P","",IFERROR(INDEX(cg_Vendor,MATCH(INDEX(in_CGID,N26),cg_ID,0)),""))</f>
        <v>V3207</v>
      </c>
      <c r="J26" s="26" t="str">
        <f aca="false">IF(M26&lt;&gt;"P","",INDEX(in_CGName,N26))</f>
        <v>Nadia Corbett</v>
      </c>
      <c r="K26" s="26" t="str">
        <f aca="false">IF(M26&lt;&gt;"P","",IFERROR(INDEX(cl_Payer,MATCH(INDEX(in_ClientID,N26),cl_ID,0)),"Unassigned"))</f>
        <v>Area Agency on Aging</v>
      </c>
      <c r="L26" s="26" t="str">
        <f aca="false">IF(M26="","",IF(M26="S","Weekly caregiver pay, week ending "&amp;TEXT(WeekEnd,"m/d/yyyy"),INDEX(in_Svc,N26)&amp;" "&amp;INDEX(in_ClientID,N26)&amp;", "&amp;INDEX(in_Units,N26)&amp;" units"&amp;IF(N(INDEX(in_Miles,N26))&gt;0,", "&amp;INDEX(in_Miles,N26)&amp;" miles","")))</f>
        <v>PC CL-2022, 50 units, 8 miles</v>
      </c>
      <c r="M26" s="60" t="str">
        <f aca="false">IF(20&gt;acc_TotalLines,"",IF(20&lt;=acc_SumLines,"S","P"))</f>
        <v>P</v>
      </c>
      <c r="N26" s="42" t="n">
        <f aca="false">IF(M26="","",IF(M26="S",MATCH(20,acc_SumSeq,0),MATCH(20-acc_SumLines,in_Seq,0)))</f>
        <v>14</v>
      </c>
    </row>
    <row r="27" customFormat="false" ht="15" hidden="false" customHeight="false" outlineLevel="0" collapsed="false">
      <c r="A27" s="26" t="str">
        <f aca="false">IF(M27="","",JrnPrefix&amp;"-"&amp;TEXT(WeekEnd,"yyyymmdd"))</f>
        <v>LHHC-20260920</v>
      </c>
      <c r="B27" s="58" t="n">
        <f aca="false">IF(M27="","",WeekEnd)</f>
        <v>46285</v>
      </c>
      <c r="C27" s="52" t="n">
        <f aca="false">IF(M27="","",21)</f>
        <v>21</v>
      </c>
      <c r="D27" s="26" t="str">
        <f aca="false">IF(M27="","",IF(M27="S",IF(INDEX(acc_SumAcct,N27)=MileGL,"Mileage summary","Expense summary"),"Caregiver payable"))</f>
        <v>Caregiver payable</v>
      </c>
      <c r="E27" s="40" t="str">
        <f aca="false">IF(M27="","",IF(M27="S",INDEX(acc_SumAcct,N27),APGL))</f>
        <v>2050</v>
      </c>
      <c r="F27" s="26" t="str">
        <f aca="false">IF(M27="","",IF(M27="S",INDEX(acc_SumName,N27),APGLName))</f>
        <v>Accounts Payable: Contract Caregivers</v>
      </c>
      <c r="G27" s="59" t="n">
        <f aca="false">IF(M27="","",IF(M27="S",INDEX(acc_SumAmt,N27),0))</f>
        <v>0</v>
      </c>
      <c r="H27" s="59" t="n">
        <f aca="false">IF(M27="","",IF(M27="S",0,INDEX(in_Payable,N27)))</f>
        <v>92</v>
      </c>
      <c r="I27" s="40" t="str">
        <f aca="false">IF(M27&lt;&gt;"P","",IFERROR(INDEX(cg_Vendor,MATCH(INDEX(in_CGID,N27),cg_ID,0)),""))</f>
        <v>V3207</v>
      </c>
      <c r="J27" s="26" t="str">
        <f aca="false">IF(M27&lt;&gt;"P","",INDEX(in_CGName,N27))</f>
        <v>Nadia Corbett</v>
      </c>
      <c r="K27" s="26" t="str">
        <f aca="false">IF(M27&lt;&gt;"P","",IFERROR(INDEX(cl_Payer,MATCH(INDEX(in_ClientID,N27),cl_ID,0)),"Unassigned"))</f>
        <v>Medicaid Waiver</v>
      </c>
      <c r="L27" s="26" t="str">
        <f aca="false">IF(M27="","",IF(M27="S","Weekly caregiver pay, week ending "&amp;TEXT(WeekEnd,"m/d/yyyy"),INDEX(in_Svc,N27)&amp;" "&amp;INDEX(in_ClientID,N27)&amp;", "&amp;INDEX(in_Units,N27)&amp;" units"&amp;IF(N(INDEX(in_Miles,N27))&gt;0,", "&amp;INDEX(in_Miles,N27)&amp;" miles","")))</f>
        <v>HM CL-2055, 20 units</v>
      </c>
      <c r="M27" s="60" t="str">
        <f aca="false">IF(21&gt;acc_TotalLines,"",IF(21&lt;=acc_SumLines,"S","P"))</f>
        <v>P</v>
      </c>
      <c r="N27" s="42" t="n">
        <f aca="false">IF(M27="","",IF(M27="S",MATCH(21,acc_SumSeq,0),MATCH(21-acc_SumLines,in_Seq,0)))</f>
        <v>15</v>
      </c>
    </row>
    <row r="28" customFormat="false" ht="15" hidden="false" customHeight="false" outlineLevel="0" collapsed="false">
      <c r="A28" s="26" t="str">
        <f aca="false">IF(M28="","",JrnPrefix&amp;"-"&amp;TEXT(WeekEnd,"yyyymmdd"))</f>
        <v>LHHC-20260920</v>
      </c>
      <c r="B28" s="58" t="n">
        <f aca="false">IF(M28="","",WeekEnd)</f>
        <v>46285</v>
      </c>
      <c r="C28" s="52" t="n">
        <f aca="false">IF(M28="","",22)</f>
        <v>22</v>
      </c>
      <c r="D28" s="26" t="str">
        <f aca="false">IF(M28="","",IF(M28="S",IF(INDEX(acc_SumAcct,N28)=MileGL,"Mileage summary","Expense summary"),"Caregiver payable"))</f>
        <v>Caregiver payable</v>
      </c>
      <c r="E28" s="40" t="str">
        <f aca="false">IF(M28="","",IF(M28="S",INDEX(acc_SumAcct,N28),APGL))</f>
        <v>2050</v>
      </c>
      <c r="F28" s="26" t="str">
        <f aca="false">IF(M28="","",IF(M28="S",INDEX(acc_SumName,N28),APGLName))</f>
        <v>Accounts Payable: Contract Caregivers</v>
      </c>
      <c r="G28" s="59" t="n">
        <f aca="false">IF(M28="","",IF(M28="S",INDEX(acc_SumAmt,N28),0))</f>
        <v>0</v>
      </c>
      <c r="H28" s="59" t="n">
        <f aca="false">IF(M28="","",IF(M28="S",0,INDEX(in_Payable,N28)))</f>
        <v>272.06</v>
      </c>
      <c r="I28" s="40" t="str">
        <f aca="false">IF(M28&lt;&gt;"P","",IFERROR(INDEX(cg_Vendor,MATCH(INDEX(in_CGID,N28),cg_ID,0)),""))</f>
        <v>V3207</v>
      </c>
      <c r="J28" s="26" t="str">
        <f aca="false">IF(M28&lt;&gt;"P","",INDEX(in_CGName,N28))</f>
        <v>Nadia Corbett</v>
      </c>
      <c r="K28" s="26" t="str">
        <f aca="false">IF(M28&lt;&gt;"P","",IFERROR(INDEX(cl_Payer,MATCH(INDEX(in_ClientID,N28),cl_ID,0)),"Unassigned"))</f>
        <v>Long-Term Care Insurance</v>
      </c>
      <c r="L28" s="26" t="str">
        <f aca="false">IF(M28="","",IF(M28="S","Weekly caregiver pay, week ending "&amp;TEXT(WeekEnd,"m/d/yyyy"),INDEX(in_Svc,N28)&amp;" "&amp;INDEX(in_ClientID,N28)&amp;", "&amp;INDEX(in_Units,N28)&amp;" units"&amp;IF(N(INDEX(in_Miles,N28))&gt;0,", "&amp;INDEX(in_Miles,N28)&amp;" miles","")))</f>
        <v>PC CL-2032, 48 units, 13 miles</v>
      </c>
      <c r="M28" s="60" t="str">
        <f aca="false">IF(22&gt;acc_TotalLines,"",IF(22&lt;=acc_SumLines,"S","P"))</f>
        <v>P</v>
      </c>
      <c r="N28" s="42" t="n">
        <f aca="false">IF(M28="","",IF(M28="S",MATCH(22,acc_SumSeq,0),MATCH(22-acc_SumLines,in_Seq,0)))</f>
        <v>16</v>
      </c>
    </row>
    <row r="29" customFormat="false" ht="15" hidden="false" customHeight="false" outlineLevel="0" collapsed="false">
      <c r="A29" s="26" t="str">
        <f aca="false">IF(M29="","",JrnPrefix&amp;"-"&amp;TEXT(WeekEnd,"yyyymmdd"))</f>
        <v>LHHC-20260920</v>
      </c>
      <c r="B29" s="58" t="n">
        <f aca="false">IF(M29="","",WeekEnd)</f>
        <v>46285</v>
      </c>
      <c r="C29" s="52" t="n">
        <f aca="false">IF(M29="","",23)</f>
        <v>23</v>
      </c>
      <c r="D29" s="26" t="str">
        <f aca="false">IF(M29="","",IF(M29="S",IF(INDEX(acc_SumAcct,N29)=MileGL,"Mileage summary","Expense summary"),"Caregiver payable"))</f>
        <v>Caregiver payable</v>
      </c>
      <c r="E29" s="40" t="str">
        <f aca="false">IF(M29="","",IF(M29="S",INDEX(acc_SumAcct,N29),APGL))</f>
        <v>2050</v>
      </c>
      <c r="F29" s="26" t="str">
        <f aca="false">IF(M29="","",IF(M29="S",INDEX(acc_SumName,N29),APGLName))</f>
        <v>Accounts Payable: Contract Caregivers</v>
      </c>
      <c r="G29" s="59" t="n">
        <f aca="false">IF(M29="","",IF(M29="S",INDEX(acc_SumAmt,N29),0))</f>
        <v>0</v>
      </c>
      <c r="H29" s="59" t="n">
        <f aca="false">IF(M29="","",IF(M29="S",0,INDEX(in_Payable,N29)))</f>
        <v>346.8</v>
      </c>
      <c r="I29" s="40" t="str">
        <f aca="false">IF(M29&lt;&gt;"P","",IFERROR(INDEX(cg_Vendor,MATCH(INDEX(in_CGID,N29),cg_ID,0)),""))</f>
        <v>V3206</v>
      </c>
      <c r="J29" s="26" t="str">
        <f aca="false">IF(M29&lt;&gt;"P","",INDEX(in_CGName,N29))</f>
        <v>Jamal Dabney</v>
      </c>
      <c r="K29" s="26" t="str">
        <f aca="false">IF(M29&lt;&gt;"P","",IFERROR(INDEX(cl_Payer,MATCH(INDEX(in_ClientID,N29),cl_ID,0)),"Unassigned"))</f>
        <v>Area Agency on Aging</v>
      </c>
      <c r="L29" s="26" t="str">
        <f aca="false">IF(M29="","",IF(M29="S","Weekly caregiver pay, week ending "&amp;TEXT(WeekEnd,"m/d/yyyy"),INDEX(in_Svc,N29)&amp;" "&amp;INDEX(in_ClientID,N29)&amp;", "&amp;INDEX(in_Units,N29)&amp;" units"&amp;IF(N(INDEX(in_Miles,N29))&gt;0,", "&amp;INDEX(in_Miles,N29)&amp;" miles","")))</f>
        <v>RS CL-2038, 68 units</v>
      </c>
      <c r="M29" s="60" t="str">
        <f aca="false">IF(23&gt;acc_TotalLines,"",IF(23&lt;=acc_SumLines,"S","P"))</f>
        <v>P</v>
      </c>
      <c r="N29" s="42" t="n">
        <f aca="false">IF(M29="","",IF(M29="S",MATCH(23,acc_SumSeq,0),MATCH(23-acc_SumLines,in_Seq,0)))</f>
        <v>17</v>
      </c>
    </row>
    <row r="30" customFormat="false" ht="15" hidden="false" customHeight="false" outlineLevel="0" collapsed="false">
      <c r="A30" s="26" t="str">
        <f aca="false">IF(M30="","",JrnPrefix&amp;"-"&amp;TEXT(WeekEnd,"yyyymmdd"))</f>
        <v>LHHC-20260920</v>
      </c>
      <c r="B30" s="58" t="n">
        <f aca="false">IF(M30="","",WeekEnd)</f>
        <v>46285</v>
      </c>
      <c r="C30" s="52" t="n">
        <f aca="false">IF(M30="","",24)</f>
        <v>24</v>
      </c>
      <c r="D30" s="26" t="str">
        <f aca="false">IF(M30="","",IF(M30="S",IF(INDEX(acc_SumAcct,N30)=MileGL,"Mileage summary","Expense summary"),"Caregiver payable"))</f>
        <v>Caregiver payable</v>
      </c>
      <c r="E30" s="40" t="str">
        <f aca="false">IF(M30="","",IF(M30="S",INDEX(acc_SumAcct,N30),APGL))</f>
        <v>2050</v>
      </c>
      <c r="F30" s="26" t="str">
        <f aca="false">IF(M30="","",IF(M30="S",INDEX(acc_SumName,N30),APGLName))</f>
        <v>Accounts Payable: Contract Caregivers</v>
      </c>
      <c r="G30" s="59" t="n">
        <f aca="false">IF(M30="","",IF(M30="S",INDEX(acc_SumAmt,N30),0))</f>
        <v>0</v>
      </c>
      <c r="H30" s="59" t="n">
        <f aca="false">IF(M30="","",IF(M30="S",0,INDEX(in_Payable,N30)))</f>
        <v>308</v>
      </c>
      <c r="I30" s="40" t="str">
        <f aca="false">IF(M30&lt;&gt;"P","",IFERROR(INDEX(cg_Vendor,MATCH(INDEX(in_CGID,N30),cg_ID,0)),""))</f>
        <v>V3222</v>
      </c>
      <c r="J30" s="26" t="str">
        <f aca="false">IF(M30&lt;&gt;"P","",INDEX(in_CGName,N30))</f>
        <v>Nadia Delgado</v>
      </c>
      <c r="K30" s="26" t="str">
        <f aca="false">IF(M30&lt;&gt;"P","",IFERROR(INDEX(cl_Payer,MATCH(INDEX(in_ClientID,N30),cl_ID,0)),"Unassigned"))</f>
        <v>Area Agency on Aging</v>
      </c>
      <c r="L30" s="26" t="str">
        <f aca="false">IF(M30="","",IF(M30="S","Weekly caregiver pay, week ending "&amp;TEXT(WeekEnd,"m/d/yyyy"),INDEX(in_Svc,N30)&amp;" "&amp;INDEX(in_ClientID,N30)&amp;", "&amp;INDEX(in_Units,N30)&amp;" units"&amp;IF(N(INDEX(in_Miles,N30))&gt;0,", "&amp;INDEX(in_Miles,N30)&amp;" miles","")))</f>
        <v>PC CL-2026, 56 units</v>
      </c>
      <c r="M30" s="60" t="str">
        <f aca="false">IF(24&gt;acc_TotalLines,"",IF(24&lt;=acc_SumLines,"S","P"))</f>
        <v>P</v>
      </c>
      <c r="N30" s="42" t="n">
        <f aca="false">IF(M30="","",IF(M30="S",MATCH(24,acc_SumSeq,0),MATCH(24-acc_SumLines,in_Seq,0)))</f>
        <v>18</v>
      </c>
    </row>
    <row r="31" customFormat="false" ht="15" hidden="false" customHeight="false" outlineLevel="0" collapsed="false">
      <c r="A31" s="26" t="str">
        <f aca="false">IF(M31="","",JrnPrefix&amp;"-"&amp;TEXT(WeekEnd,"yyyymmdd"))</f>
        <v>LHHC-20260920</v>
      </c>
      <c r="B31" s="58" t="n">
        <f aca="false">IF(M31="","",WeekEnd)</f>
        <v>46285</v>
      </c>
      <c r="C31" s="52" t="n">
        <f aca="false">IF(M31="","",25)</f>
        <v>25</v>
      </c>
      <c r="D31" s="26" t="str">
        <f aca="false">IF(M31="","",IF(M31="S",IF(INDEX(acc_SumAcct,N31)=MileGL,"Mileage summary","Expense summary"),"Caregiver payable"))</f>
        <v>Caregiver payable</v>
      </c>
      <c r="E31" s="40" t="str">
        <f aca="false">IF(M31="","",IF(M31="S",INDEX(acc_SumAcct,N31),APGL))</f>
        <v>2050</v>
      </c>
      <c r="F31" s="26" t="str">
        <f aca="false">IF(M31="","",IF(M31="S",INDEX(acc_SumName,N31),APGLName))</f>
        <v>Accounts Payable: Contract Caregivers</v>
      </c>
      <c r="G31" s="59" t="n">
        <f aca="false">IF(M31="","",IF(M31="S",INDEX(acc_SumAmt,N31),0))</f>
        <v>0</v>
      </c>
      <c r="H31" s="59" t="n">
        <f aca="false">IF(M31="","",IF(M31="S",0,INDEX(in_Payable,N31)))</f>
        <v>230</v>
      </c>
      <c r="I31" s="40" t="str">
        <f aca="false">IF(M31&lt;&gt;"P","",IFERROR(INDEX(cg_Vendor,MATCH(INDEX(in_CGID,N31),cg_ID,0)),""))</f>
        <v>V3222</v>
      </c>
      <c r="J31" s="26" t="str">
        <f aca="false">IF(M31&lt;&gt;"P","",INDEX(in_CGName,N31))</f>
        <v>Nadia Delgado</v>
      </c>
      <c r="K31" s="26" t="str">
        <f aca="false">IF(M31&lt;&gt;"P","",IFERROR(INDEX(cl_Payer,MATCH(INDEX(in_ClientID,N31),cl_ID,0)),"Unassigned"))</f>
        <v>VA Community Care</v>
      </c>
      <c r="L31" s="26" t="str">
        <f aca="false">IF(M31="","",IF(M31="S","Weekly caregiver pay, week ending "&amp;TEXT(WeekEnd,"m/d/yyyy"),INDEX(in_Svc,N31)&amp;" "&amp;INDEX(in_ClientID,N31)&amp;", "&amp;INDEX(in_Units,N31)&amp;" units"&amp;IF(N(INDEX(in_Miles,N31))&gt;0,", "&amp;INDEX(in_Miles,N31)&amp;" miles","")))</f>
        <v>HM CL-2059, 50 units</v>
      </c>
      <c r="M31" s="60" t="str">
        <f aca="false">IF(25&gt;acc_TotalLines,"",IF(25&lt;=acc_SumLines,"S","P"))</f>
        <v>P</v>
      </c>
      <c r="N31" s="42" t="n">
        <f aca="false">IF(M31="","",IF(M31="S",MATCH(25,acc_SumSeq,0),MATCH(25-acc_SumLines,in_Seq,0)))</f>
        <v>19</v>
      </c>
    </row>
    <row r="32" customFormat="false" ht="15" hidden="false" customHeight="false" outlineLevel="0" collapsed="false">
      <c r="A32" s="26" t="str">
        <f aca="false">IF(M32="","",JrnPrefix&amp;"-"&amp;TEXT(WeekEnd,"yyyymmdd"))</f>
        <v>LHHC-20260920</v>
      </c>
      <c r="B32" s="58" t="n">
        <f aca="false">IF(M32="","",WeekEnd)</f>
        <v>46285</v>
      </c>
      <c r="C32" s="52" t="n">
        <f aca="false">IF(M32="","",26)</f>
        <v>26</v>
      </c>
      <c r="D32" s="26" t="str">
        <f aca="false">IF(M32="","",IF(M32="S",IF(INDEX(acc_SumAcct,N32)=MileGL,"Mileage summary","Expense summary"),"Caregiver payable"))</f>
        <v>Caregiver payable</v>
      </c>
      <c r="E32" s="40" t="str">
        <f aca="false">IF(M32="","",IF(M32="S",INDEX(acc_SumAcct,N32),APGL))</f>
        <v>2050</v>
      </c>
      <c r="F32" s="26" t="str">
        <f aca="false">IF(M32="","",IF(M32="S",INDEX(acc_SumName,N32),APGLName))</f>
        <v>Accounts Payable: Contract Caregivers</v>
      </c>
      <c r="G32" s="59" t="n">
        <f aca="false">IF(M32="","",IF(M32="S",INDEX(acc_SumAmt,N32),0))</f>
        <v>0</v>
      </c>
      <c r="H32" s="59" t="n">
        <f aca="false">IF(M32="","",IF(M32="S",0,INDEX(in_Payable,N32)))</f>
        <v>198</v>
      </c>
      <c r="I32" s="40" t="str">
        <f aca="false">IF(M32&lt;&gt;"P","",IFERROR(INDEX(cg_Vendor,MATCH(INDEX(in_CGID,N32),cg_ID,0)),""))</f>
        <v>V3222</v>
      </c>
      <c r="J32" s="26" t="str">
        <f aca="false">IF(M32&lt;&gt;"P","",INDEX(in_CGName,N32))</f>
        <v>Nadia Delgado</v>
      </c>
      <c r="K32" s="26" t="str">
        <f aca="false">IF(M32&lt;&gt;"P","",IFERROR(INDEX(cl_Payer,MATCH(INDEX(in_ClientID,N32),cl_ID,0)),"Unassigned"))</f>
        <v>Private Pay</v>
      </c>
      <c r="L32" s="26" t="str">
        <f aca="false">IF(M32="","",IF(M32="S","Weekly caregiver pay, week ending "&amp;TEXT(WeekEnd,"m/d/yyyy"),INDEX(in_Svc,N32)&amp;" "&amp;INDEX(in_ClientID,N32)&amp;", "&amp;INDEX(in_Units,N32)&amp;" units"&amp;IF(N(INDEX(in_Miles,N32))&gt;0,", "&amp;INDEX(in_Miles,N32)&amp;" miles","")))</f>
        <v>PC CL-2034, 36 units</v>
      </c>
      <c r="M32" s="60" t="str">
        <f aca="false">IF(26&gt;acc_TotalLines,"",IF(26&lt;=acc_SumLines,"S","P"))</f>
        <v>P</v>
      </c>
      <c r="N32" s="42" t="n">
        <f aca="false">IF(M32="","",IF(M32="S",MATCH(26,acc_SumSeq,0),MATCH(26-acc_SumLines,in_Seq,0)))</f>
        <v>20</v>
      </c>
    </row>
    <row r="33" customFormat="false" ht="15" hidden="false" customHeight="false" outlineLevel="0" collapsed="false">
      <c r="A33" s="26" t="str">
        <f aca="false">IF(M33="","",JrnPrefix&amp;"-"&amp;TEXT(WeekEnd,"yyyymmdd"))</f>
        <v>LHHC-20260920</v>
      </c>
      <c r="B33" s="58" t="n">
        <f aca="false">IF(M33="","",WeekEnd)</f>
        <v>46285</v>
      </c>
      <c r="C33" s="52" t="n">
        <f aca="false">IF(M33="","",27)</f>
        <v>27</v>
      </c>
      <c r="D33" s="26" t="str">
        <f aca="false">IF(M33="","",IF(M33="S",IF(INDEX(acc_SumAcct,N33)=MileGL,"Mileage summary","Expense summary"),"Caregiver payable"))</f>
        <v>Caregiver payable</v>
      </c>
      <c r="E33" s="40" t="str">
        <f aca="false">IF(M33="","",IF(M33="S",INDEX(acc_SumAcct,N33),APGL))</f>
        <v>2050</v>
      </c>
      <c r="F33" s="26" t="str">
        <f aca="false">IF(M33="","",IF(M33="S",INDEX(acc_SumName,N33),APGLName))</f>
        <v>Accounts Payable: Contract Caregivers</v>
      </c>
      <c r="G33" s="59" t="n">
        <f aca="false">IF(M33="","",IF(M33="S",INDEX(acc_SumAmt,N33),0))</f>
        <v>0</v>
      </c>
      <c r="H33" s="59" t="n">
        <f aca="false">IF(M33="","",IF(M33="S",0,INDEX(in_Payable,N33)))</f>
        <v>198</v>
      </c>
      <c r="I33" s="40" t="str">
        <f aca="false">IF(M33&lt;&gt;"P","",IFERROR(INDEX(cg_Vendor,MATCH(INDEX(in_CGID,N33),cg_ID,0)),""))</f>
        <v>V3211</v>
      </c>
      <c r="J33" s="26" t="str">
        <f aca="false">IF(M33&lt;&gt;"P","",INDEX(in_CGName,N33))</f>
        <v>Brianna Easley</v>
      </c>
      <c r="K33" s="26" t="str">
        <f aca="false">IF(M33&lt;&gt;"P","",IFERROR(INDEX(cl_Payer,MATCH(INDEX(in_ClientID,N33),cl_ID,0)),"Unassigned"))</f>
        <v>Medicaid Waiver</v>
      </c>
      <c r="L33" s="26" t="str">
        <f aca="false">IF(M33="","",IF(M33="S","Weekly caregiver pay, week ending "&amp;TEXT(WeekEnd,"m/d/yyyy"),INDEX(in_Svc,N33)&amp;" "&amp;INDEX(in_ClientID,N33)&amp;", "&amp;INDEX(in_Units,N33)&amp;" units"&amp;IF(N(INDEX(in_Miles,N33))&gt;0,", "&amp;INDEX(in_Miles,N33)&amp;" miles","")))</f>
        <v>PC CL-2058, 36 units</v>
      </c>
      <c r="M33" s="60" t="str">
        <f aca="false">IF(27&gt;acc_TotalLines,"",IF(27&lt;=acc_SumLines,"S","P"))</f>
        <v>P</v>
      </c>
      <c r="N33" s="42" t="n">
        <f aca="false">IF(M33="","",IF(M33="S",MATCH(27,acc_SumSeq,0),MATCH(27-acc_SumLines,in_Seq,0)))</f>
        <v>21</v>
      </c>
    </row>
    <row r="34" customFormat="false" ht="15" hidden="false" customHeight="false" outlineLevel="0" collapsed="false">
      <c r="A34" s="26" t="str">
        <f aca="false">IF(M34="","",JrnPrefix&amp;"-"&amp;TEXT(WeekEnd,"yyyymmdd"))</f>
        <v>LHHC-20260920</v>
      </c>
      <c r="B34" s="58" t="n">
        <f aca="false">IF(M34="","",WeekEnd)</f>
        <v>46285</v>
      </c>
      <c r="C34" s="52" t="n">
        <f aca="false">IF(M34="","",28)</f>
        <v>28</v>
      </c>
      <c r="D34" s="26" t="str">
        <f aca="false">IF(M34="","",IF(M34="S",IF(INDEX(acc_SumAcct,N34)=MileGL,"Mileage summary","Expense summary"),"Caregiver payable"))</f>
        <v>Caregiver payable</v>
      </c>
      <c r="E34" s="40" t="str">
        <f aca="false">IF(M34="","",IF(M34="S",INDEX(acc_SumAcct,N34),APGL))</f>
        <v>2050</v>
      </c>
      <c r="F34" s="26" t="str">
        <f aca="false">IF(M34="","",IF(M34="S",INDEX(acc_SumName,N34),APGLName))</f>
        <v>Accounts Payable: Contract Caregivers</v>
      </c>
      <c r="G34" s="59" t="n">
        <f aca="false">IF(M34="","",IF(M34="S",INDEX(acc_SumAmt,N34),0))</f>
        <v>0</v>
      </c>
      <c r="H34" s="59" t="n">
        <f aca="false">IF(M34="","",IF(M34="S",0,INDEX(in_Payable,N34)))</f>
        <v>81.6</v>
      </c>
      <c r="I34" s="40" t="str">
        <f aca="false">IF(M34&lt;&gt;"P","",IFERROR(INDEX(cg_Vendor,MATCH(INDEX(in_CGID,N34),cg_ID,0)),""))</f>
        <v>V3211</v>
      </c>
      <c r="J34" s="26" t="str">
        <f aca="false">IF(M34&lt;&gt;"P","",INDEX(in_CGName,N34))</f>
        <v>Brianna Easley</v>
      </c>
      <c r="K34" s="26" t="str">
        <f aca="false">IF(M34&lt;&gt;"P","",IFERROR(INDEX(cl_Payer,MATCH(INDEX(in_ClientID,N34),cl_ID,0)),"Unassigned"))</f>
        <v>Private Pay</v>
      </c>
      <c r="L34" s="26" t="str">
        <f aca="false">IF(M34="","",IF(M34="S","Weekly caregiver pay, week ending "&amp;TEXT(WeekEnd,"m/d/yyyy"),INDEX(in_Svc,N34)&amp;" "&amp;INDEX(in_ClientID,N34)&amp;", "&amp;INDEX(in_Units,N34)&amp;" units"&amp;IF(N(INDEX(in_Miles,N34))&gt;0,", "&amp;INDEX(in_Miles,N34)&amp;" miles","")))</f>
        <v>RS CL-2013, 16 units</v>
      </c>
      <c r="M34" s="60" t="str">
        <f aca="false">IF(28&gt;acc_TotalLines,"",IF(28&lt;=acc_SumLines,"S","P"))</f>
        <v>P</v>
      </c>
      <c r="N34" s="42" t="n">
        <f aca="false">IF(M34="","",IF(M34="S",MATCH(28,acc_SumSeq,0),MATCH(28-acc_SumLines,in_Seq,0)))</f>
        <v>22</v>
      </c>
    </row>
    <row r="35" customFormat="false" ht="15" hidden="false" customHeight="false" outlineLevel="0" collapsed="false">
      <c r="A35" s="26" t="str">
        <f aca="false">IF(M35="","",JrnPrefix&amp;"-"&amp;TEXT(WeekEnd,"yyyymmdd"))</f>
        <v>LHHC-20260920</v>
      </c>
      <c r="B35" s="58" t="n">
        <f aca="false">IF(M35="","",WeekEnd)</f>
        <v>46285</v>
      </c>
      <c r="C35" s="52" t="n">
        <f aca="false">IF(M35="","",29)</f>
        <v>29</v>
      </c>
      <c r="D35" s="26" t="str">
        <f aca="false">IF(M35="","",IF(M35="S",IF(INDEX(acc_SumAcct,N35)=MileGL,"Mileage summary","Expense summary"),"Caregiver payable"))</f>
        <v>Caregiver payable</v>
      </c>
      <c r="E35" s="40" t="str">
        <f aca="false">IF(M35="","",IF(M35="S",INDEX(acc_SumAcct,N35),APGL))</f>
        <v>2050</v>
      </c>
      <c r="F35" s="26" t="str">
        <f aca="false">IF(M35="","",IF(M35="S",INDEX(acc_SumName,N35),APGLName))</f>
        <v>Accounts Payable: Contract Caregivers</v>
      </c>
      <c r="G35" s="59" t="n">
        <f aca="false">IF(M35="","",IF(M35="S",INDEX(acc_SumAmt,N35),0))</f>
        <v>0</v>
      </c>
      <c r="H35" s="59" t="n">
        <f aca="false">IF(M35="","",IF(M35="S",0,INDEX(in_Payable,N35)))</f>
        <v>214.2</v>
      </c>
      <c r="I35" s="40" t="str">
        <f aca="false">IF(M35&lt;&gt;"P","",IFERROR(INDEX(cg_Vendor,MATCH(INDEX(in_CGID,N35),cg_ID,0)),""))</f>
        <v>V3200</v>
      </c>
      <c r="J35" s="26" t="str">
        <f aca="false">IF(M35&lt;&gt;"P","",INDEX(in_CGName,N35))</f>
        <v>Wanda Easley</v>
      </c>
      <c r="K35" s="26" t="str">
        <f aca="false">IF(M35&lt;&gt;"P","",IFERROR(INDEX(cl_Payer,MATCH(INDEX(in_ClientID,N35),cl_ID,0)),"Unassigned"))</f>
        <v>Private Pay</v>
      </c>
      <c r="L35" s="26" t="str">
        <f aca="false">IF(M35="","",IF(M35="S","Weekly caregiver pay, week ending "&amp;TEXT(WeekEnd,"m/d/yyyy"),INDEX(in_Svc,N35)&amp;" "&amp;INDEX(in_ClientID,N35)&amp;", "&amp;INDEX(in_Units,N35)&amp;" units"&amp;IF(N(INDEX(in_Miles,N35))&gt;0,", "&amp;INDEX(in_Miles,N35)&amp;" miles","")))</f>
        <v>RS CL-2054, 42 units</v>
      </c>
      <c r="M35" s="60" t="str">
        <f aca="false">IF(29&gt;acc_TotalLines,"",IF(29&lt;=acc_SumLines,"S","P"))</f>
        <v>P</v>
      </c>
      <c r="N35" s="42" t="n">
        <f aca="false">IF(M35="","",IF(M35="S",MATCH(29,acc_SumSeq,0),MATCH(29-acc_SumLines,in_Seq,0)))</f>
        <v>23</v>
      </c>
    </row>
    <row r="36" customFormat="false" ht="15" hidden="false" customHeight="false" outlineLevel="0" collapsed="false">
      <c r="A36" s="26" t="str">
        <f aca="false">IF(M36="","",JrnPrefix&amp;"-"&amp;TEXT(WeekEnd,"yyyymmdd"))</f>
        <v>LHHC-20260920</v>
      </c>
      <c r="B36" s="58" t="n">
        <f aca="false">IF(M36="","",WeekEnd)</f>
        <v>46285</v>
      </c>
      <c r="C36" s="52" t="n">
        <f aca="false">IF(M36="","",30)</f>
        <v>30</v>
      </c>
      <c r="D36" s="26" t="str">
        <f aca="false">IF(M36="","",IF(M36="S",IF(INDEX(acc_SumAcct,N36)=MileGL,"Mileage summary","Expense summary"),"Caregiver payable"))</f>
        <v>Caregiver payable</v>
      </c>
      <c r="E36" s="40" t="str">
        <f aca="false">IF(M36="","",IF(M36="S",INDEX(acc_SumAcct,N36),APGL))</f>
        <v>2050</v>
      </c>
      <c r="F36" s="26" t="str">
        <f aca="false">IF(M36="","",IF(M36="S",INDEX(acc_SumName,N36),APGLName))</f>
        <v>Accounts Payable: Contract Caregivers</v>
      </c>
      <c r="G36" s="59" t="n">
        <f aca="false">IF(M36="","",IF(M36="S",INDEX(acc_SumAmt,N36),0))</f>
        <v>0</v>
      </c>
      <c r="H36" s="59" t="n">
        <f aca="false">IF(M36="","",IF(M36="S",0,INDEX(in_Payable,N36)))</f>
        <v>187</v>
      </c>
      <c r="I36" s="40" t="str">
        <f aca="false">IF(M36&lt;&gt;"P","",IFERROR(INDEX(cg_Vendor,MATCH(INDEX(in_CGID,N36),cg_ID,0)),""))</f>
        <v>V3200</v>
      </c>
      <c r="J36" s="26" t="str">
        <f aca="false">IF(M36&lt;&gt;"P","",INDEX(in_CGName,N36))</f>
        <v>Wanda Easley</v>
      </c>
      <c r="K36" s="26" t="str">
        <f aca="false">IF(M36&lt;&gt;"P","",IFERROR(INDEX(cl_Payer,MATCH(INDEX(in_ClientID,N36),cl_ID,0)),"Unassigned"))</f>
        <v>Medicaid Waiver</v>
      </c>
      <c r="L36" s="26" t="str">
        <f aca="false">IF(M36="","",IF(M36="S","Weekly caregiver pay, week ending "&amp;TEXT(WeekEnd,"m/d/yyyy"),INDEX(in_Svc,N36)&amp;" "&amp;INDEX(in_ClientID,N36)&amp;", "&amp;INDEX(in_Units,N36)&amp;" units"&amp;IF(N(INDEX(in_Miles,N36))&gt;0,", "&amp;INDEX(in_Miles,N36)&amp;" miles","")))</f>
        <v>CO CL-2020, 44 units</v>
      </c>
      <c r="M36" s="60" t="str">
        <f aca="false">IF(30&gt;acc_TotalLines,"",IF(30&lt;=acc_SumLines,"S","P"))</f>
        <v>P</v>
      </c>
      <c r="N36" s="42" t="n">
        <f aca="false">IF(M36="","",IF(M36="S",MATCH(30,acc_SumSeq,0),MATCH(30-acc_SumLines,in_Seq,0)))</f>
        <v>24</v>
      </c>
    </row>
    <row r="37" customFormat="false" ht="15" hidden="false" customHeight="false" outlineLevel="0" collapsed="false">
      <c r="A37" s="26" t="str">
        <f aca="false">IF(M37="","",JrnPrefix&amp;"-"&amp;TEXT(WeekEnd,"yyyymmdd"))</f>
        <v>LHHC-20260920</v>
      </c>
      <c r="B37" s="58" t="n">
        <f aca="false">IF(M37="","",WeekEnd)</f>
        <v>46285</v>
      </c>
      <c r="C37" s="52" t="n">
        <f aca="false">IF(M37="","",31)</f>
        <v>31</v>
      </c>
      <c r="D37" s="26" t="str">
        <f aca="false">IF(M37="","",IF(M37="S",IF(INDEX(acc_SumAcct,N37)=MileGL,"Mileage summary","Expense summary"),"Caregiver payable"))</f>
        <v>Caregiver payable</v>
      </c>
      <c r="E37" s="40" t="str">
        <f aca="false">IF(M37="","",IF(M37="S",INDEX(acc_SumAcct,N37),APGL))</f>
        <v>2050</v>
      </c>
      <c r="F37" s="26" t="str">
        <f aca="false">IF(M37="","",IF(M37="S",INDEX(acc_SumName,N37),APGLName))</f>
        <v>Accounts Payable: Contract Caregivers</v>
      </c>
      <c r="G37" s="59" t="n">
        <f aca="false">IF(M37="","",IF(M37="S",INDEX(acc_SumAmt,N37),0))</f>
        <v>0</v>
      </c>
      <c r="H37" s="59" t="n">
        <f aca="false">IF(M37="","",IF(M37="S",0,INDEX(in_Payable,N37)))</f>
        <v>99.08</v>
      </c>
      <c r="I37" s="40" t="str">
        <f aca="false">IF(M37&lt;&gt;"P","",IFERROR(INDEX(cg_Vendor,MATCH(INDEX(in_CGID,N37),cg_ID,0)),""))</f>
        <v>V3218</v>
      </c>
      <c r="J37" s="26" t="str">
        <f aca="false">IF(M37&lt;&gt;"P","",INDEX(in_CGName,N37))</f>
        <v>Elise Escobar</v>
      </c>
      <c r="K37" s="26" t="str">
        <f aca="false">IF(M37&lt;&gt;"P","",IFERROR(INDEX(cl_Payer,MATCH(INDEX(in_ClientID,N37),cl_ID,0)),"Unassigned"))</f>
        <v>Medicaid Waiver</v>
      </c>
      <c r="L37" s="26" t="str">
        <f aca="false">IF(M37="","",IF(M37="S","Weekly caregiver pay, week ending "&amp;TEXT(WeekEnd,"m/d/yyyy"),INDEX(in_Svc,N37)&amp;" "&amp;INDEX(in_ClientID,N37)&amp;", "&amp;INDEX(in_Units,N37)&amp;" units"&amp;IF(N(INDEX(in_Miles,N37))&gt;0,", "&amp;INDEX(in_Miles,N37)&amp;" miles","")))</f>
        <v>CO CL-2016, 22 units, 9 miles</v>
      </c>
      <c r="M37" s="60" t="str">
        <f aca="false">IF(31&gt;acc_TotalLines,"",IF(31&lt;=acc_SumLines,"S","P"))</f>
        <v>P</v>
      </c>
      <c r="N37" s="42" t="n">
        <f aca="false">IF(M37="","",IF(M37="S",MATCH(31,acc_SumSeq,0),MATCH(31-acc_SumLines,in_Seq,0)))</f>
        <v>25</v>
      </c>
    </row>
    <row r="38" customFormat="false" ht="15" hidden="false" customHeight="false" outlineLevel="0" collapsed="false">
      <c r="A38" s="26" t="str">
        <f aca="false">IF(M38="","",JrnPrefix&amp;"-"&amp;TEXT(WeekEnd,"yyyymmdd"))</f>
        <v>LHHC-20260920</v>
      </c>
      <c r="B38" s="58" t="n">
        <f aca="false">IF(M38="","",WeekEnd)</f>
        <v>46285</v>
      </c>
      <c r="C38" s="52" t="n">
        <f aca="false">IF(M38="","",32)</f>
        <v>32</v>
      </c>
      <c r="D38" s="26" t="str">
        <f aca="false">IF(M38="","",IF(M38="S",IF(INDEX(acc_SumAcct,N38)=MileGL,"Mileage summary","Expense summary"),"Caregiver payable"))</f>
        <v>Caregiver payable</v>
      </c>
      <c r="E38" s="40" t="str">
        <f aca="false">IF(M38="","",IF(M38="S",INDEX(acc_SumAcct,N38),APGL))</f>
        <v>2050</v>
      </c>
      <c r="F38" s="26" t="str">
        <f aca="false">IF(M38="","",IF(M38="S",INDEX(acc_SumName,N38),APGLName))</f>
        <v>Accounts Payable: Contract Caregivers</v>
      </c>
      <c r="G38" s="59" t="n">
        <f aca="false">IF(M38="","",IF(M38="S",INDEX(acc_SumAmt,N38),0))</f>
        <v>0</v>
      </c>
      <c r="H38" s="59" t="n">
        <f aca="false">IF(M38="","",IF(M38="S",0,INDEX(in_Payable,N38)))</f>
        <v>239.2</v>
      </c>
      <c r="I38" s="40" t="str">
        <f aca="false">IF(M38&lt;&gt;"P","",IFERROR(INDEX(cg_Vendor,MATCH(INDEX(in_CGID,N38),cg_ID,0)),""))</f>
        <v>V3242</v>
      </c>
      <c r="J38" s="26" t="str">
        <f aca="false">IF(M38&lt;&gt;"P","",INDEX(in_CGName,N38))</f>
        <v>Teresa Fontaine</v>
      </c>
      <c r="K38" s="26" t="str">
        <f aca="false">IF(M38&lt;&gt;"P","",IFERROR(INDEX(cl_Payer,MATCH(INDEX(in_ClientID,N38),cl_ID,0)),"Unassigned"))</f>
        <v>Area Agency on Aging</v>
      </c>
      <c r="L38" s="26" t="str">
        <f aca="false">IF(M38="","",IF(M38="S","Weekly caregiver pay, week ending "&amp;TEXT(WeekEnd,"m/d/yyyy"),INDEX(in_Svc,N38)&amp;" "&amp;INDEX(in_ClientID,N38)&amp;", "&amp;INDEX(in_Units,N38)&amp;" units"&amp;IF(N(INDEX(in_Miles,N38))&gt;0,", "&amp;INDEX(in_Miles,N38)&amp;" miles","")))</f>
        <v>HM CL-2022, 52 units</v>
      </c>
      <c r="M38" s="60" t="str">
        <f aca="false">IF(32&gt;acc_TotalLines,"",IF(32&lt;=acc_SumLines,"S","P"))</f>
        <v>P</v>
      </c>
      <c r="N38" s="42" t="n">
        <f aca="false">IF(M38="","",IF(M38="S",MATCH(32,acc_SumSeq,0),MATCH(32-acc_SumLines,in_Seq,0)))</f>
        <v>26</v>
      </c>
    </row>
    <row r="39" customFormat="false" ht="15" hidden="false" customHeight="false" outlineLevel="0" collapsed="false">
      <c r="A39" s="26" t="str">
        <f aca="false">IF(M39="","",JrnPrefix&amp;"-"&amp;TEXT(WeekEnd,"yyyymmdd"))</f>
        <v>LHHC-20260920</v>
      </c>
      <c r="B39" s="58" t="n">
        <f aca="false">IF(M39="","",WeekEnd)</f>
        <v>46285</v>
      </c>
      <c r="C39" s="52" t="n">
        <f aca="false">IF(M39="","",33)</f>
        <v>33</v>
      </c>
      <c r="D39" s="26" t="str">
        <f aca="false">IF(M39="","",IF(M39="S",IF(INDEX(acc_SumAcct,N39)=MileGL,"Mileage summary","Expense summary"),"Caregiver payable"))</f>
        <v>Caregiver payable</v>
      </c>
      <c r="E39" s="40" t="str">
        <f aca="false">IF(M39="","",IF(M39="S",INDEX(acc_SumAcct,N39),APGL))</f>
        <v>2050</v>
      </c>
      <c r="F39" s="26" t="str">
        <f aca="false">IF(M39="","",IF(M39="S",INDEX(acc_SumName,N39),APGLName))</f>
        <v>Accounts Payable: Contract Caregivers</v>
      </c>
      <c r="G39" s="59" t="n">
        <f aca="false">IF(M39="","",IF(M39="S",INDEX(acc_SumAmt,N39),0))</f>
        <v>0</v>
      </c>
      <c r="H39" s="59" t="n">
        <f aca="false">IF(M39="","",IF(M39="S",0,INDEX(in_Payable,N39)))</f>
        <v>154</v>
      </c>
      <c r="I39" s="40" t="str">
        <f aca="false">IF(M39&lt;&gt;"P","",IFERROR(INDEX(cg_Vendor,MATCH(INDEX(in_CGID,N39),cg_ID,0)),""))</f>
        <v>V3224</v>
      </c>
      <c r="J39" s="26" t="str">
        <f aca="false">IF(M39&lt;&gt;"P","",INDEX(in_CGName,N39))</f>
        <v>Aria Fulton</v>
      </c>
      <c r="K39" s="26" t="str">
        <f aca="false">IF(M39&lt;&gt;"P","",IFERROR(INDEX(cl_Payer,MATCH(INDEX(in_ClientID,N39),cl_ID,0)),"Unassigned"))</f>
        <v>VA Community Care</v>
      </c>
      <c r="L39" s="26" t="str">
        <f aca="false">IF(M39="","",IF(M39="S","Weekly caregiver pay, week ending "&amp;TEXT(WeekEnd,"m/d/yyyy"),INDEX(in_Svc,N39)&amp;" "&amp;INDEX(in_ClientID,N39)&amp;", "&amp;INDEX(in_Units,N39)&amp;" units"&amp;IF(N(INDEX(in_Miles,N39))&gt;0,", "&amp;INDEX(in_Miles,N39)&amp;" miles","")))</f>
        <v>PC CL-2014, 28 units</v>
      </c>
      <c r="M39" s="60" t="str">
        <f aca="false">IF(33&gt;acc_TotalLines,"",IF(33&lt;=acc_SumLines,"S","P"))</f>
        <v>P</v>
      </c>
      <c r="N39" s="42" t="n">
        <f aca="false">IF(M39="","",IF(M39="S",MATCH(33,acc_SumSeq,0),MATCH(33-acc_SumLines,in_Seq,0)))</f>
        <v>27</v>
      </c>
    </row>
    <row r="40" customFormat="false" ht="15" hidden="false" customHeight="false" outlineLevel="0" collapsed="false">
      <c r="A40" s="26" t="str">
        <f aca="false">IF(M40="","",JrnPrefix&amp;"-"&amp;TEXT(WeekEnd,"yyyymmdd"))</f>
        <v>LHHC-20260920</v>
      </c>
      <c r="B40" s="58" t="n">
        <f aca="false">IF(M40="","",WeekEnd)</f>
        <v>46285</v>
      </c>
      <c r="C40" s="52" t="n">
        <f aca="false">IF(M40="","",34)</f>
        <v>34</v>
      </c>
      <c r="D40" s="26" t="str">
        <f aca="false">IF(M40="","",IF(M40="S",IF(INDEX(acc_SumAcct,N40)=MileGL,"Mileage summary","Expense summary"),"Caregiver payable"))</f>
        <v>Caregiver payable</v>
      </c>
      <c r="E40" s="40" t="str">
        <f aca="false">IF(M40="","",IF(M40="S",INDEX(acc_SumAcct,N40),APGL))</f>
        <v>2050</v>
      </c>
      <c r="F40" s="26" t="str">
        <f aca="false">IF(M40="","",IF(M40="S",INDEX(acc_SumName,N40),APGLName))</f>
        <v>Accounts Payable: Contract Caregivers</v>
      </c>
      <c r="G40" s="59" t="n">
        <f aca="false">IF(M40="","",IF(M40="S",INDEX(acc_SumAmt,N40),0))</f>
        <v>0</v>
      </c>
      <c r="H40" s="59" t="n">
        <f aca="false">IF(M40="","",IF(M40="S",0,INDEX(in_Payable,N40)))</f>
        <v>124.72</v>
      </c>
      <c r="I40" s="40" t="str">
        <f aca="false">IF(M40&lt;&gt;"P","",IFERROR(INDEX(cg_Vendor,MATCH(INDEX(in_CGID,N40),cg_ID,0)),""))</f>
        <v>V3224</v>
      </c>
      <c r="J40" s="26" t="str">
        <f aca="false">IF(M40&lt;&gt;"P","",INDEX(in_CGName,N40))</f>
        <v>Aria Fulton</v>
      </c>
      <c r="K40" s="26" t="str">
        <f aca="false">IF(M40&lt;&gt;"P","",IFERROR(INDEX(cl_Payer,MATCH(INDEX(in_ClientID,N40),cl_ID,0)),"Unassigned"))</f>
        <v>Medicaid Waiver</v>
      </c>
      <c r="L40" s="26" t="str">
        <f aca="false">IF(M40="","",IF(M40="S","Weekly caregiver pay, week ending "&amp;TEXT(WeekEnd,"m/d/yyyy"),INDEX(in_Svc,N40)&amp;" "&amp;INDEX(in_ClientID,N40)&amp;", "&amp;INDEX(in_Units,N40)&amp;" units"&amp;IF(N(INDEX(in_Miles,N40))&gt;0,", "&amp;INDEX(in_Miles,N40)&amp;" miles","")))</f>
        <v>PC CL-2042, 22 units, 6 miles</v>
      </c>
      <c r="M40" s="60" t="str">
        <f aca="false">IF(34&gt;acc_TotalLines,"",IF(34&lt;=acc_SumLines,"S","P"))</f>
        <v>P</v>
      </c>
      <c r="N40" s="42" t="n">
        <f aca="false">IF(M40="","",IF(M40="S",MATCH(34,acc_SumSeq,0),MATCH(34-acc_SumLines,in_Seq,0)))</f>
        <v>28</v>
      </c>
    </row>
    <row r="41" customFormat="false" ht="15" hidden="false" customHeight="false" outlineLevel="0" collapsed="false">
      <c r="A41" s="26" t="str">
        <f aca="false">IF(M41="","",JrnPrefix&amp;"-"&amp;TEXT(WeekEnd,"yyyymmdd"))</f>
        <v>LHHC-20260920</v>
      </c>
      <c r="B41" s="58" t="n">
        <f aca="false">IF(M41="","",WeekEnd)</f>
        <v>46285</v>
      </c>
      <c r="C41" s="52" t="n">
        <f aca="false">IF(M41="","",35)</f>
        <v>35</v>
      </c>
      <c r="D41" s="26" t="str">
        <f aca="false">IF(M41="","",IF(M41="S",IF(INDEX(acc_SumAcct,N41)=MileGL,"Mileage summary","Expense summary"),"Caregiver payable"))</f>
        <v>Caregiver payable</v>
      </c>
      <c r="E41" s="40" t="str">
        <f aca="false">IF(M41="","",IF(M41="S",INDEX(acc_SumAcct,N41),APGL))</f>
        <v>2050</v>
      </c>
      <c r="F41" s="26" t="str">
        <f aca="false">IF(M41="","",IF(M41="S",INDEX(acc_SumName,N41),APGLName))</f>
        <v>Accounts Payable: Contract Caregivers</v>
      </c>
      <c r="G41" s="59" t="n">
        <f aca="false">IF(M41="","",IF(M41="S",INDEX(acc_SumAmt,N41),0))</f>
        <v>0</v>
      </c>
      <c r="H41" s="59" t="n">
        <f aca="false">IF(M41="","",IF(M41="S",0,INDEX(in_Payable,N41)))</f>
        <v>275.4</v>
      </c>
      <c r="I41" s="40" t="str">
        <f aca="false">IF(M41&lt;&gt;"P","",IFERROR(INDEX(cg_Vendor,MATCH(INDEX(in_CGID,N41),cg_ID,0)),""))</f>
        <v>V3224</v>
      </c>
      <c r="J41" s="26" t="str">
        <f aca="false">IF(M41&lt;&gt;"P","",INDEX(in_CGName,N41))</f>
        <v>Aria Fulton</v>
      </c>
      <c r="K41" s="26" t="str">
        <f aca="false">IF(M41&lt;&gt;"P","",IFERROR(INDEX(cl_Payer,MATCH(INDEX(in_ClientID,N41),cl_ID,0)),"Unassigned"))</f>
        <v>VA Community Care</v>
      </c>
      <c r="L41" s="26" t="str">
        <f aca="false">IF(M41="","",IF(M41="S","Weekly caregiver pay, week ending "&amp;TEXT(WeekEnd,"m/d/yyyy"),INDEX(in_Svc,N41)&amp;" "&amp;INDEX(in_ClientID,N41)&amp;", "&amp;INDEX(in_Units,N41)&amp;" units"&amp;IF(N(INDEX(in_Miles,N41))&gt;0,", "&amp;INDEX(in_Miles,N41)&amp;" miles","")))</f>
        <v>RS CL-2027, 54 units</v>
      </c>
      <c r="M41" s="60" t="str">
        <f aca="false">IF(35&gt;acc_TotalLines,"",IF(35&lt;=acc_SumLines,"S","P"))</f>
        <v>P</v>
      </c>
      <c r="N41" s="42" t="n">
        <f aca="false">IF(M41="","",IF(M41="S",MATCH(35,acc_SumSeq,0),MATCH(35-acc_SumLines,in_Seq,0)))</f>
        <v>29</v>
      </c>
    </row>
    <row r="42" customFormat="false" ht="15" hidden="false" customHeight="false" outlineLevel="0" collapsed="false">
      <c r="A42" s="26" t="str">
        <f aca="false">IF(M42="","",JrnPrefix&amp;"-"&amp;TEXT(WeekEnd,"yyyymmdd"))</f>
        <v>LHHC-20260920</v>
      </c>
      <c r="B42" s="58" t="n">
        <f aca="false">IF(M42="","",WeekEnd)</f>
        <v>46285</v>
      </c>
      <c r="C42" s="52" t="n">
        <f aca="false">IF(M42="","",36)</f>
        <v>36</v>
      </c>
      <c r="D42" s="26" t="str">
        <f aca="false">IF(M42="","",IF(M42="S",IF(INDEX(acc_SumAcct,N42)=MileGL,"Mileage summary","Expense summary"),"Caregiver payable"))</f>
        <v>Caregiver payable</v>
      </c>
      <c r="E42" s="40" t="str">
        <f aca="false">IF(M42="","",IF(M42="S",INDEX(acc_SumAcct,N42),APGL))</f>
        <v>2050</v>
      </c>
      <c r="F42" s="26" t="str">
        <f aca="false">IF(M42="","",IF(M42="S",INDEX(acc_SumName,N42),APGLName))</f>
        <v>Accounts Payable: Contract Caregivers</v>
      </c>
      <c r="G42" s="59" t="n">
        <f aca="false">IF(M42="","",IF(M42="S",INDEX(acc_SumAmt,N42),0))</f>
        <v>0</v>
      </c>
      <c r="H42" s="59" t="n">
        <f aca="false">IF(M42="","",IF(M42="S",0,INDEX(in_Payable,N42)))</f>
        <v>255.64</v>
      </c>
      <c r="I42" s="40" t="str">
        <f aca="false">IF(M42&lt;&gt;"P","",IFERROR(INDEX(cg_Vendor,MATCH(INDEX(in_CGID,N42),cg_ID,0)),""))</f>
        <v>V3231</v>
      </c>
      <c r="J42" s="26" t="str">
        <f aca="false">IF(M42&lt;&gt;"P","",INDEX(in_CGName,N42))</f>
        <v>Veronica Garnett</v>
      </c>
      <c r="K42" s="26" t="str">
        <f aca="false">IF(M42&lt;&gt;"P","",IFERROR(INDEX(cl_Payer,MATCH(INDEX(in_ClientID,N42),cl_ID,0)),"Unassigned"))</f>
        <v>Long-Term Care Insurance</v>
      </c>
      <c r="L42" s="26" t="str">
        <f aca="false">IF(M42="","",IF(M42="S","Weekly caregiver pay, week ending "&amp;TEXT(WeekEnd,"m/d/yyyy"),INDEX(in_Svc,N42)&amp;" "&amp;INDEX(in_ClientID,N42)&amp;", "&amp;INDEX(in_Units,N42)&amp;" units"&amp;IF(N(INDEX(in_Miles,N42))&gt;0,", "&amp;INDEX(in_Miles,N42)&amp;" miles","")))</f>
        <v>PC CL-2032, 44 units, 22 miles</v>
      </c>
      <c r="M42" s="60" t="str">
        <f aca="false">IF(36&gt;acc_TotalLines,"",IF(36&lt;=acc_SumLines,"S","P"))</f>
        <v>P</v>
      </c>
      <c r="N42" s="42" t="n">
        <f aca="false">IF(M42="","",IF(M42="S",MATCH(36,acc_SumSeq,0),MATCH(36-acc_SumLines,in_Seq,0)))</f>
        <v>30</v>
      </c>
    </row>
    <row r="43" customFormat="false" ht="15" hidden="false" customHeight="false" outlineLevel="0" collapsed="false">
      <c r="A43" s="26" t="str">
        <f aca="false">IF(M43="","",JrnPrefix&amp;"-"&amp;TEXT(WeekEnd,"yyyymmdd"))</f>
        <v>LHHC-20260920</v>
      </c>
      <c r="B43" s="58" t="n">
        <f aca="false">IF(M43="","",WeekEnd)</f>
        <v>46285</v>
      </c>
      <c r="C43" s="52" t="n">
        <f aca="false">IF(M43="","",37)</f>
        <v>37</v>
      </c>
      <c r="D43" s="26" t="str">
        <f aca="false">IF(M43="","",IF(M43="S",IF(INDEX(acc_SumAcct,N43)=MileGL,"Mileage summary","Expense summary"),"Caregiver payable"))</f>
        <v>Caregiver payable</v>
      </c>
      <c r="E43" s="40" t="str">
        <f aca="false">IF(M43="","",IF(M43="S",INDEX(acc_SumAcct,N43),APGL))</f>
        <v>2050</v>
      </c>
      <c r="F43" s="26" t="str">
        <f aca="false">IF(M43="","",IF(M43="S",INDEX(acc_SumName,N43),APGLName))</f>
        <v>Accounts Payable: Contract Caregivers</v>
      </c>
      <c r="G43" s="59" t="n">
        <f aca="false">IF(M43="","",IF(M43="S",INDEX(acc_SumAmt,N43),0))</f>
        <v>0</v>
      </c>
      <c r="H43" s="59" t="n">
        <f aca="false">IF(M43="","",IF(M43="S",0,INDEX(in_Payable,N43)))</f>
        <v>297</v>
      </c>
      <c r="I43" s="40" t="str">
        <f aca="false">IF(M43&lt;&gt;"P","",IFERROR(INDEX(cg_Vendor,MATCH(INDEX(in_CGID,N43),cg_ID,0)),""))</f>
        <v>V3231</v>
      </c>
      <c r="J43" s="26" t="str">
        <f aca="false">IF(M43&lt;&gt;"P","",INDEX(in_CGName,N43))</f>
        <v>Veronica Garnett</v>
      </c>
      <c r="K43" s="26" t="str">
        <f aca="false">IF(M43&lt;&gt;"P","",IFERROR(INDEX(cl_Payer,MATCH(INDEX(in_ClientID,N43),cl_ID,0)),"Unassigned"))</f>
        <v>Medicaid Waiver</v>
      </c>
      <c r="L43" s="26" t="str">
        <f aca="false">IF(M43="","",IF(M43="S","Weekly caregiver pay, week ending "&amp;TEXT(WeekEnd,"m/d/yyyy"),INDEX(in_Svc,N43)&amp;" "&amp;INDEX(in_ClientID,N43)&amp;", "&amp;INDEX(in_Units,N43)&amp;" units"&amp;IF(N(INDEX(in_Miles,N43))&gt;0,", "&amp;INDEX(in_Miles,N43)&amp;" miles","")))</f>
        <v>PC CL-2043, 54 units</v>
      </c>
      <c r="M43" s="60" t="str">
        <f aca="false">IF(37&gt;acc_TotalLines,"",IF(37&lt;=acc_SumLines,"S","P"))</f>
        <v>P</v>
      </c>
      <c r="N43" s="42" t="n">
        <f aca="false">IF(M43="","",IF(M43="S",MATCH(37,acc_SumSeq,0),MATCH(37-acc_SumLines,in_Seq,0)))</f>
        <v>31</v>
      </c>
    </row>
    <row r="44" customFormat="false" ht="15" hidden="false" customHeight="false" outlineLevel="0" collapsed="false">
      <c r="A44" s="26" t="str">
        <f aca="false">IF(M44="","",JrnPrefix&amp;"-"&amp;TEXT(WeekEnd,"yyyymmdd"))</f>
        <v>LHHC-20260920</v>
      </c>
      <c r="B44" s="58" t="n">
        <f aca="false">IF(M44="","",WeekEnd)</f>
        <v>46285</v>
      </c>
      <c r="C44" s="52" t="n">
        <f aca="false">IF(M44="","",38)</f>
        <v>38</v>
      </c>
      <c r="D44" s="26" t="str">
        <f aca="false">IF(M44="","",IF(M44="S",IF(INDEX(acc_SumAcct,N44)=MileGL,"Mileage summary","Expense summary"),"Caregiver payable"))</f>
        <v>Caregiver payable</v>
      </c>
      <c r="E44" s="40" t="str">
        <f aca="false">IF(M44="","",IF(M44="S",INDEX(acc_SumAcct,N44),APGL))</f>
        <v>2050</v>
      </c>
      <c r="F44" s="26" t="str">
        <f aca="false">IF(M44="","",IF(M44="S",INDEX(acc_SumName,N44),APGLName))</f>
        <v>Accounts Payable: Contract Caregivers</v>
      </c>
      <c r="G44" s="59" t="n">
        <f aca="false">IF(M44="","",IF(M44="S",INDEX(acc_SumAmt,N44),0))</f>
        <v>0</v>
      </c>
      <c r="H44" s="59" t="n">
        <f aca="false">IF(M44="","",IF(M44="S",0,INDEX(in_Payable,N44)))</f>
        <v>66.34</v>
      </c>
      <c r="I44" s="40" t="str">
        <f aca="false">IF(M44&lt;&gt;"P","",IFERROR(INDEX(cg_Vendor,MATCH(INDEX(in_CGID,N44),cg_ID,0)),""))</f>
        <v>V3214</v>
      </c>
      <c r="J44" s="26" t="str">
        <f aca="false">IF(M44&lt;&gt;"P","",INDEX(in_CGName,N44))</f>
        <v>Brianna Grayson</v>
      </c>
      <c r="K44" s="26" t="str">
        <f aca="false">IF(M44&lt;&gt;"P","",IFERROR(INDEX(cl_Payer,MATCH(INDEX(in_ClientID,N44),cl_ID,0)),"Unassigned"))</f>
        <v>VA Community Care</v>
      </c>
      <c r="L44" s="26" t="str">
        <f aca="false">IF(M44="","",IF(M44="S","Weekly caregiver pay, week ending "&amp;TEXT(WeekEnd,"m/d/yyyy"),INDEX(in_Svc,N44)&amp;" "&amp;INDEX(in_ClientID,N44)&amp;", "&amp;INDEX(in_Units,N44)&amp;" units"&amp;IF(N(INDEX(in_Miles,N44))&gt;0,", "&amp;INDEX(in_Miles,N44)&amp;" miles","")))</f>
        <v>NV CL-2014, 1 units, 7 miles</v>
      </c>
      <c r="M44" s="60" t="str">
        <f aca="false">IF(38&gt;acc_TotalLines,"",IF(38&lt;=acc_SumLines,"S","P"))</f>
        <v>P</v>
      </c>
      <c r="N44" s="42" t="n">
        <f aca="false">IF(M44="","",IF(M44="S",MATCH(38,acc_SumSeq,0),MATCH(38-acc_SumLines,in_Seq,0)))</f>
        <v>32</v>
      </c>
    </row>
    <row r="45" customFormat="false" ht="15" hidden="false" customHeight="false" outlineLevel="0" collapsed="false">
      <c r="A45" s="26" t="str">
        <f aca="false">IF(M45="","",JrnPrefix&amp;"-"&amp;TEXT(WeekEnd,"yyyymmdd"))</f>
        <v>LHHC-20260920</v>
      </c>
      <c r="B45" s="58" t="n">
        <f aca="false">IF(M45="","",WeekEnd)</f>
        <v>46285</v>
      </c>
      <c r="C45" s="52" t="n">
        <f aca="false">IF(M45="","",39)</f>
        <v>39</v>
      </c>
      <c r="D45" s="26" t="str">
        <f aca="false">IF(M45="","",IF(M45="S",IF(INDEX(acc_SumAcct,N45)=MileGL,"Mileage summary","Expense summary"),"Caregiver payable"))</f>
        <v>Caregiver payable</v>
      </c>
      <c r="E45" s="40" t="str">
        <f aca="false">IF(M45="","",IF(M45="S",INDEX(acc_SumAcct,N45),APGL))</f>
        <v>2050</v>
      </c>
      <c r="F45" s="26" t="str">
        <f aca="false">IF(M45="","",IF(M45="S",INDEX(acc_SumName,N45),APGLName))</f>
        <v>Accounts Payable: Contract Caregivers</v>
      </c>
      <c r="G45" s="59" t="n">
        <f aca="false">IF(M45="","",IF(M45="S",INDEX(acc_SumAmt,N45),0))</f>
        <v>0</v>
      </c>
      <c r="H45" s="59" t="n">
        <f aca="false">IF(M45="","",IF(M45="S",0,INDEX(in_Payable,N45)))</f>
        <v>332.64</v>
      </c>
      <c r="I45" s="40" t="str">
        <f aca="false">IF(M45&lt;&gt;"P","",IFERROR(INDEX(cg_Vendor,MATCH(INDEX(in_CGID,N45),cg_ID,0)),""))</f>
        <v>V3204</v>
      </c>
      <c r="J45" s="26" t="str">
        <f aca="false">IF(M45&lt;&gt;"P","",INDEX(in_CGName,N45))</f>
        <v>Valeria Grayson</v>
      </c>
      <c r="K45" s="26" t="str">
        <f aca="false">IF(M45&lt;&gt;"P","",IFERROR(INDEX(cl_Payer,MATCH(INDEX(in_ClientID,N45),cl_ID,0)),"Unassigned"))</f>
        <v>Private Pay</v>
      </c>
      <c r="L45" s="26" t="str">
        <f aca="false">IF(M45="","",IF(M45="S","Weekly caregiver pay, week ending "&amp;TEXT(WeekEnd,"m/d/yyyy"),INDEX(in_Svc,N45)&amp;" "&amp;INDEX(in_ClientID,N45)&amp;", "&amp;INDEX(in_Units,N45)&amp;" units"&amp;IF(N(INDEX(in_Miles,N45))&gt;0,", "&amp;INDEX(in_Miles,N45)&amp;" miles","")))</f>
        <v>PC CL-2007, 58 units, 22 miles</v>
      </c>
      <c r="M45" s="60" t="str">
        <f aca="false">IF(39&gt;acc_TotalLines,"",IF(39&lt;=acc_SumLines,"S","P"))</f>
        <v>P</v>
      </c>
      <c r="N45" s="42" t="n">
        <f aca="false">IF(M45="","",IF(M45="S",MATCH(39,acc_SumSeq,0),MATCH(39-acc_SumLines,in_Seq,0)))</f>
        <v>33</v>
      </c>
    </row>
    <row r="46" customFormat="false" ht="15" hidden="false" customHeight="false" outlineLevel="0" collapsed="false">
      <c r="A46" s="26" t="str">
        <f aca="false">IF(M46="","",JrnPrefix&amp;"-"&amp;TEXT(WeekEnd,"yyyymmdd"))</f>
        <v>LHHC-20260920</v>
      </c>
      <c r="B46" s="58" t="n">
        <f aca="false">IF(M46="","",WeekEnd)</f>
        <v>46285</v>
      </c>
      <c r="C46" s="52" t="n">
        <f aca="false">IF(M46="","",40)</f>
        <v>40</v>
      </c>
      <c r="D46" s="26" t="str">
        <f aca="false">IF(M46="","",IF(M46="S",IF(INDEX(acc_SumAcct,N46)=MileGL,"Mileage summary","Expense summary"),"Caregiver payable"))</f>
        <v>Caregiver payable</v>
      </c>
      <c r="E46" s="40" t="str">
        <f aca="false">IF(M46="","",IF(M46="S",INDEX(acc_SumAcct,N46),APGL))</f>
        <v>2050</v>
      </c>
      <c r="F46" s="26" t="str">
        <f aca="false">IF(M46="","",IF(M46="S",INDEX(acc_SumName,N46),APGLName))</f>
        <v>Accounts Payable: Contract Caregivers</v>
      </c>
      <c r="G46" s="59" t="n">
        <f aca="false">IF(M46="","",IF(M46="S",INDEX(acc_SumAmt,N46),0))</f>
        <v>0</v>
      </c>
      <c r="H46" s="59" t="n">
        <f aca="false">IF(M46="","",IF(M46="S",0,INDEX(in_Payable,N46)))</f>
        <v>248.98</v>
      </c>
      <c r="I46" s="40" t="str">
        <f aca="false">IF(M46&lt;&gt;"P","",IFERROR(INDEX(cg_Vendor,MATCH(INDEX(in_CGID,N46),cg_ID,0)),""))</f>
        <v>V3213</v>
      </c>
      <c r="J46" s="26" t="str">
        <f aca="false">IF(M46&lt;&gt;"P","",INDEX(in_CGName,N46))</f>
        <v>Alicia Haddad</v>
      </c>
      <c r="K46" s="26" t="str">
        <f aca="false">IF(M46&lt;&gt;"P","",IFERROR(INDEX(cl_Payer,MATCH(INDEX(in_ClientID,N46),cl_ID,0)),"Unassigned"))</f>
        <v>Medicaid Waiver</v>
      </c>
      <c r="L46" s="26" t="str">
        <f aca="false">IF(M46="","",IF(M46="S","Weekly caregiver pay, week ending "&amp;TEXT(WeekEnd,"m/d/yyyy"),INDEX(in_Svc,N46)&amp;" "&amp;INDEX(in_ClientID,N46)&amp;", "&amp;INDEX(in_Units,N46)&amp;" units"&amp;IF(N(INDEX(in_Miles,N46))&gt;0,", "&amp;INDEX(in_Miles,N46)&amp;" miles","")))</f>
        <v>CO CL-2051, 58 units, 4 miles</v>
      </c>
      <c r="M46" s="60" t="str">
        <f aca="false">IF(40&gt;acc_TotalLines,"",IF(40&lt;=acc_SumLines,"S","P"))</f>
        <v>P</v>
      </c>
      <c r="N46" s="42" t="n">
        <f aca="false">IF(M46="","",IF(M46="S",MATCH(40,acc_SumSeq,0),MATCH(40-acc_SumLines,in_Seq,0)))</f>
        <v>34</v>
      </c>
    </row>
    <row r="47" customFormat="false" ht="15" hidden="false" customHeight="false" outlineLevel="0" collapsed="false">
      <c r="A47" s="26" t="str">
        <f aca="false">IF(M47="","",JrnPrefix&amp;"-"&amp;TEXT(WeekEnd,"yyyymmdd"))</f>
        <v>LHHC-20260920</v>
      </c>
      <c r="B47" s="58" t="n">
        <f aca="false">IF(M47="","",WeekEnd)</f>
        <v>46285</v>
      </c>
      <c r="C47" s="52" t="n">
        <f aca="false">IF(M47="","",41)</f>
        <v>41</v>
      </c>
      <c r="D47" s="26" t="str">
        <f aca="false">IF(M47="","",IF(M47="S",IF(INDEX(acc_SumAcct,N47)=MileGL,"Mileage summary","Expense summary"),"Caregiver payable"))</f>
        <v>Caregiver payable</v>
      </c>
      <c r="E47" s="40" t="str">
        <f aca="false">IF(M47="","",IF(M47="S",INDEX(acc_SumAcct,N47),APGL))</f>
        <v>2050</v>
      </c>
      <c r="F47" s="26" t="str">
        <f aca="false">IF(M47="","",IF(M47="S",INDEX(acc_SumName,N47),APGLName))</f>
        <v>Accounts Payable: Contract Caregivers</v>
      </c>
      <c r="G47" s="59" t="n">
        <f aca="false">IF(M47="","",IF(M47="S",INDEX(acc_SumAmt,N47),0))</f>
        <v>0</v>
      </c>
      <c r="H47" s="59" t="n">
        <f aca="false">IF(M47="","",IF(M47="S",0,INDEX(in_Payable,N47)))</f>
        <v>211.6</v>
      </c>
      <c r="I47" s="40" t="str">
        <f aca="false">IF(M47&lt;&gt;"P","",IFERROR(INDEX(cg_Vendor,MATCH(INDEX(in_CGID,N47),cg_ID,0)),""))</f>
        <v>V3220</v>
      </c>
      <c r="J47" s="26" t="str">
        <f aca="false">IF(M47&lt;&gt;"P","",INDEX(in_CGName,N47))</f>
        <v>Elise Kowalski</v>
      </c>
      <c r="K47" s="26" t="str">
        <f aca="false">IF(M47&lt;&gt;"P","",IFERROR(INDEX(cl_Payer,MATCH(INDEX(in_ClientID,N47),cl_ID,0)),"Unassigned"))</f>
        <v>Private Pay</v>
      </c>
      <c r="L47" s="26" t="str">
        <f aca="false">IF(M47="","",IF(M47="S","Weekly caregiver pay, week ending "&amp;TEXT(WeekEnd,"m/d/yyyy"),INDEX(in_Svc,N47)&amp;" "&amp;INDEX(in_ClientID,N47)&amp;", "&amp;INDEX(in_Units,N47)&amp;" units"&amp;IF(N(INDEX(in_Miles,N47))&gt;0,", "&amp;INDEX(in_Miles,N47)&amp;" miles","")))</f>
        <v>HM CL-2034, 46 units</v>
      </c>
      <c r="M47" s="60" t="str">
        <f aca="false">IF(41&gt;acc_TotalLines,"",IF(41&lt;=acc_SumLines,"S","P"))</f>
        <v>P</v>
      </c>
      <c r="N47" s="42" t="n">
        <f aca="false">IF(M47="","",IF(M47="S",MATCH(41,acc_SumSeq,0),MATCH(41-acc_SumLines,in_Seq,0)))</f>
        <v>36</v>
      </c>
    </row>
    <row r="48" customFormat="false" ht="15" hidden="false" customHeight="false" outlineLevel="0" collapsed="false">
      <c r="A48" s="26" t="str">
        <f aca="false">IF(M48="","",JrnPrefix&amp;"-"&amp;TEXT(WeekEnd,"yyyymmdd"))</f>
        <v>LHHC-20260920</v>
      </c>
      <c r="B48" s="58" t="n">
        <f aca="false">IF(M48="","",WeekEnd)</f>
        <v>46285</v>
      </c>
      <c r="C48" s="52" t="n">
        <f aca="false">IF(M48="","",42)</f>
        <v>42</v>
      </c>
      <c r="D48" s="26" t="str">
        <f aca="false">IF(M48="","",IF(M48="S",IF(INDEX(acc_SumAcct,N48)=MileGL,"Mileage summary","Expense summary"),"Caregiver payable"))</f>
        <v>Caregiver payable</v>
      </c>
      <c r="E48" s="40" t="str">
        <f aca="false">IF(M48="","",IF(M48="S",INDEX(acc_SumAcct,N48),APGL))</f>
        <v>2050</v>
      </c>
      <c r="F48" s="26" t="str">
        <f aca="false">IF(M48="","",IF(M48="S",INDEX(acc_SumName,N48),APGLName))</f>
        <v>Accounts Payable: Contract Caregivers</v>
      </c>
      <c r="G48" s="59" t="n">
        <f aca="false">IF(M48="","",IF(M48="S",INDEX(acc_SumAmt,N48),0))</f>
        <v>0</v>
      </c>
      <c r="H48" s="59" t="n">
        <f aca="false">IF(M48="","",IF(M48="S",0,INDEX(in_Payable,N48)))</f>
        <v>308</v>
      </c>
      <c r="I48" s="40" t="str">
        <f aca="false">IF(M48&lt;&gt;"P","",IFERROR(INDEX(cg_Vendor,MATCH(INDEX(in_CGID,N48),cg_ID,0)),""))</f>
        <v>V3220</v>
      </c>
      <c r="J48" s="26" t="str">
        <f aca="false">IF(M48&lt;&gt;"P","",INDEX(in_CGName,N48))</f>
        <v>Elise Kowalski</v>
      </c>
      <c r="K48" s="26" t="str">
        <f aca="false">IF(M48&lt;&gt;"P","",IFERROR(INDEX(cl_Payer,MATCH(INDEX(in_ClientID,N48),cl_ID,0)),"Unassigned"))</f>
        <v>VA Community Care</v>
      </c>
      <c r="L48" s="26" t="str">
        <f aca="false">IF(M48="","",IF(M48="S","Weekly caregiver pay, week ending "&amp;TEXT(WeekEnd,"m/d/yyyy"),INDEX(in_Svc,N48)&amp;" "&amp;INDEX(in_ClientID,N48)&amp;", "&amp;INDEX(in_Units,N48)&amp;" units"&amp;IF(N(INDEX(in_Miles,N48))&gt;0,", "&amp;INDEX(in_Miles,N48)&amp;" miles","")))</f>
        <v>PC CL-2027, 56 units</v>
      </c>
      <c r="M48" s="60" t="str">
        <f aca="false">IF(42&gt;acc_TotalLines,"",IF(42&lt;=acc_SumLines,"S","P"))</f>
        <v>P</v>
      </c>
      <c r="N48" s="42" t="n">
        <f aca="false">IF(M48="","",IF(M48="S",MATCH(42,acc_SumSeq,0),MATCH(42-acc_SumLines,in_Seq,0)))</f>
        <v>37</v>
      </c>
    </row>
    <row r="49" customFormat="false" ht="15" hidden="false" customHeight="false" outlineLevel="0" collapsed="false">
      <c r="A49" s="26" t="str">
        <f aca="false">IF(M49="","",JrnPrefix&amp;"-"&amp;TEXT(WeekEnd,"yyyymmdd"))</f>
        <v>LHHC-20260920</v>
      </c>
      <c r="B49" s="58" t="n">
        <f aca="false">IF(M49="","",WeekEnd)</f>
        <v>46285</v>
      </c>
      <c r="C49" s="52" t="n">
        <f aca="false">IF(M49="","",43)</f>
        <v>43</v>
      </c>
      <c r="D49" s="26" t="str">
        <f aca="false">IF(M49="","",IF(M49="S",IF(INDEX(acc_SumAcct,N49)=MileGL,"Mileage summary","Expense summary"),"Caregiver payable"))</f>
        <v>Caregiver payable</v>
      </c>
      <c r="E49" s="40" t="str">
        <f aca="false">IF(M49="","",IF(M49="S",INDEX(acc_SumAcct,N49),APGL))</f>
        <v>2050</v>
      </c>
      <c r="F49" s="26" t="str">
        <f aca="false">IF(M49="","",IF(M49="S",INDEX(acc_SumName,N49),APGLName))</f>
        <v>Accounts Payable: Contract Caregivers</v>
      </c>
      <c r="G49" s="59" t="n">
        <f aca="false">IF(M49="","",IF(M49="S",INDEX(acc_SumAmt,N49),0))</f>
        <v>0</v>
      </c>
      <c r="H49" s="59" t="n">
        <f aca="false">IF(M49="","",IF(M49="S",0,INDEX(in_Payable,N49)))</f>
        <v>231</v>
      </c>
      <c r="I49" s="40" t="str">
        <f aca="false">IF(M49&lt;&gt;"P","",IFERROR(INDEX(cg_Vendor,MATCH(INDEX(in_CGID,N49),cg_ID,0)),""))</f>
        <v>V3221</v>
      </c>
      <c r="J49" s="26" t="str">
        <f aca="false">IF(M49&lt;&gt;"P","",INDEX(in_CGName,N49))</f>
        <v>Hana Ledbetter</v>
      </c>
      <c r="K49" s="26" t="str">
        <f aca="false">IF(M49&lt;&gt;"P","",IFERROR(INDEX(cl_Payer,MATCH(INDEX(in_ClientID,N49),cl_ID,0)),"Unassigned"))</f>
        <v>Private Pay</v>
      </c>
      <c r="L49" s="26" t="str">
        <f aca="false">IF(M49="","",IF(M49="S","Weekly caregiver pay, week ending "&amp;TEXT(WeekEnd,"m/d/yyyy"),INDEX(in_Svc,N49)&amp;" "&amp;INDEX(in_ClientID,N49)&amp;", "&amp;INDEX(in_Units,N49)&amp;" units"&amp;IF(N(INDEX(in_Miles,N49))&gt;0,", "&amp;INDEX(in_Miles,N49)&amp;" miles","")))</f>
        <v>PC CL-2048, 42 units</v>
      </c>
      <c r="M49" s="60" t="str">
        <f aca="false">IF(43&gt;acc_TotalLines,"",IF(43&lt;=acc_SumLines,"S","P"))</f>
        <v>P</v>
      </c>
      <c r="N49" s="42" t="n">
        <f aca="false">IF(M49="","",IF(M49="S",MATCH(43,acc_SumSeq,0),MATCH(43-acc_SumLines,in_Seq,0)))</f>
        <v>38</v>
      </c>
    </row>
    <row r="50" customFormat="false" ht="15" hidden="false" customHeight="false" outlineLevel="0" collapsed="false">
      <c r="A50" s="26" t="str">
        <f aca="false">IF(M50="","",JrnPrefix&amp;"-"&amp;TEXT(WeekEnd,"yyyymmdd"))</f>
        <v>LHHC-20260920</v>
      </c>
      <c r="B50" s="58" t="n">
        <f aca="false">IF(M50="","",WeekEnd)</f>
        <v>46285</v>
      </c>
      <c r="C50" s="52" t="n">
        <f aca="false">IF(M50="","",44)</f>
        <v>44</v>
      </c>
      <c r="D50" s="26" t="str">
        <f aca="false">IF(M50="","",IF(M50="S",IF(INDEX(acc_SumAcct,N50)=MileGL,"Mileage summary","Expense summary"),"Caregiver payable"))</f>
        <v>Caregiver payable</v>
      </c>
      <c r="E50" s="40" t="str">
        <f aca="false">IF(M50="","",IF(M50="S",INDEX(acc_SumAcct,N50),APGL))</f>
        <v>2050</v>
      </c>
      <c r="F50" s="26" t="str">
        <f aca="false">IF(M50="","",IF(M50="S",INDEX(acc_SumName,N50),APGLName))</f>
        <v>Accounts Payable: Contract Caregivers</v>
      </c>
      <c r="G50" s="59" t="n">
        <f aca="false">IF(M50="","",IF(M50="S",INDEX(acc_SumAmt,N50),0))</f>
        <v>0</v>
      </c>
      <c r="H50" s="59" t="n">
        <f aca="false">IF(M50="","",IF(M50="S",0,INDEX(in_Payable,N50)))</f>
        <v>138</v>
      </c>
      <c r="I50" s="40" t="str">
        <f aca="false">IF(M50&lt;&gt;"P","",IFERROR(INDEX(cg_Vendor,MATCH(INDEX(in_CGID,N50),cg_ID,0)),""))</f>
        <v>V3221</v>
      </c>
      <c r="J50" s="26" t="str">
        <f aca="false">IF(M50&lt;&gt;"P","",INDEX(in_CGName,N50))</f>
        <v>Hana Ledbetter</v>
      </c>
      <c r="K50" s="26" t="str">
        <f aca="false">IF(M50&lt;&gt;"P","",IFERROR(INDEX(cl_Payer,MATCH(INDEX(in_ClientID,N50),cl_ID,0)),"Unassigned"))</f>
        <v>Private Pay</v>
      </c>
      <c r="L50" s="26" t="str">
        <f aca="false">IF(M50="","",IF(M50="S","Weekly caregiver pay, week ending "&amp;TEXT(WeekEnd,"m/d/yyyy"),INDEX(in_Svc,N50)&amp;" "&amp;INDEX(in_ClientID,N50)&amp;", "&amp;INDEX(in_Units,N50)&amp;" units"&amp;IF(N(INDEX(in_Miles,N50))&gt;0,", "&amp;INDEX(in_Miles,N50)&amp;" miles","")))</f>
        <v>HM CL-2006, 30 units</v>
      </c>
      <c r="M50" s="60" t="str">
        <f aca="false">IF(44&gt;acc_TotalLines,"",IF(44&lt;=acc_SumLines,"S","P"))</f>
        <v>P</v>
      </c>
      <c r="N50" s="42" t="n">
        <f aca="false">IF(M50="","",IF(M50="S",MATCH(44,acc_SumSeq,0),MATCH(44-acc_SumLines,in_Seq,0)))</f>
        <v>39</v>
      </c>
    </row>
    <row r="51" customFormat="false" ht="15" hidden="false" customHeight="false" outlineLevel="0" collapsed="false">
      <c r="A51" s="26" t="str">
        <f aca="false">IF(M51="","",JrnPrefix&amp;"-"&amp;TEXT(WeekEnd,"yyyymmdd"))</f>
        <v>LHHC-20260920</v>
      </c>
      <c r="B51" s="58" t="n">
        <f aca="false">IF(M51="","",WeekEnd)</f>
        <v>46285</v>
      </c>
      <c r="C51" s="52" t="n">
        <f aca="false">IF(M51="","",45)</f>
        <v>45</v>
      </c>
      <c r="D51" s="26" t="str">
        <f aca="false">IF(M51="","",IF(M51="S",IF(INDEX(acc_SumAcct,N51)=MileGL,"Mileage summary","Expense summary"),"Caregiver payable"))</f>
        <v>Caregiver payable</v>
      </c>
      <c r="E51" s="40" t="str">
        <f aca="false">IF(M51="","",IF(M51="S",INDEX(acc_SumAcct,N51),APGL))</f>
        <v>2050</v>
      </c>
      <c r="F51" s="26" t="str">
        <f aca="false">IF(M51="","",IF(M51="S",INDEX(acc_SumName,N51),APGLName))</f>
        <v>Accounts Payable: Contract Caregivers</v>
      </c>
      <c r="G51" s="59" t="n">
        <f aca="false">IF(M51="","",IF(M51="S",INDEX(acc_SumAmt,N51),0))</f>
        <v>0</v>
      </c>
      <c r="H51" s="59" t="n">
        <f aca="false">IF(M51="","",IF(M51="S",0,INDEX(in_Payable,N51)))</f>
        <v>341</v>
      </c>
      <c r="I51" s="40" t="str">
        <f aca="false">IF(M51&lt;&gt;"P","",IFERROR(INDEX(cg_Vendor,MATCH(INDEX(in_CGID,N51),cg_ID,0)),""))</f>
        <v>V3202</v>
      </c>
      <c r="J51" s="26" t="str">
        <f aca="false">IF(M51&lt;&gt;"P","",INDEX(in_CGName,N51))</f>
        <v>Adrienne Macias</v>
      </c>
      <c r="K51" s="26" t="str">
        <f aca="false">IF(M51&lt;&gt;"P","",IFERROR(INDEX(cl_Payer,MATCH(INDEX(in_ClientID,N51),cl_ID,0)),"Unassigned"))</f>
        <v>Private Pay</v>
      </c>
      <c r="L51" s="26" t="str">
        <f aca="false">IF(M51="","",IF(M51="S","Weekly caregiver pay, week ending "&amp;TEXT(WeekEnd,"m/d/yyyy"),INDEX(in_Svc,N51)&amp;" "&amp;INDEX(in_ClientID,N51)&amp;", "&amp;INDEX(in_Units,N51)&amp;" units"&amp;IF(N(INDEX(in_Miles,N51))&gt;0,", "&amp;INDEX(in_Miles,N51)&amp;" miles","")))</f>
        <v>PC CL-2030, 62 units</v>
      </c>
      <c r="M51" s="60" t="str">
        <f aca="false">IF(45&gt;acc_TotalLines,"",IF(45&lt;=acc_SumLines,"S","P"))</f>
        <v>P</v>
      </c>
      <c r="N51" s="42" t="n">
        <f aca="false">IF(M51="","",IF(M51="S",MATCH(45,acc_SumSeq,0),MATCH(45-acc_SumLines,in_Seq,0)))</f>
        <v>40</v>
      </c>
    </row>
    <row r="52" customFormat="false" ht="15" hidden="false" customHeight="false" outlineLevel="0" collapsed="false">
      <c r="A52" s="26" t="str">
        <f aca="false">IF(M52="","",JrnPrefix&amp;"-"&amp;TEXT(WeekEnd,"yyyymmdd"))</f>
        <v>LHHC-20260920</v>
      </c>
      <c r="B52" s="58" t="n">
        <f aca="false">IF(M52="","",WeekEnd)</f>
        <v>46285</v>
      </c>
      <c r="C52" s="52" t="n">
        <f aca="false">IF(M52="","",46)</f>
        <v>46</v>
      </c>
      <c r="D52" s="26" t="str">
        <f aca="false">IF(M52="","",IF(M52="S",IF(INDEX(acc_SumAcct,N52)=MileGL,"Mileage summary","Expense summary"),"Caregiver payable"))</f>
        <v>Caregiver payable</v>
      </c>
      <c r="E52" s="40" t="str">
        <f aca="false">IF(M52="","",IF(M52="S",INDEX(acc_SumAcct,N52),APGL))</f>
        <v>2050</v>
      </c>
      <c r="F52" s="26" t="str">
        <f aca="false">IF(M52="","",IF(M52="S",INDEX(acc_SumName,N52),APGLName))</f>
        <v>Accounts Payable: Contract Caregivers</v>
      </c>
      <c r="G52" s="59" t="n">
        <f aca="false">IF(M52="","",IF(M52="S",INDEX(acc_SumAmt,N52),0))</f>
        <v>0</v>
      </c>
      <c r="H52" s="59" t="n">
        <f aca="false">IF(M52="","",IF(M52="S",0,INDEX(in_Payable,N52)))</f>
        <v>319</v>
      </c>
      <c r="I52" s="40" t="str">
        <f aca="false">IF(M52&lt;&gt;"P","",IFERROR(INDEX(cg_Vendor,MATCH(INDEX(in_CGID,N52),cg_ID,0)),""))</f>
        <v>V3230</v>
      </c>
      <c r="J52" s="26" t="str">
        <f aca="false">IF(M52&lt;&gt;"P","",INDEX(in_CGName,N52))</f>
        <v>Jasmine Mendoza</v>
      </c>
      <c r="K52" s="26" t="str">
        <f aca="false">IF(M52&lt;&gt;"P","",IFERROR(INDEX(cl_Payer,MATCH(INDEX(in_ClientID,N52),cl_ID,0)),"Unassigned"))</f>
        <v>Medicaid Waiver</v>
      </c>
      <c r="L52" s="26" t="str">
        <f aca="false">IF(M52="","",IF(M52="S","Weekly caregiver pay, week ending "&amp;TEXT(WeekEnd,"m/d/yyyy"),INDEX(in_Svc,N52)&amp;" "&amp;INDEX(in_ClientID,N52)&amp;", "&amp;INDEX(in_Units,N52)&amp;" units"&amp;IF(N(INDEX(in_Miles,N52))&gt;0,", "&amp;INDEX(in_Miles,N52)&amp;" miles","")))</f>
        <v>PC CL-2008, 58 units</v>
      </c>
      <c r="M52" s="60" t="str">
        <f aca="false">IF(46&gt;acc_TotalLines,"",IF(46&lt;=acc_SumLines,"S","P"))</f>
        <v>P</v>
      </c>
      <c r="N52" s="42" t="n">
        <f aca="false">IF(M52="","",IF(M52="S",MATCH(46,acc_SumSeq,0),MATCH(46-acc_SumLines,in_Seq,0)))</f>
        <v>41</v>
      </c>
    </row>
    <row r="53" customFormat="false" ht="15" hidden="false" customHeight="false" outlineLevel="0" collapsed="false">
      <c r="A53" s="26" t="str">
        <f aca="false">IF(M53="","",JrnPrefix&amp;"-"&amp;TEXT(WeekEnd,"yyyymmdd"))</f>
        <v>LHHC-20260920</v>
      </c>
      <c r="B53" s="58" t="n">
        <f aca="false">IF(M53="","",WeekEnd)</f>
        <v>46285</v>
      </c>
      <c r="C53" s="52" t="n">
        <f aca="false">IF(M53="","",47)</f>
        <v>47</v>
      </c>
      <c r="D53" s="26" t="str">
        <f aca="false">IF(M53="","",IF(M53="S",IF(INDEX(acc_SumAcct,N53)=MileGL,"Mileage summary","Expense summary"),"Caregiver payable"))</f>
        <v>Caregiver payable</v>
      </c>
      <c r="E53" s="40" t="str">
        <f aca="false">IF(M53="","",IF(M53="S",INDEX(acc_SumAcct,N53),APGL))</f>
        <v>2050</v>
      </c>
      <c r="F53" s="26" t="str">
        <f aca="false">IF(M53="","",IF(M53="S",INDEX(acc_SumName,N53),APGLName))</f>
        <v>Accounts Payable: Contract Caregivers</v>
      </c>
      <c r="G53" s="59" t="n">
        <f aca="false">IF(M53="","",IF(M53="S",INDEX(acc_SumAmt,N53),0))</f>
        <v>0</v>
      </c>
      <c r="H53" s="59" t="n">
        <f aca="false">IF(M53="","",IF(M53="S",0,INDEX(in_Payable,N53)))</f>
        <v>151.64</v>
      </c>
      <c r="I53" s="40" t="str">
        <f aca="false">IF(M53&lt;&gt;"P","",IFERROR(INDEX(cg_Vendor,MATCH(INDEX(in_CGID,N53),cg_ID,0)),""))</f>
        <v>V3217</v>
      </c>
      <c r="J53" s="26" t="str">
        <f aca="false">IF(M53&lt;&gt;"P","",INDEX(in_CGName,N53))</f>
        <v>Aria Mercer</v>
      </c>
      <c r="K53" s="26" t="str">
        <f aca="false">IF(M53&lt;&gt;"P","",IFERROR(INDEX(cl_Payer,MATCH(INDEX(in_ClientID,N53),cl_ID,0)),"Unassigned"))</f>
        <v>Medicaid Waiver</v>
      </c>
      <c r="L53" s="26" t="str">
        <f aca="false">IF(M53="","",IF(M53="S","Weekly caregiver pay, week ending "&amp;TEXT(WeekEnd,"m/d/yyyy"),INDEX(in_Svc,N53)&amp;" "&amp;INDEX(in_ClientID,N53)&amp;", "&amp;INDEX(in_Units,N53)&amp;" units"&amp;IF(N(INDEX(in_Miles,N53))&gt;0,", "&amp;INDEX(in_Miles,N53)&amp;" miles","")))</f>
        <v>HM CL-2053, 30 units, 22 miles</v>
      </c>
      <c r="M53" s="60" t="str">
        <f aca="false">IF(47&gt;acc_TotalLines,"",IF(47&lt;=acc_SumLines,"S","P"))</f>
        <v>P</v>
      </c>
      <c r="N53" s="42" t="n">
        <f aca="false">IF(M53="","",IF(M53="S",MATCH(47,acc_SumSeq,0),MATCH(47-acc_SumLines,in_Seq,0)))</f>
        <v>42</v>
      </c>
    </row>
    <row r="54" customFormat="false" ht="15" hidden="false" customHeight="false" outlineLevel="0" collapsed="false">
      <c r="A54" s="26" t="str">
        <f aca="false">IF(M54="","",JrnPrefix&amp;"-"&amp;TEXT(WeekEnd,"yyyymmdd"))</f>
        <v>LHHC-20260920</v>
      </c>
      <c r="B54" s="58" t="n">
        <f aca="false">IF(M54="","",WeekEnd)</f>
        <v>46285</v>
      </c>
      <c r="C54" s="52" t="n">
        <f aca="false">IF(M54="","",48)</f>
        <v>48</v>
      </c>
      <c r="D54" s="26" t="str">
        <f aca="false">IF(M54="","",IF(M54="S",IF(INDEX(acc_SumAcct,N54)=MileGL,"Mileage summary","Expense summary"),"Caregiver payable"))</f>
        <v>Caregiver payable</v>
      </c>
      <c r="E54" s="40" t="str">
        <f aca="false">IF(M54="","",IF(M54="S",INDEX(acc_SumAcct,N54),APGL))</f>
        <v>2050</v>
      </c>
      <c r="F54" s="26" t="str">
        <f aca="false">IF(M54="","",IF(M54="S",INDEX(acc_SumName,N54),APGLName))</f>
        <v>Accounts Payable: Contract Caregivers</v>
      </c>
      <c r="G54" s="59" t="n">
        <f aca="false">IF(M54="","",IF(M54="S",INDEX(acc_SumAmt,N54),0))</f>
        <v>0</v>
      </c>
      <c r="H54" s="59" t="n">
        <f aca="false">IF(M54="","",IF(M54="S",0,INDEX(in_Payable,N54)))</f>
        <v>119</v>
      </c>
      <c r="I54" s="40" t="str">
        <f aca="false">IF(M54&lt;&gt;"P","",IFERROR(INDEX(cg_Vendor,MATCH(INDEX(in_CGID,N54),cg_ID,0)),""))</f>
        <v>V3215</v>
      </c>
      <c r="J54" s="26" t="str">
        <f aca="false">IF(M54&lt;&gt;"P","",INDEX(in_CGName,N54))</f>
        <v>Andre Montoya</v>
      </c>
      <c r="K54" s="26" t="str">
        <f aca="false">IF(M54&lt;&gt;"P","",IFERROR(INDEX(cl_Payer,MATCH(INDEX(in_ClientID,N54),cl_ID,0)),"Unassigned"))</f>
        <v>Medicaid Waiver</v>
      </c>
      <c r="L54" s="26" t="str">
        <f aca="false">IF(M54="","",IF(M54="S","Weekly caregiver pay, week ending "&amp;TEXT(WeekEnd,"m/d/yyyy"),INDEX(in_Svc,N54)&amp;" "&amp;INDEX(in_ClientID,N54)&amp;", "&amp;INDEX(in_Units,N54)&amp;" units"&amp;IF(N(INDEX(in_Miles,N54))&gt;0,", "&amp;INDEX(in_Miles,N54)&amp;" miles","")))</f>
        <v>CO CL-2051, 28 units</v>
      </c>
      <c r="M54" s="60" t="str">
        <f aca="false">IF(48&gt;acc_TotalLines,"",IF(48&lt;=acc_SumLines,"S","P"))</f>
        <v>P</v>
      </c>
      <c r="N54" s="42" t="n">
        <f aca="false">IF(M54="","",IF(M54="S",MATCH(48,acc_SumSeq,0),MATCH(48-acc_SumLines,in_Seq,0)))</f>
        <v>43</v>
      </c>
    </row>
    <row r="55" customFormat="false" ht="15" hidden="false" customHeight="false" outlineLevel="0" collapsed="false">
      <c r="A55" s="26" t="str">
        <f aca="false">IF(M55="","",JrnPrefix&amp;"-"&amp;TEXT(WeekEnd,"yyyymmdd"))</f>
        <v>LHHC-20260920</v>
      </c>
      <c r="B55" s="58" t="n">
        <f aca="false">IF(M55="","",WeekEnd)</f>
        <v>46285</v>
      </c>
      <c r="C55" s="52" t="n">
        <f aca="false">IF(M55="","",49)</f>
        <v>49</v>
      </c>
      <c r="D55" s="26" t="str">
        <f aca="false">IF(M55="","",IF(M55="S",IF(INDEX(acc_SumAcct,N55)=MileGL,"Mileage summary","Expense summary"),"Caregiver payable"))</f>
        <v>Caregiver payable</v>
      </c>
      <c r="E55" s="40" t="str">
        <f aca="false">IF(M55="","",IF(M55="S",INDEX(acc_SumAcct,N55),APGL))</f>
        <v>2050</v>
      </c>
      <c r="F55" s="26" t="str">
        <f aca="false">IF(M55="","",IF(M55="S",INDEX(acc_SumName,N55),APGLName))</f>
        <v>Accounts Payable: Contract Caregivers</v>
      </c>
      <c r="G55" s="59" t="n">
        <f aca="false">IF(M55="","",IF(M55="S",INDEX(acc_SumAmt,N55),0))</f>
        <v>0</v>
      </c>
      <c r="H55" s="59" t="n">
        <f aca="false">IF(M55="","",IF(M55="S",0,INDEX(in_Payable,N55)))</f>
        <v>107.76</v>
      </c>
      <c r="I55" s="40" t="str">
        <f aca="false">IF(M55&lt;&gt;"P","",IFERROR(INDEX(cg_Vendor,MATCH(INDEX(in_CGID,N55),cg_ID,0)),""))</f>
        <v>V3215</v>
      </c>
      <c r="J55" s="26" t="str">
        <f aca="false">IF(M55&lt;&gt;"P","",INDEX(in_CGName,N55))</f>
        <v>Andre Montoya</v>
      </c>
      <c r="K55" s="26" t="str">
        <f aca="false">IF(M55&lt;&gt;"P","",IFERROR(INDEX(cl_Payer,MATCH(INDEX(in_ClientID,N55),cl_ID,0)),"Unassigned"))</f>
        <v>Medicaid Waiver</v>
      </c>
      <c r="L55" s="26" t="str">
        <f aca="false">IF(M55="","",IF(M55="S","Weekly caregiver pay, week ending "&amp;TEXT(WeekEnd,"m/d/yyyy"),INDEX(in_Svc,N55)&amp;" "&amp;INDEX(in_ClientID,N55)&amp;", "&amp;INDEX(in_Units,N55)&amp;" units"&amp;IF(N(INDEX(in_Miles,N55))&gt;0,", "&amp;INDEX(in_Miles,N55)&amp;" miles","")))</f>
        <v>CO CL-2058, 22 units, 23 miles</v>
      </c>
      <c r="M55" s="60" t="str">
        <f aca="false">IF(49&gt;acc_TotalLines,"",IF(49&lt;=acc_SumLines,"S","P"))</f>
        <v>P</v>
      </c>
      <c r="N55" s="42" t="n">
        <f aca="false">IF(M55="","",IF(M55="S",MATCH(49,acc_SumSeq,0),MATCH(49-acc_SumLines,in_Seq,0)))</f>
        <v>44</v>
      </c>
    </row>
    <row r="56" customFormat="false" ht="15" hidden="false" customHeight="false" outlineLevel="0" collapsed="false">
      <c r="A56" s="26" t="str">
        <f aca="false">IF(M56="","",JrnPrefix&amp;"-"&amp;TEXT(WeekEnd,"yyyymmdd"))</f>
        <v>LHHC-20260920</v>
      </c>
      <c r="B56" s="58" t="n">
        <f aca="false">IF(M56="","",WeekEnd)</f>
        <v>46285</v>
      </c>
      <c r="C56" s="52" t="n">
        <f aca="false">IF(M56="","",50)</f>
        <v>50</v>
      </c>
      <c r="D56" s="26" t="str">
        <f aca="false">IF(M56="","",IF(M56="S",IF(INDEX(acc_SumAcct,N56)=MileGL,"Mileage summary","Expense summary"),"Caregiver payable"))</f>
        <v>Caregiver payable</v>
      </c>
      <c r="E56" s="40" t="str">
        <f aca="false">IF(M56="","",IF(M56="S",INDEX(acc_SumAcct,N56),APGL))</f>
        <v>2050</v>
      </c>
      <c r="F56" s="26" t="str">
        <f aca="false">IF(M56="","",IF(M56="S",INDEX(acc_SumName,N56),APGLName))</f>
        <v>Accounts Payable: Contract Caregivers</v>
      </c>
      <c r="G56" s="59" t="n">
        <f aca="false">IF(M56="","",IF(M56="S",INDEX(acc_SumAmt,N56),0))</f>
        <v>0</v>
      </c>
      <c r="H56" s="59" t="n">
        <f aca="false">IF(M56="","",IF(M56="S",0,INDEX(in_Payable,N56)))</f>
        <v>295.8</v>
      </c>
      <c r="I56" s="40" t="str">
        <f aca="false">IF(M56&lt;&gt;"P","",IFERROR(INDEX(cg_Vendor,MATCH(INDEX(in_CGID,N56),cg_ID,0)),""))</f>
        <v>V3232</v>
      </c>
      <c r="J56" s="26" t="str">
        <f aca="false">IF(M56&lt;&gt;"P","",INDEX(in_CGName,N56))</f>
        <v>Rosa Ochoa</v>
      </c>
      <c r="K56" s="26" t="str">
        <f aca="false">IF(M56&lt;&gt;"P","",IFERROR(INDEX(cl_Payer,MATCH(INDEX(in_ClientID,N56),cl_ID,0)),"Unassigned"))</f>
        <v>Medicaid Waiver</v>
      </c>
      <c r="L56" s="26" t="str">
        <f aca="false">IF(M56="","",IF(M56="S","Weekly caregiver pay, week ending "&amp;TEXT(WeekEnd,"m/d/yyyy"),INDEX(in_Svc,N56)&amp;" "&amp;INDEX(in_ClientID,N56)&amp;", "&amp;INDEX(in_Units,N56)&amp;" units"&amp;IF(N(INDEX(in_Miles,N56))&gt;0,", "&amp;INDEX(in_Miles,N56)&amp;" miles","")))</f>
        <v>RS CL-2033, 58 units</v>
      </c>
      <c r="M56" s="60" t="str">
        <f aca="false">IF(50&gt;acc_TotalLines,"",IF(50&lt;=acc_SumLines,"S","P"))</f>
        <v>P</v>
      </c>
      <c r="N56" s="42" t="n">
        <f aca="false">IF(M56="","",IF(M56="S",MATCH(50,acc_SumSeq,0),MATCH(50-acc_SumLines,in_Seq,0)))</f>
        <v>45</v>
      </c>
    </row>
    <row r="57" customFormat="false" ht="15" hidden="false" customHeight="false" outlineLevel="0" collapsed="false">
      <c r="A57" s="26" t="str">
        <f aca="false">IF(M57="","",JrnPrefix&amp;"-"&amp;TEXT(WeekEnd,"yyyymmdd"))</f>
        <v>LHHC-20260920</v>
      </c>
      <c r="B57" s="58" t="n">
        <f aca="false">IF(M57="","",WeekEnd)</f>
        <v>46285</v>
      </c>
      <c r="C57" s="52" t="n">
        <f aca="false">IF(M57="","",51)</f>
        <v>51</v>
      </c>
      <c r="D57" s="26" t="str">
        <f aca="false">IF(M57="","",IF(M57="S",IF(INDEX(acc_SumAcct,N57)=MileGL,"Mileage summary","Expense summary"),"Caregiver payable"))</f>
        <v>Caregiver payable</v>
      </c>
      <c r="E57" s="40" t="str">
        <f aca="false">IF(M57="","",IF(M57="S",INDEX(acc_SumAcct,N57),APGL))</f>
        <v>2050</v>
      </c>
      <c r="F57" s="26" t="str">
        <f aca="false">IF(M57="","",IF(M57="S",INDEX(acc_SumName,N57),APGLName))</f>
        <v>Accounts Payable: Contract Caregivers</v>
      </c>
      <c r="G57" s="59" t="n">
        <f aca="false">IF(M57="","",IF(M57="S",INDEX(acc_SumAmt,N57),0))</f>
        <v>0</v>
      </c>
      <c r="H57" s="59" t="n">
        <f aca="false">IF(M57="","",IF(M57="S",0,INDEX(in_Payable,N57)))</f>
        <v>253</v>
      </c>
      <c r="I57" s="40" t="str">
        <f aca="false">IF(M57&lt;&gt;"P","",IFERROR(INDEX(cg_Vendor,MATCH(INDEX(in_CGID,N57),cg_ID,0)),""))</f>
        <v>V3232</v>
      </c>
      <c r="J57" s="26" t="str">
        <f aca="false">IF(M57&lt;&gt;"P","",INDEX(in_CGName,N57))</f>
        <v>Rosa Ochoa</v>
      </c>
      <c r="K57" s="26" t="str">
        <f aca="false">IF(M57&lt;&gt;"P","",IFERROR(INDEX(cl_Payer,MATCH(INDEX(in_ClientID,N57),cl_ID,0)),"Unassigned"))</f>
        <v>VA Community Care</v>
      </c>
      <c r="L57" s="26" t="str">
        <f aca="false">IF(M57="","",IF(M57="S","Weekly caregiver pay, week ending "&amp;TEXT(WeekEnd,"m/d/yyyy"),INDEX(in_Svc,N57)&amp;" "&amp;INDEX(in_ClientID,N57)&amp;", "&amp;INDEX(in_Units,N57)&amp;" units"&amp;IF(N(INDEX(in_Miles,N57))&gt;0,", "&amp;INDEX(in_Miles,N57)&amp;" miles","")))</f>
        <v>PC CL-2014, 46 units</v>
      </c>
      <c r="M57" s="60" t="str">
        <f aca="false">IF(51&gt;acc_TotalLines,"",IF(51&lt;=acc_SumLines,"S","P"))</f>
        <v>P</v>
      </c>
      <c r="N57" s="42" t="n">
        <f aca="false">IF(M57="","",IF(M57="S",MATCH(51,acc_SumSeq,0),MATCH(51-acc_SumLines,in_Seq,0)))</f>
        <v>46</v>
      </c>
    </row>
    <row r="58" customFormat="false" ht="15" hidden="false" customHeight="false" outlineLevel="0" collapsed="false">
      <c r="A58" s="26" t="str">
        <f aca="false">IF(M58="","",JrnPrefix&amp;"-"&amp;TEXT(WeekEnd,"yyyymmdd"))</f>
        <v>LHHC-20260920</v>
      </c>
      <c r="B58" s="58" t="n">
        <f aca="false">IF(M58="","",WeekEnd)</f>
        <v>46285</v>
      </c>
      <c r="C58" s="52" t="n">
        <f aca="false">IF(M58="","",52)</f>
        <v>52</v>
      </c>
      <c r="D58" s="26" t="str">
        <f aca="false">IF(M58="","",IF(M58="S",IF(INDEX(acc_SumAcct,N58)=MileGL,"Mileage summary","Expense summary"),"Caregiver payable"))</f>
        <v>Caregiver payable</v>
      </c>
      <c r="E58" s="40" t="str">
        <f aca="false">IF(M58="","",IF(M58="S",INDEX(acc_SumAcct,N58),APGL))</f>
        <v>2050</v>
      </c>
      <c r="F58" s="26" t="str">
        <f aca="false">IF(M58="","",IF(M58="S",INDEX(acc_SumName,N58),APGLName))</f>
        <v>Accounts Payable: Contract Caregivers</v>
      </c>
      <c r="G58" s="59" t="n">
        <f aca="false">IF(M58="","",IF(M58="S",INDEX(acc_SumAmt,N58),0))</f>
        <v>0</v>
      </c>
      <c r="H58" s="59" t="n">
        <f aca="false">IF(M58="","",IF(M58="S",0,INDEX(in_Payable,N58)))</f>
        <v>286</v>
      </c>
      <c r="I58" s="40" t="str">
        <f aca="false">IF(M58&lt;&gt;"P","",IFERROR(INDEX(cg_Vendor,MATCH(INDEX(in_CGID,N58),cg_ID,0)),""))</f>
        <v>V3233</v>
      </c>
      <c r="J58" s="26" t="str">
        <f aca="false">IF(M58&lt;&gt;"P","",INDEX(in_CGName,N58))</f>
        <v>Elise Odom</v>
      </c>
      <c r="K58" s="26" t="str">
        <f aca="false">IF(M58&lt;&gt;"P","",IFERROR(INDEX(cl_Payer,MATCH(INDEX(in_ClientID,N58),cl_ID,0)),"Unassigned"))</f>
        <v>Private Pay</v>
      </c>
      <c r="L58" s="26" t="str">
        <f aca="false">IF(M58="","",IF(M58="S","Weekly caregiver pay, week ending "&amp;TEXT(WeekEnd,"m/d/yyyy"),INDEX(in_Svc,N58)&amp;" "&amp;INDEX(in_ClientID,N58)&amp;", "&amp;INDEX(in_Units,N58)&amp;" units"&amp;IF(N(INDEX(in_Miles,N58))&gt;0,", "&amp;INDEX(in_Miles,N58)&amp;" miles","")))</f>
        <v>PC CL-2054, 52 units</v>
      </c>
      <c r="M58" s="60" t="str">
        <f aca="false">IF(52&gt;acc_TotalLines,"",IF(52&lt;=acc_SumLines,"S","P"))</f>
        <v>P</v>
      </c>
      <c r="N58" s="42" t="n">
        <f aca="false">IF(M58="","",IF(M58="S",MATCH(52,acc_SumSeq,0),MATCH(52-acc_SumLines,in_Seq,0)))</f>
        <v>47</v>
      </c>
    </row>
    <row r="59" customFormat="false" ht="15" hidden="false" customHeight="false" outlineLevel="0" collapsed="false">
      <c r="A59" s="26" t="str">
        <f aca="false">IF(M59="","",JrnPrefix&amp;"-"&amp;TEXT(WeekEnd,"yyyymmdd"))</f>
        <v>LHHC-20260920</v>
      </c>
      <c r="B59" s="58" t="n">
        <f aca="false">IF(M59="","",WeekEnd)</f>
        <v>46285</v>
      </c>
      <c r="C59" s="52" t="n">
        <f aca="false">IF(M59="","",53)</f>
        <v>53</v>
      </c>
      <c r="D59" s="26" t="str">
        <f aca="false">IF(M59="","",IF(M59="S",IF(INDEX(acc_SumAcct,N59)=MileGL,"Mileage summary","Expense summary"),"Caregiver payable"))</f>
        <v>Caregiver payable</v>
      </c>
      <c r="E59" s="40" t="str">
        <f aca="false">IF(M59="","",IF(M59="S",INDEX(acc_SumAcct,N59),APGL))</f>
        <v>2050</v>
      </c>
      <c r="F59" s="26" t="str">
        <f aca="false">IF(M59="","",IF(M59="S",INDEX(acc_SumName,N59),APGLName))</f>
        <v>Accounts Payable: Contract Caregivers</v>
      </c>
      <c r="G59" s="59" t="n">
        <f aca="false">IF(M59="","",IF(M59="S",INDEX(acc_SumAmt,N59),0))</f>
        <v>0</v>
      </c>
      <c r="H59" s="59" t="n">
        <f aca="false">IF(M59="","",IF(M59="S",0,INDEX(in_Payable,N59)))</f>
        <v>73.6</v>
      </c>
      <c r="I59" s="40" t="str">
        <f aca="false">IF(M59&lt;&gt;"P","",IFERROR(INDEX(cg_Vendor,MATCH(INDEX(in_CGID,N59),cg_ID,0)),""))</f>
        <v>V3233</v>
      </c>
      <c r="J59" s="26" t="str">
        <f aca="false">IF(M59&lt;&gt;"P","",INDEX(in_CGName,N59))</f>
        <v>Elise Odom</v>
      </c>
      <c r="K59" s="26" t="str">
        <f aca="false">IF(M59&lt;&gt;"P","",IFERROR(INDEX(cl_Payer,MATCH(INDEX(in_ClientID,N59),cl_ID,0)),"Unassigned"))</f>
        <v>Medicaid Waiver</v>
      </c>
      <c r="L59" s="26" t="str">
        <f aca="false">IF(M59="","",IF(M59="S","Weekly caregiver pay, week ending "&amp;TEXT(WeekEnd,"m/d/yyyy"),INDEX(in_Svc,N59)&amp;" "&amp;INDEX(in_ClientID,N59)&amp;", "&amp;INDEX(in_Units,N59)&amp;" units"&amp;IF(N(INDEX(in_Miles,N59))&gt;0,", "&amp;INDEX(in_Miles,N59)&amp;" miles","")))</f>
        <v>HM CL-2058, 16 units</v>
      </c>
      <c r="M59" s="60" t="str">
        <f aca="false">IF(53&gt;acc_TotalLines,"",IF(53&lt;=acc_SumLines,"S","P"))</f>
        <v>P</v>
      </c>
      <c r="N59" s="42" t="n">
        <f aca="false">IF(M59="","",IF(M59="S",MATCH(53,acc_SumSeq,0),MATCH(53-acc_SumLines,in_Seq,0)))</f>
        <v>48</v>
      </c>
    </row>
    <row r="60" customFormat="false" ht="15" hidden="false" customHeight="false" outlineLevel="0" collapsed="false">
      <c r="A60" s="26" t="str">
        <f aca="false">IF(M60="","",JrnPrefix&amp;"-"&amp;TEXT(WeekEnd,"yyyymmdd"))</f>
        <v>LHHC-20260920</v>
      </c>
      <c r="B60" s="58" t="n">
        <f aca="false">IF(M60="","",WeekEnd)</f>
        <v>46285</v>
      </c>
      <c r="C60" s="52" t="n">
        <f aca="false">IF(M60="","",54)</f>
        <v>54</v>
      </c>
      <c r="D60" s="26" t="str">
        <f aca="false">IF(M60="","",IF(M60="S",IF(INDEX(acc_SumAcct,N60)=MileGL,"Mileage summary","Expense summary"),"Caregiver payable"))</f>
        <v>Caregiver payable</v>
      </c>
      <c r="E60" s="40" t="str">
        <f aca="false">IF(M60="","",IF(M60="S",INDEX(acc_SumAcct,N60),APGL))</f>
        <v>2050</v>
      </c>
      <c r="F60" s="26" t="str">
        <f aca="false">IF(M60="","",IF(M60="S",INDEX(acc_SumName,N60),APGLName))</f>
        <v>Accounts Payable: Contract Caregivers</v>
      </c>
      <c r="G60" s="59" t="n">
        <f aca="false">IF(M60="","",IF(M60="S",INDEX(acc_SumAmt,N60),0))</f>
        <v>0</v>
      </c>
      <c r="H60" s="59" t="n">
        <f aca="false">IF(M60="","",IF(M60="S",0,INDEX(in_Payable,N60)))</f>
        <v>204</v>
      </c>
      <c r="I60" s="40" t="str">
        <f aca="false">IF(M60&lt;&gt;"P","",IFERROR(INDEX(cg_Vendor,MATCH(INDEX(in_CGID,N60),cg_ID,0)),""))</f>
        <v>V3241</v>
      </c>
      <c r="J60" s="26" t="str">
        <f aca="false">IF(M60&lt;&gt;"P","",INDEX(in_CGName,N60))</f>
        <v>Desmond Overton</v>
      </c>
      <c r="K60" s="26" t="str">
        <f aca="false">IF(M60&lt;&gt;"P","",IFERROR(INDEX(cl_Payer,MATCH(INDEX(in_ClientID,N60),cl_ID,0)),"Unassigned"))</f>
        <v>Area Agency on Aging</v>
      </c>
      <c r="L60" s="26" t="str">
        <f aca="false">IF(M60="","",IF(M60="S","Weekly caregiver pay, week ending "&amp;TEXT(WeekEnd,"m/d/yyyy"),INDEX(in_Svc,N60)&amp;" "&amp;INDEX(in_ClientID,N60)&amp;", "&amp;INDEX(in_Units,N60)&amp;" units"&amp;IF(N(INDEX(in_Miles,N60))&gt;0,", "&amp;INDEX(in_Miles,N60)&amp;" miles","")))</f>
        <v>RS CL-2018, 40 units</v>
      </c>
      <c r="M60" s="60" t="str">
        <f aca="false">IF(54&gt;acc_TotalLines,"",IF(54&lt;=acc_SumLines,"S","P"))</f>
        <v>P</v>
      </c>
      <c r="N60" s="42" t="n">
        <f aca="false">IF(M60="","",IF(M60="S",MATCH(54,acc_SumSeq,0),MATCH(54-acc_SumLines,in_Seq,0)))</f>
        <v>49</v>
      </c>
    </row>
    <row r="61" customFormat="false" ht="15" hidden="false" customHeight="false" outlineLevel="0" collapsed="false">
      <c r="A61" s="26" t="str">
        <f aca="false">IF(M61="","",JrnPrefix&amp;"-"&amp;TEXT(WeekEnd,"yyyymmdd"))</f>
        <v>LHHC-20260920</v>
      </c>
      <c r="B61" s="58" t="n">
        <f aca="false">IF(M61="","",WeekEnd)</f>
        <v>46285</v>
      </c>
      <c r="C61" s="52" t="n">
        <f aca="false">IF(M61="","",55)</f>
        <v>55</v>
      </c>
      <c r="D61" s="26" t="str">
        <f aca="false">IF(M61="","",IF(M61="S",IF(INDEX(acc_SumAcct,N61)=MileGL,"Mileage summary","Expense summary"),"Caregiver payable"))</f>
        <v>Caregiver payable</v>
      </c>
      <c r="E61" s="40" t="str">
        <f aca="false">IF(M61="","",IF(M61="S",INDEX(acc_SumAcct,N61),APGL))</f>
        <v>2050</v>
      </c>
      <c r="F61" s="26" t="str">
        <f aca="false">IF(M61="","",IF(M61="S",INDEX(acc_SumName,N61),APGLName))</f>
        <v>Accounts Payable: Contract Caregivers</v>
      </c>
      <c r="G61" s="59" t="n">
        <f aca="false">IF(M61="","",IF(M61="S",INDEX(acc_SumAmt,N61),0))</f>
        <v>0</v>
      </c>
      <c r="H61" s="59" t="n">
        <f aca="false">IF(M61="","",IF(M61="S",0,INDEX(in_Payable,N61)))</f>
        <v>257.34</v>
      </c>
      <c r="I61" s="40" t="str">
        <f aca="false">IF(M61&lt;&gt;"P","",IFERROR(INDEX(cg_Vendor,MATCH(INDEX(in_CGID,N61),cg_ID,0)),""))</f>
        <v>V3228</v>
      </c>
      <c r="J61" s="26" t="str">
        <f aca="false">IF(M61&lt;&gt;"P","",INDEX(in_CGName,N61))</f>
        <v>Dalia Parrish</v>
      </c>
      <c r="K61" s="26" t="str">
        <f aca="false">IF(M61&lt;&gt;"P","",IFERROR(INDEX(cl_Payer,MATCH(INDEX(in_ClientID,N61),cl_ID,0)),"Unassigned"))</f>
        <v>Medicaid Waiver</v>
      </c>
      <c r="L61" s="26" t="str">
        <f aca="false">IF(M61="","",IF(M61="S","Weekly caregiver pay, week ending "&amp;TEXT(WeekEnd,"m/d/yyyy"),INDEX(in_Svc,N61)&amp;" "&amp;INDEX(in_ClientID,N61)&amp;", "&amp;INDEX(in_Units,N61)&amp;" units"&amp;IF(N(INDEX(in_Miles,N61))&gt;0,", "&amp;INDEX(in_Miles,N61)&amp;" miles","")))</f>
        <v>PC CL-2049, 46 units, 7 miles</v>
      </c>
      <c r="M61" s="60" t="str">
        <f aca="false">IF(55&gt;acc_TotalLines,"",IF(55&lt;=acc_SumLines,"S","P"))</f>
        <v>P</v>
      </c>
      <c r="N61" s="42" t="n">
        <f aca="false">IF(M61="","",IF(M61="S",MATCH(55,acc_SumSeq,0),MATCH(55-acc_SumLines,in_Seq,0)))</f>
        <v>50</v>
      </c>
    </row>
    <row r="62" customFormat="false" ht="15" hidden="false" customHeight="false" outlineLevel="0" collapsed="false">
      <c r="A62" s="26" t="str">
        <f aca="false">IF(M62="","",JrnPrefix&amp;"-"&amp;TEXT(WeekEnd,"yyyymmdd"))</f>
        <v>LHHC-20260920</v>
      </c>
      <c r="B62" s="58" t="n">
        <f aca="false">IF(M62="","",WeekEnd)</f>
        <v>46285</v>
      </c>
      <c r="C62" s="52" t="n">
        <f aca="false">IF(M62="","",56)</f>
        <v>56</v>
      </c>
      <c r="D62" s="26" t="str">
        <f aca="false">IF(M62="","",IF(M62="S",IF(INDEX(acc_SumAcct,N62)=MileGL,"Mileage summary","Expense summary"),"Caregiver payable"))</f>
        <v>Caregiver payable</v>
      </c>
      <c r="E62" s="40" t="str">
        <f aca="false">IF(M62="","",IF(M62="S",INDEX(acc_SumAcct,N62),APGL))</f>
        <v>2050</v>
      </c>
      <c r="F62" s="26" t="str">
        <f aca="false">IF(M62="","",IF(M62="S",INDEX(acc_SumName,N62),APGLName))</f>
        <v>Accounts Payable: Contract Caregivers</v>
      </c>
      <c r="G62" s="59" t="n">
        <f aca="false">IF(M62="","",IF(M62="S",INDEX(acc_SumAmt,N62),0))</f>
        <v>0</v>
      </c>
      <c r="H62" s="59" t="n">
        <f aca="false">IF(M62="","",IF(M62="S",0,INDEX(in_Payable,N62)))</f>
        <v>62</v>
      </c>
      <c r="I62" s="40" t="str">
        <f aca="false">IF(M62&lt;&gt;"P","",IFERROR(INDEX(cg_Vendor,MATCH(INDEX(in_CGID,N62),cg_ID,0)),""))</f>
        <v>V3228</v>
      </c>
      <c r="J62" s="26" t="str">
        <f aca="false">IF(M62&lt;&gt;"P","",INDEX(in_CGName,N62))</f>
        <v>Dalia Parrish</v>
      </c>
      <c r="K62" s="26" t="str">
        <f aca="false">IF(M62&lt;&gt;"P","",IFERROR(INDEX(cl_Payer,MATCH(INDEX(in_ClientID,N62),cl_ID,0)),"Unassigned"))</f>
        <v>VA Community Care</v>
      </c>
      <c r="L62" s="26" t="str">
        <f aca="false">IF(M62="","",IF(M62="S","Weekly caregiver pay, week ending "&amp;TEXT(WeekEnd,"m/d/yyyy"),INDEX(in_Svc,N62)&amp;" "&amp;INDEX(in_ClientID,N62)&amp;", "&amp;INDEX(in_Units,N62)&amp;" units"&amp;IF(N(INDEX(in_Miles,N62))&gt;0,", "&amp;INDEX(in_Miles,N62)&amp;" miles","")))</f>
        <v>NV CL-2014, 1 units</v>
      </c>
      <c r="M62" s="60" t="str">
        <f aca="false">IF(56&gt;acc_TotalLines,"",IF(56&lt;=acc_SumLines,"S","P"))</f>
        <v>P</v>
      </c>
      <c r="N62" s="42" t="n">
        <f aca="false">IF(M62="","",IF(M62="S",MATCH(56,acc_SumSeq,0),MATCH(56-acc_SumLines,in_Seq,0)))</f>
        <v>51</v>
      </c>
    </row>
    <row r="63" customFormat="false" ht="15" hidden="false" customHeight="false" outlineLevel="0" collapsed="false">
      <c r="A63" s="26" t="str">
        <f aca="false">IF(M63="","",JrnPrefix&amp;"-"&amp;TEXT(WeekEnd,"yyyymmdd"))</f>
        <v>LHHC-20260920</v>
      </c>
      <c r="B63" s="58" t="n">
        <f aca="false">IF(M63="","",WeekEnd)</f>
        <v>46285</v>
      </c>
      <c r="C63" s="52" t="n">
        <f aca="false">IF(M63="","",57)</f>
        <v>57</v>
      </c>
      <c r="D63" s="26" t="str">
        <f aca="false">IF(M63="","",IF(M63="S",IF(INDEX(acc_SumAcct,N63)=MileGL,"Mileage summary","Expense summary"),"Caregiver payable"))</f>
        <v>Caregiver payable</v>
      </c>
      <c r="E63" s="40" t="str">
        <f aca="false">IF(M63="","",IF(M63="S",INDEX(acc_SumAcct,N63),APGL))</f>
        <v>2050</v>
      </c>
      <c r="F63" s="26" t="str">
        <f aca="false">IF(M63="","",IF(M63="S",INDEX(acc_SumName,N63),APGLName))</f>
        <v>Accounts Payable: Contract Caregivers</v>
      </c>
      <c r="G63" s="59" t="n">
        <f aca="false">IF(M63="","",IF(M63="S",INDEX(acc_SumAmt,N63),0))</f>
        <v>0</v>
      </c>
      <c r="H63" s="59" t="n">
        <f aca="false">IF(M63="","",IF(M63="S",0,INDEX(in_Payable,N63)))</f>
        <v>101.2</v>
      </c>
      <c r="I63" s="40" t="str">
        <f aca="false">IF(M63&lt;&gt;"P","",IFERROR(INDEX(cg_Vendor,MATCH(INDEX(in_CGID,N63),cg_ID,0)),""))</f>
        <v>V3216</v>
      </c>
      <c r="J63" s="26" t="str">
        <f aca="false">IF(M63&lt;&gt;"P","",INDEX(in_CGName,N63))</f>
        <v>Corinne Prewitt</v>
      </c>
      <c r="K63" s="26" t="str">
        <f aca="false">IF(M63&lt;&gt;"P","",IFERROR(INDEX(cl_Payer,MATCH(INDEX(in_ClientID,N63),cl_ID,0)),"Unassigned"))</f>
        <v>Medicaid Waiver</v>
      </c>
      <c r="L63" s="26" t="str">
        <f aca="false">IF(M63="","",IF(M63="S","Weekly caregiver pay, week ending "&amp;TEXT(WeekEnd,"m/d/yyyy"),INDEX(in_Svc,N63)&amp;" "&amp;INDEX(in_ClientID,N63)&amp;", "&amp;INDEX(in_Units,N63)&amp;" units"&amp;IF(N(INDEX(in_Miles,N63))&gt;0,", "&amp;INDEX(in_Miles,N63)&amp;" miles","")))</f>
        <v>HM CL-2049, 22 units</v>
      </c>
      <c r="M63" s="60" t="str">
        <f aca="false">IF(57&gt;acc_TotalLines,"",IF(57&lt;=acc_SumLines,"S","P"))</f>
        <v>P</v>
      </c>
      <c r="N63" s="42" t="n">
        <f aca="false">IF(M63="","",IF(M63="S",MATCH(57,acc_SumSeq,0),MATCH(57-acc_SumLines,in_Seq,0)))</f>
        <v>52</v>
      </c>
    </row>
    <row r="64" customFormat="false" ht="15" hidden="false" customHeight="false" outlineLevel="0" collapsed="false">
      <c r="A64" s="26" t="str">
        <f aca="false">IF(M64="","",JrnPrefix&amp;"-"&amp;TEXT(WeekEnd,"yyyymmdd"))</f>
        <v>LHHC-20260920</v>
      </c>
      <c r="B64" s="58" t="n">
        <f aca="false">IF(M64="","",WeekEnd)</f>
        <v>46285</v>
      </c>
      <c r="C64" s="52" t="n">
        <f aca="false">IF(M64="","",58)</f>
        <v>58</v>
      </c>
      <c r="D64" s="26" t="str">
        <f aca="false">IF(M64="","",IF(M64="S",IF(INDEX(acc_SumAcct,N64)=MileGL,"Mileage summary","Expense summary"),"Caregiver payable"))</f>
        <v>Caregiver payable</v>
      </c>
      <c r="E64" s="40" t="str">
        <f aca="false">IF(M64="","",IF(M64="S",INDEX(acc_SumAcct,N64),APGL))</f>
        <v>2050</v>
      </c>
      <c r="F64" s="26" t="str">
        <f aca="false">IF(M64="","",IF(M64="S",INDEX(acc_SumName,N64),APGLName))</f>
        <v>Accounts Payable: Contract Caregivers</v>
      </c>
      <c r="G64" s="59" t="n">
        <f aca="false">IF(M64="","",IF(M64="S",INDEX(acc_SumAmt,N64),0))</f>
        <v>0</v>
      </c>
      <c r="H64" s="59" t="n">
        <f aca="false">IF(M64="","",IF(M64="S",0,INDEX(in_Payable,N64)))</f>
        <v>170</v>
      </c>
      <c r="I64" s="40" t="str">
        <f aca="false">IF(M64&lt;&gt;"P","",IFERROR(INDEX(cg_Vendor,MATCH(INDEX(in_CGID,N64),cg_ID,0)),""))</f>
        <v>V3243</v>
      </c>
      <c r="J64" s="26" t="str">
        <f aca="false">IF(M64&lt;&gt;"P","",INDEX(in_CGName,N64))</f>
        <v>Selena Quintero</v>
      </c>
      <c r="K64" s="26" t="str">
        <f aca="false">IF(M64&lt;&gt;"P","",IFERROR(INDEX(cl_Payer,MATCH(INDEX(in_ClientID,N64),cl_ID,0)),"Unassigned"))</f>
        <v>Medicaid Waiver</v>
      </c>
      <c r="L64" s="26" t="str">
        <f aca="false">IF(M64="","",IF(M64="S","Weekly caregiver pay, week ending "&amp;TEXT(WeekEnd,"m/d/yyyy"),INDEX(in_Svc,N64)&amp;" "&amp;INDEX(in_ClientID,N64)&amp;", "&amp;INDEX(in_Units,N64)&amp;" units"&amp;IF(N(INDEX(in_Miles,N64))&gt;0,", "&amp;INDEX(in_Miles,N64)&amp;" miles","")))</f>
        <v>CO CL-2011, 40 units</v>
      </c>
      <c r="M64" s="60" t="str">
        <f aca="false">IF(58&gt;acc_TotalLines,"",IF(58&lt;=acc_SumLines,"S","P"))</f>
        <v>P</v>
      </c>
      <c r="N64" s="42" t="n">
        <f aca="false">IF(M64="","",IF(M64="S",MATCH(58,acc_SumSeq,0),MATCH(58-acc_SumLines,in_Seq,0)))</f>
        <v>53</v>
      </c>
    </row>
    <row r="65" customFormat="false" ht="15" hidden="false" customHeight="false" outlineLevel="0" collapsed="false">
      <c r="A65" s="26" t="str">
        <f aca="false">IF(M65="","",JrnPrefix&amp;"-"&amp;TEXT(WeekEnd,"yyyymmdd"))</f>
        <v>LHHC-20260920</v>
      </c>
      <c r="B65" s="58" t="n">
        <f aca="false">IF(M65="","",WeekEnd)</f>
        <v>46285</v>
      </c>
      <c r="C65" s="52" t="n">
        <f aca="false">IF(M65="","",59)</f>
        <v>59</v>
      </c>
      <c r="D65" s="26" t="str">
        <f aca="false">IF(M65="","",IF(M65="S",IF(INDEX(acc_SumAcct,N65)=MileGL,"Mileage summary","Expense summary"),"Caregiver payable"))</f>
        <v>Caregiver payable</v>
      </c>
      <c r="E65" s="40" t="str">
        <f aca="false">IF(M65="","",IF(M65="S",INDEX(acc_SumAcct,N65),APGL))</f>
        <v>2050</v>
      </c>
      <c r="F65" s="26" t="str">
        <f aca="false">IF(M65="","",IF(M65="S",INDEX(acc_SumName,N65),APGLName))</f>
        <v>Accounts Payable: Contract Caregivers</v>
      </c>
      <c r="G65" s="59" t="n">
        <f aca="false">IF(M65="","",IF(M65="S",INDEX(acc_SumAmt,N65),0))</f>
        <v>0</v>
      </c>
      <c r="H65" s="59" t="n">
        <f aca="false">IF(M65="","",IF(M65="S",0,INDEX(in_Payable,N65)))</f>
        <v>82.8</v>
      </c>
      <c r="I65" s="40" t="str">
        <f aca="false">IF(M65&lt;&gt;"P","",IFERROR(INDEX(cg_Vendor,MATCH(INDEX(in_CGID,N65),cg_ID,0)),""))</f>
        <v>V3212</v>
      </c>
      <c r="J65" s="26" t="str">
        <f aca="false">IF(M65&lt;&gt;"P","",INDEX(in_CGName,N65))</f>
        <v>Amara Rainey</v>
      </c>
      <c r="K65" s="26" t="str">
        <f aca="false">IF(M65&lt;&gt;"P","",IFERROR(INDEX(cl_Payer,MATCH(INDEX(in_ClientID,N65),cl_ID,0)),"Unassigned"))</f>
        <v>VA Community Care</v>
      </c>
      <c r="L65" s="26" t="str">
        <f aca="false">IF(M65="","",IF(M65="S","Weekly caregiver pay, week ending "&amp;TEXT(WeekEnd,"m/d/yyyy"),INDEX(in_Svc,N65)&amp;" "&amp;INDEX(in_ClientID,N65)&amp;", "&amp;INDEX(in_Units,N65)&amp;" units"&amp;IF(N(INDEX(in_Miles,N65))&gt;0,", "&amp;INDEX(in_Miles,N65)&amp;" miles","")))</f>
        <v>HM CL-2027, 18 units</v>
      </c>
      <c r="M65" s="60" t="str">
        <f aca="false">IF(59&gt;acc_TotalLines,"",IF(59&lt;=acc_SumLines,"S","P"))</f>
        <v>P</v>
      </c>
      <c r="N65" s="42" t="n">
        <f aca="false">IF(M65="","",IF(M65="S",MATCH(59,acc_SumSeq,0),MATCH(59-acc_SumLines,in_Seq,0)))</f>
        <v>54</v>
      </c>
    </row>
    <row r="66" customFormat="false" ht="15" hidden="false" customHeight="false" outlineLevel="0" collapsed="false">
      <c r="A66" s="26" t="str">
        <f aca="false">IF(M66="","",JrnPrefix&amp;"-"&amp;TEXT(WeekEnd,"yyyymmdd"))</f>
        <v>LHHC-20260920</v>
      </c>
      <c r="B66" s="58" t="n">
        <f aca="false">IF(M66="","",WeekEnd)</f>
        <v>46285</v>
      </c>
      <c r="C66" s="52" t="n">
        <f aca="false">IF(M66="","",60)</f>
        <v>60</v>
      </c>
      <c r="D66" s="26" t="str">
        <f aca="false">IF(M66="","",IF(M66="S",IF(INDEX(acc_SumAcct,N66)=MileGL,"Mileage summary","Expense summary"),"Caregiver payable"))</f>
        <v>Caregiver payable</v>
      </c>
      <c r="E66" s="40" t="str">
        <f aca="false">IF(M66="","",IF(M66="S",INDEX(acc_SumAcct,N66),APGL))</f>
        <v>2050</v>
      </c>
      <c r="F66" s="26" t="str">
        <f aca="false">IF(M66="","",IF(M66="S",INDEX(acc_SumName,N66),APGLName))</f>
        <v>Accounts Payable: Contract Caregivers</v>
      </c>
      <c r="G66" s="59" t="n">
        <f aca="false">IF(M66="","",IF(M66="S",INDEX(acc_SumAmt,N66),0))</f>
        <v>0</v>
      </c>
      <c r="H66" s="59" t="n">
        <f aca="false">IF(M66="","",IF(M66="S",0,INDEX(in_Payable,N66)))</f>
        <v>73.6</v>
      </c>
      <c r="I66" s="40" t="str">
        <f aca="false">IF(M66&lt;&gt;"P","",IFERROR(INDEX(cg_Vendor,MATCH(INDEX(in_CGID,N66),cg_ID,0)),""))</f>
        <v>V3234</v>
      </c>
      <c r="J66" s="26" t="str">
        <f aca="false">IF(M66&lt;&gt;"P","",INDEX(in_CGName,N66))</f>
        <v>Hector Rosales</v>
      </c>
      <c r="K66" s="26" t="str">
        <f aca="false">IF(M66&lt;&gt;"P","",IFERROR(INDEX(cl_Payer,MATCH(INDEX(in_ClientID,N66),cl_ID,0)),"Unassigned"))</f>
        <v>Medicaid Waiver</v>
      </c>
      <c r="L66" s="26" t="str">
        <f aca="false">IF(M66="","",IF(M66="S","Weekly caregiver pay, week ending "&amp;TEXT(WeekEnd,"m/d/yyyy"),INDEX(in_Svc,N66)&amp;" "&amp;INDEX(in_ClientID,N66)&amp;", "&amp;INDEX(in_Units,N66)&amp;" units"&amp;IF(N(INDEX(in_Miles,N66))&gt;0,", "&amp;INDEX(in_Miles,N66)&amp;" miles","")))</f>
        <v>HM CL-2009, 16 units</v>
      </c>
      <c r="M66" s="60" t="str">
        <f aca="false">IF(60&gt;acc_TotalLines,"",IF(60&lt;=acc_SumLines,"S","P"))</f>
        <v>P</v>
      </c>
      <c r="N66" s="42" t="n">
        <f aca="false">IF(M66="","",IF(M66="S",MATCH(60,acc_SumSeq,0),MATCH(60-acc_SumLines,in_Seq,0)))</f>
        <v>55</v>
      </c>
    </row>
    <row r="67" customFormat="false" ht="15" hidden="false" customHeight="false" outlineLevel="0" collapsed="false">
      <c r="A67" s="26" t="str">
        <f aca="false">IF(M67="","",JrnPrefix&amp;"-"&amp;TEXT(WeekEnd,"yyyymmdd"))</f>
        <v>LHHC-20260920</v>
      </c>
      <c r="B67" s="58" t="n">
        <f aca="false">IF(M67="","",WeekEnd)</f>
        <v>46285</v>
      </c>
      <c r="C67" s="52" t="n">
        <f aca="false">IF(M67="","",61)</f>
        <v>61</v>
      </c>
      <c r="D67" s="26" t="str">
        <f aca="false">IF(M67="","",IF(M67="S",IF(INDEX(acc_SumAcct,N67)=MileGL,"Mileage summary","Expense summary"),"Caregiver payable"))</f>
        <v>Caregiver payable</v>
      </c>
      <c r="E67" s="40" t="str">
        <f aca="false">IF(M67="","",IF(M67="S",INDEX(acc_SumAcct,N67),APGL))</f>
        <v>2050</v>
      </c>
      <c r="F67" s="26" t="str">
        <f aca="false">IF(M67="","",IF(M67="S",INDEX(acc_SumName,N67),APGLName))</f>
        <v>Accounts Payable: Contract Caregivers</v>
      </c>
      <c r="G67" s="59" t="n">
        <f aca="false">IF(M67="","",IF(M67="S",INDEX(acc_SumAmt,N67),0))</f>
        <v>0</v>
      </c>
      <c r="H67" s="59" t="n">
        <f aca="false">IF(M67="","",IF(M67="S",0,INDEX(in_Payable,N67)))</f>
        <v>151.06</v>
      </c>
      <c r="I67" s="40" t="str">
        <f aca="false">IF(M67&lt;&gt;"P","",IFERROR(INDEX(cg_Vendor,MATCH(INDEX(in_CGID,N67),cg_ID,0)),""))</f>
        <v>V3234</v>
      </c>
      <c r="J67" s="26" t="str">
        <f aca="false">IF(M67&lt;&gt;"P","",INDEX(in_CGName,N67))</f>
        <v>Hector Rosales</v>
      </c>
      <c r="K67" s="26" t="str">
        <f aca="false">IF(M67&lt;&gt;"P","",IFERROR(INDEX(cl_Payer,MATCH(INDEX(in_ClientID,N67),cl_ID,0)),"Unassigned"))</f>
        <v>Area Agency on Aging</v>
      </c>
      <c r="L67" s="26" t="str">
        <f aca="false">IF(M67="","",IF(M67="S","Weekly caregiver pay, week ending "&amp;TEXT(WeekEnd,"m/d/yyyy"),INDEX(in_Svc,N67)&amp;" "&amp;INDEX(in_ClientID,N67)&amp;", "&amp;INDEX(in_Units,N67)&amp;" units"&amp;IF(N(INDEX(in_Miles,N67))&gt;0,", "&amp;INDEX(in_Miles,N67)&amp;" miles","")))</f>
        <v>PC CL-2022, 26 units, 13 miles</v>
      </c>
      <c r="M67" s="60" t="str">
        <f aca="false">IF(61&gt;acc_TotalLines,"",IF(61&lt;=acc_SumLines,"S","P"))</f>
        <v>P</v>
      </c>
      <c r="N67" s="42" t="n">
        <f aca="false">IF(M67="","",IF(M67="S",MATCH(61,acc_SumSeq,0),MATCH(61-acc_SumLines,in_Seq,0)))</f>
        <v>56</v>
      </c>
    </row>
    <row r="68" customFormat="false" ht="15" hidden="false" customHeight="false" outlineLevel="0" collapsed="false">
      <c r="A68" s="26" t="str">
        <f aca="false">IF(M68="","",JrnPrefix&amp;"-"&amp;TEXT(WeekEnd,"yyyymmdd"))</f>
        <v>LHHC-20260920</v>
      </c>
      <c r="B68" s="58" t="n">
        <f aca="false">IF(M68="","",WeekEnd)</f>
        <v>46285</v>
      </c>
      <c r="C68" s="52" t="n">
        <f aca="false">IF(M68="","",62)</f>
        <v>62</v>
      </c>
      <c r="D68" s="26" t="str">
        <f aca="false">IF(M68="","",IF(M68="S",IF(INDEX(acc_SumAcct,N68)=MileGL,"Mileage summary","Expense summary"),"Caregiver payable"))</f>
        <v>Caregiver payable</v>
      </c>
      <c r="E68" s="40" t="str">
        <f aca="false">IF(M68="","",IF(M68="S",INDEX(acc_SumAcct,N68),APGL))</f>
        <v>2050</v>
      </c>
      <c r="F68" s="26" t="str">
        <f aca="false">IF(M68="","",IF(M68="S",INDEX(acc_SumName,N68),APGLName))</f>
        <v>Accounts Payable: Contract Caregivers</v>
      </c>
      <c r="G68" s="59" t="n">
        <f aca="false">IF(M68="","",IF(M68="S",INDEX(acc_SumAmt,N68),0))</f>
        <v>0</v>
      </c>
      <c r="H68" s="59" t="n">
        <f aca="false">IF(M68="","",IF(M68="S",0,INDEX(in_Payable,N68)))</f>
        <v>221</v>
      </c>
      <c r="I68" s="40" t="str">
        <f aca="false">IF(M68&lt;&gt;"P","",IFERROR(INDEX(cg_Vendor,MATCH(INDEX(in_CGID,N68),cg_ID,0)),""))</f>
        <v>V3223</v>
      </c>
      <c r="J68" s="26" t="str">
        <f aca="false">IF(M68&lt;&gt;"P","",INDEX(in_CGName,N68))</f>
        <v>Curtis Sampson</v>
      </c>
      <c r="K68" s="26" t="str">
        <f aca="false">IF(M68&lt;&gt;"P","",IFERROR(INDEX(cl_Payer,MATCH(INDEX(in_ClientID,N68),cl_ID,0)),"Unassigned"))</f>
        <v>Private Pay</v>
      </c>
      <c r="L68" s="26" t="str">
        <f aca="false">IF(M68="","",IF(M68="S","Weekly caregiver pay, week ending "&amp;TEXT(WeekEnd,"m/d/yyyy"),INDEX(in_Svc,N68)&amp;" "&amp;INDEX(in_ClientID,N68)&amp;", "&amp;INDEX(in_Units,N68)&amp;" units"&amp;IF(N(INDEX(in_Miles,N68))&gt;0,", "&amp;INDEX(in_Miles,N68)&amp;" miles","")))</f>
        <v>CO CL-2006, 52 units</v>
      </c>
      <c r="M68" s="60" t="str">
        <f aca="false">IF(62&gt;acc_TotalLines,"",IF(62&lt;=acc_SumLines,"S","P"))</f>
        <v>P</v>
      </c>
      <c r="N68" s="42" t="n">
        <f aca="false">IF(M68="","",IF(M68="S",MATCH(62,acc_SumSeq,0),MATCH(62-acc_SumLines,in_Seq,0)))</f>
        <v>57</v>
      </c>
    </row>
    <row r="69" customFormat="false" ht="15" hidden="false" customHeight="false" outlineLevel="0" collapsed="false">
      <c r="A69" s="26" t="str">
        <f aca="false">IF(M69="","",JrnPrefix&amp;"-"&amp;TEXT(WeekEnd,"yyyymmdd"))</f>
        <v>LHHC-20260920</v>
      </c>
      <c r="B69" s="58" t="n">
        <f aca="false">IF(M69="","",WeekEnd)</f>
        <v>46285</v>
      </c>
      <c r="C69" s="52" t="n">
        <f aca="false">IF(M69="","",63)</f>
        <v>63</v>
      </c>
      <c r="D69" s="26" t="str">
        <f aca="false">IF(M69="","",IF(M69="S",IF(INDEX(acc_SumAcct,N69)=MileGL,"Mileage summary","Expense summary"),"Caregiver payable"))</f>
        <v>Caregiver payable</v>
      </c>
      <c r="E69" s="40" t="str">
        <f aca="false">IF(M69="","",IF(M69="S",INDEX(acc_SumAcct,N69),APGL))</f>
        <v>2050</v>
      </c>
      <c r="F69" s="26" t="str">
        <f aca="false">IF(M69="","",IF(M69="S",INDEX(acc_SumName,N69),APGLName))</f>
        <v>Accounts Payable: Contract Caregivers</v>
      </c>
      <c r="G69" s="59" t="n">
        <f aca="false">IF(M69="","",IF(M69="S",INDEX(acc_SumAmt,N69),0))</f>
        <v>0</v>
      </c>
      <c r="H69" s="59" t="n">
        <f aca="false">IF(M69="","",IF(M69="S",0,INDEX(in_Payable,N69)))</f>
        <v>286.78</v>
      </c>
      <c r="I69" s="40" t="str">
        <f aca="false">IF(M69&lt;&gt;"P","",IFERROR(INDEX(cg_Vendor,MATCH(INDEX(in_CGID,N69),cg_ID,0)),""))</f>
        <v>V3223</v>
      </c>
      <c r="J69" s="26" t="str">
        <f aca="false">IF(M69&lt;&gt;"P","",INDEX(in_CGName,N69))</f>
        <v>Curtis Sampson</v>
      </c>
      <c r="K69" s="26" t="str">
        <f aca="false">IF(M69&lt;&gt;"P","",IFERROR(INDEX(cl_Payer,MATCH(INDEX(in_ClientID,N69),cl_ID,0)),"Unassigned"))</f>
        <v>Medicaid Waiver</v>
      </c>
      <c r="L69" s="26" t="str">
        <f aca="false">IF(M69="","",IF(M69="S","Weekly caregiver pay, week ending "&amp;TEXT(WeekEnd,"m/d/yyyy"),INDEX(in_Svc,N69)&amp;" "&amp;INDEX(in_ClientID,N69)&amp;", "&amp;INDEX(in_Units,N69)&amp;" units"&amp;IF(N(INDEX(in_Miles,N69))&gt;0,", "&amp;INDEX(in_Miles,N69)&amp;" miles","")))</f>
        <v>PC CL-2016, 50 units, 19 miles</v>
      </c>
      <c r="M69" s="60" t="str">
        <f aca="false">IF(63&gt;acc_TotalLines,"",IF(63&lt;=acc_SumLines,"S","P"))</f>
        <v>P</v>
      </c>
      <c r="N69" s="42" t="n">
        <f aca="false">IF(M69="","",IF(M69="S",MATCH(63,acc_SumSeq,0),MATCH(63-acc_SumLines,in_Seq,0)))</f>
        <v>58</v>
      </c>
    </row>
    <row r="70" customFormat="false" ht="15" hidden="false" customHeight="false" outlineLevel="0" collapsed="false">
      <c r="A70" s="26" t="str">
        <f aca="false">IF(M70="","",JrnPrefix&amp;"-"&amp;TEXT(WeekEnd,"yyyymmdd"))</f>
        <v>LHHC-20260920</v>
      </c>
      <c r="B70" s="58" t="n">
        <f aca="false">IF(M70="","",WeekEnd)</f>
        <v>46285</v>
      </c>
      <c r="C70" s="52" t="n">
        <f aca="false">IF(M70="","",64)</f>
        <v>64</v>
      </c>
      <c r="D70" s="26" t="str">
        <f aca="false">IF(M70="","",IF(M70="S",IF(INDEX(acc_SumAcct,N70)=MileGL,"Mileage summary","Expense summary"),"Caregiver payable"))</f>
        <v>Caregiver payable</v>
      </c>
      <c r="E70" s="40" t="str">
        <f aca="false">IF(M70="","",IF(M70="S",INDEX(acc_SumAcct,N70),APGL))</f>
        <v>2050</v>
      </c>
      <c r="F70" s="26" t="str">
        <f aca="false">IF(M70="","",IF(M70="S",INDEX(acc_SumName,N70),APGLName))</f>
        <v>Accounts Payable: Contract Caregivers</v>
      </c>
      <c r="G70" s="59" t="n">
        <f aca="false">IF(M70="","",IF(M70="S",INDEX(acc_SumAmt,N70),0))</f>
        <v>0</v>
      </c>
      <c r="H70" s="59" t="n">
        <f aca="false">IF(M70="","",IF(M70="S",0,INDEX(in_Payable,N70)))</f>
        <v>234.88</v>
      </c>
      <c r="I70" s="40" t="str">
        <f aca="false">IF(M70&lt;&gt;"P","",IFERROR(INDEX(cg_Vendor,MATCH(INDEX(in_CGID,N70),cg_ID,0)),""))</f>
        <v>V3223</v>
      </c>
      <c r="J70" s="26" t="str">
        <f aca="false">IF(M70&lt;&gt;"P","",INDEX(in_CGName,N70))</f>
        <v>Curtis Sampson</v>
      </c>
      <c r="K70" s="26" t="str">
        <f aca="false">IF(M70&lt;&gt;"P","",IFERROR(INDEX(cl_Payer,MATCH(INDEX(in_ClientID,N70),cl_ID,0)),"Unassigned"))</f>
        <v>Area Agency on Aging</v>
      </c>
      <c r="L70" s="26" t="str">
        <f aca="false">IF(M70="","",IF(M70="S","Weekly caregiver pay, week ending "&amp;TEXT(WeekEnd,"m/d/yyyy"),INDEX(in_Svc,N70)&amp;" "&amp;INDEX(in_ClientID,N70)&amp;", "&amp;INDEX(in_Units,N70)&amp;" units"&amp;IF(N(INDEX(in_Miles,N70))&gt;0,", "&amp;INDEX(in_Miles,N70)&amp;" miles","")))</f>
        <v>PC CL-2005, 40 units, 24 miles</v>
      </c>
      <c r="M70" s="60" t="str">
        <f aca="false">IF(64&gt;acc_TotalLines,"",IF(64&lt;=acc_SumLines,"S","P"))</f>
        <v>P</v>
      </c>
      <c r="N70" s="42" t="n">
        <f aca="false">IF(M70="","",IF(M70="S",MATCH(64,acc_SumSeq,0),MATCH(64-acc_SumLines,in_Seq,0)))</f>
        <v>59</v>
      </c>
    </row>
    <row r="71" customFormat="false" ht="15" hidden="false" customHeight="false" outlineLevel="0" collapsed="false">
      <c r="A71" s="26" t="str">
        <f aca="false">IF(M71="","",JrnPrefix&amp;"-"&amp;TEXT(WeekEnd,"yyyymmdd"))</f>
        <v>LHHC-20260920</v>
      </c>
      <c r="B71" s="58" t="n">
        <f aca="false">IF(M71="","",WeekEnd)</f>
        <v>46285</v>
      </c>
      <c r="C71" s="52" t="n">
        <f aca="false">IF(M71="","",65)</f>
        <v>65</v>
      </c>
      <c r="D71" s="26" t="str">
        <f aca="false">IF(M71="","",IF(M71="S",IF(INDEX(acc_SumAcct,N71)=MileGL,"Mileage summary","Expense summary"),"Caregiver payable"))</f>
        <v>Caregiver payable</v>
      </c>
      <c r="E71" s="40" t="str">
        <f aca="false">IF(M71="","",IF(M71="S",INDEX(acc_SumAcct,N71),APGL))</f>
        <v>2050</v>
      </c>
      <c r="F71" s="26" t="str">
        <f aca="false">IF(M71="","",IF(M71="S",INDEX(acc_SumName,N71),APGLName))</f>
        <v>Accounts Payable: Contract Caregivers</v>
      </c>
      <c r="G71" s="59" t="n">
        <f aca="false">IF(M71="","",IF(M71="S",INDEX(acc_SumAmt,N71),0))</f>
        <v>0</v>
      </c>
      <c r="H71" s="59" t="n">
        <f aca="false">IF(M71="","",IF(M71="S",0,INDEX(in_Payable,N71)))</f>
        <v>242</v>
      </c>
      <c r="I71" s="40" t="str">
        <f aca="false">IF(M71&lt;&gt;"P","",IFERROR(INDEX(cg_Vendor,MATCH(INDEX(in_CGID,N71),cg_ID,0)),""))</f>
        <v>V3219</v>
      </c>
      <c r="J71" s="26" t="str">
        <f aca="false">IF(M71&lt;&gt;"P","",INDEX(in_CGName,N71))</f>
        <v>Naomi Satterfield</v>
      </c>
      <c r="K71" s="26" t="str">
        <f aca="false">IF(M71&lt;&gt;"P","",IFERROR(INDEX(cl_Payer,MATCH(INDEX(in_ClientID,N71),cl_ID,0)),"Unassigned"))</f>
        <v>Medicaid Waiver</v>
      </c>
      <c r="L71" s="26" t="str">
        <f aca="false">IF(M71="","",IF(M71="S","Weekly caregiver pay, week ending "&amp;TEXT(WeekEnd,"m/d/yyyy"),INDEX(in_Svc,N71)&amp;" "&amp;INDEX(in_ClientID,N71)&amp;", "&amp;INDEX(in_Units,N71)&amp;" units"&amp;IF(N(INDEX(in_Miles,N71))&gt;0,", "&amp;INDEX(in_Miles,N71)&amp;" miles","")))</f>
        <v>PC CL-2020, 44 units</v>
      </c>
      <c r="M71" s="60" t="str">
        <f aca="false">IF(65&gt;acc_TotalLines,"",IF(65&lt;=acc_SumLines,"S","P"))</f>
        <v>P</v>
      </c>
      <c r="N71" s="42" t="n">
        <f aca="false">IF(M71="","",IF(M71="S",MATCH(65,acc_SumSeq,0),MATCH(65-acc_SumLines,in_Seq,0)))</f>
        <v>60</v>
      </c>
    </row>
    <row r="72" customFormat="false" ht="15" hidden="false" customHeight="false" outlineLevel="0" collapsed="false">
      <c r="A72" s="26" t="str">
        <f aca="false">IF(M72="","",JrnPrefix&amp;"-"&amp;TEXT(WeekEnd,"yyyymmdd"))</f>
        <v>LHHC-20260920</v>
      </c>
      <c r="B72" s="58" t="n">
        <f aca="false">IF(M72="","",WeekEnd)</f>
        <v>46285</v>
      </c>
      <c r="C72" s="52" t="n">
        <f aca="false">IF(M72="","",66)</f>
        <v>66</v>
      </c>
      <c r="D72" s="26" t="str">
        <f aca="false">IF(M72="","",IF(M72="S",IF(INDEX(acc_SumAcct,N72)=MileGL,"Mileage summary","Expense summary"),"Caregiver payable"))</f>
        <v>Caregiver payable</v>
      </c>
      <c r="E72" s="40" t="str">
        <f aca="false">IF(M72="","",IF(M72="S",INDEX(acc_SumAcct,N72),APGL))</f>
        <v>2050</v>
      </c>
      <c r="F72" s="26" t="str">
        <f aca="false">IF(M72="","",IF(M72="S",INDEX(acc_SumName,N72),APGLName))</f>
        <v>Accounts Payable: Contract Caregivers</v>
      </c>
      <c r="G72" s="59" t="n">
        <f aca="false">IF(M72="","",IF(M72="S",INDEX(acc_SumAmt,N72),0))</f>
        <v>0</v>
      </c>
      <c r="H72" s="59" t="n">
        <f aca="false">IF(M72="","",IF(M72="S",0,INDEX(in_Payable,N72)))</f>
        <v>73.78</v>
      </c>
      <c r="I72" s="40" t="str">
        <f aca="false">IF(M72&lt;&gt;"P","",IFERROR(INDEX(cg_Vendor,MATCH(INDEX(in_CGID,N72),cg_ID,0)),""))</f>
        <v>V3219</v>
      </c>
      <c r="J72" s="26" t="str">
        <f aca="false">IF(M72&lt;&gt;"P","",INDEX(in_CGName,N72))</f>
        <v>Naomi Satterfield</v>
      </c>
      <c r="K72" s="26" t="str">
        <f aca="false">IF(M72&lt;&gt;"P","",IFERROR(INDEX(cl_Payer,MATCH(INDEX(in_ClientID,N72),cl_ID,0)),"Unassigned"))</f>
        <v>Private Pay</v>
      </c>
      <c r="L72" s="26" t="str">
        <f aca="false">IF(M72="","",IF(M72="S","Weekly caregiver pay, week ending "&amp;TEXT(WeekEnd,"m/d/yyyy"),INDEX(in_Svc,N72)&amp;" "&amp;INDEX(in_ClientID,N72)&amp;", "&amp;INDEX(in_Units,N72)&amp;" units"&amp;IF(N(INDEX(in_Miles,N72))&gt;0,", "&amp;INDEX(in_Miles,N72)&amp;" miles","")))</f>
        <v>NV CL-2006, 1 units, 19 miles</v>
      </c>
      <c r="M72" s="60" t="str">
        <f aca="false">IF(66&gt;acc_TotalLines,"",IF(66&lt;=acc_SumLines,"S","P"))</f>
        <v>P</v>
      </c>
      <c r="N72" s="42" t="n">
        <f aca="false">IF(M72="","",IF(M72="S",MATCH(66,acc_SumSeq,0),MATCH(66-acc_SumLines,in_Seq,0)))</f>
        <v>61</v>
      </c>
    </row>
    <row r="73" customFormat="false" ht="15" hidden="false" customHeight="false" outlineLevel="0" collapsed="false">
      <c r="A73" s="26" t="str">
        <f aca="false">IF(M73="","",JrnPrefix&amp;"-"&amp;TEXT(WeekEnd,"yyyymmdd"))</f>
        <v>LHHC-20260920</v>
      </c>
      <c r="B73" s="58" t="n">
        <f aca="false">IF(M73="","",WeekEnd)</f>
        <v>46285</v>
      </c>
      <c r="C73" s="52" t="n">
        <f aca="false">IF(M73="","",67)</f>
        <v>67</v>
      </c>
      <c r="D73" s="26" t="str">
        <f aca="false">IF(M73="","",IF(M73="S",IF(INDEX(acc_SumAcct,N73)=MileGL,"Mileage summary","Expense summary"),"Caregiver payable"))</f>
        <v>Caregiver payable</v>
      </c>
      <c r="E73" s="40" t="str">
        <f aca="false">IF(M73="","",IF(M73="S",INDEX(acc_SumAcct,N73),APGL))</f>
        <v>2050</v>
      </c>
      <c r="F73" s="26" t="str">
        <f aca="false">IF(M73="","",IF(M73="S",INDEX(acc_SumName,N73),APGLName))</f>
        <v>Accounts Payable: Contract Caregivers</v>
      </c>
      <c r="G73" s="59" t="n">
        <f aca="false">IF(M73="","",IF(M73="S",INDEX(acc_SumAmt,N73),0))</f>
        <v>0</v>
      </c>
      <c r="H73" s="59" t="n">
        <f aca="false">IF(M73="","",IF(M73="S",0,INDEX(in_Payable,N73)))</f>
        <v>173.4</v>
      </c>
      <c r="I73" s="40" t="str">
        <f aca="false">IF(M73&lt;&gt;"P","",IFERROR(INDEX(cg_Vendor,MATCH(INDEX(in_CGID,N73),cg_ID,0)),""))</f>
        <v>V3236</v>
      </c>
      <c r="J73" s="26" t="str">
        <f aca="false">IF(M73&lt;&gt;"P","",INDEX(in_CGName,N73))</f>
        <v>Josefina Simmons</v>
      </c>
      <c r="K73" s="26" t="str">
        <f aca="false">IF(M73&lt;&gt;"P","",IFERROR(INDEX(cl_Payer,MATCH(INDEX(in_ClientID,N73),cl_ID,0)),"Unassigned"))</f>
        <v>Medicaid Waiver</v>
      </c>
      <c r="L73" s="26" t="str">
        <f aca="false">IF(M73="","",IF(M73="S","Weekly caregiver pay, week ending "&amp;TEXT(WeekEnd,"m/d/yyyy"),INDEX(in_Svc,N73)&amp;" "&amp;INDEX(in_ClientID,N73)&amp;", "&amp;INDEX(in_Units,N73)&amp;" units"&amp;IF(N(INDEX(in_Miles,N73))&gt;0,", "&amp;INDEX(in_Miles,N73)&amp;" miles","")))</f>
        <v>RS CL-2042, 34 units</v>
      </c>
      <c r="M73" s="60" t="str">
        <f aca="false">IF(67&gt;acc_TotalLines,"",IF(67&lt;=acc_SumLines,"S","P"))</f>
        <v>P</v>
      </c>
      <c r="N73" s="42" t="n">
        <f aca="false">IF(M73="","",IF(M73="S",MATCH(67,acc_SumSeq,0),MATCH(67-acc_SumLines,in_Seq,0)))</f>
        <v>62</v>
      </c>
    </row>
    <row r="74" customFormat="false" ht="15" hidden="false" customHeight="false" outlineLevel="0" collapsed="false">
      <c r="A74" s="26" t="str">
        <f aca="false">IF(M74="","",JrnPrefix&amp;"-"&amp;TEXT(WeekEnd,"yyyymmdd"))</f>
        <v>LHHC-20260920</v>
      </c>
      <c r="B74" s="58" t="n">
        <f aca="false">IF(M74="","",WeekEnd)</f>
        <v>46285</v>
      </c>
      <c r="C74" s="52" t="n">
        <f aca="false">IF(M74="","",68)</f>
        <v>68</v>
      </c>
      <c r="D74" s="26" t="str">
        <f aca="false">IF(M74="","",IF(M74="S",IF(INDEX(acc_SumAcct,N74)=MileGL,"Mileage summary","Expense summary"),"Caregiver payable"))</f>
        <v>Caregiver payable</v>
      </c>
      <c r="E74" s="40" t="str">
        <f aca="false">IF(M74="","",IF(M74="S",INDEX(acc_SumAcct,N74),APGL))</f>
        <v>2050</v>
      </c>
      <c r="F74" s="26" t="str">
        <f aca="false">IF(M74="","",IF(M74="S",INDEX(acc_SumName,N74),APGLName))</f>
        <v>Accounts Payable: Contract Caregivers</v>
      </c>
      <c r="G74" s="59" t="n">
        <f aca="false">IF(M74="","",IF(M74="S",INDEX(acc_SumAmt,N74),0))</f>
        <v>0</v>
      </c>
      <c r="H74" s="59" t="n">
        <f aca="false">IF(M74="","",IF(M74="S",0,INDEX(in_Payable,N74)))</f>
        <v>216.68</v>
      </c>
      <c r="I74" s="40" t="str">
        <f aca="false">IF(M74&lt;&gt;"P","",IFERROR(INDEX(cg_Vendor,MATCH(INDEX(in_CGID,N74),cg_ID,0)),""))</f>
        <v>V3236</v>
      </c>
      <c r="J74" s="26" t="str">
        <f aca="false">IF(M74&lt;&gt;"P","",INDEX(in_CGName,N74))</f>
        <v>Josefina Simmons</v>
      </c>
      <c r="K74" s="26" t="str">
        <f aca="false">IF(M74&lt;&gt;"P","",IFERROR(INDEX(cl_Payer,MATCH(INDEX(in_ClientID,N74),cl_ID,0)),"Unassigned"))</f>
        <v>VA Community Care</v>
      </c>
      <c r="L74" s="26" t="str">
        <f aca="false">IF(M74="","",IF(M74="S","Weekly caregiver pay, week ending "&amp;TEXT(WeekEnd,"m/d/yyyy"),INDEX(in_Svc,N74)&amp;" "&amp;INDEX(in_ClientID,N74)&amp;", "&amp;INDEX(in_Units,N74)&amp;" units"&amp;IF(N(INDEX(in_Miles,N74))&gt;0,", "&amp;INDEX(in_Miles,N74)&amp;" miles","")))</f>
        <v>RS CL-2027, 42 units, 4 miles</v>
      </c>
      <c r="M74" s="60" t="str">
        <f aca="false">IF(68&gt;acc_TotalLines,"",IF(68&lt;=acc_SumLines,"S","P"))</f>
        <v>P</v>
      </c>
      <c r="N74" s="42" t="n">
        <f aca="false">IF(M74="","",IF(M74="S",MATCH(68,acc_SumSeq,0),MATCH(68-acc_SumLines,in_Seq,0)))</f>
        <v>63</v>
      </c>
    </row>
    <row r="75" customFormat="false" ht="15" hidden="false" customHeight="false" outlineLevel="0" collapsed="false">
      <c r="A75" s="26" t="str">
        <f aca="false">IF(M75="","",JrnPrefix&amp;"-"&amp;TEXT(WeekEnd,"yyyymmdd"))</f>
        <v>LHHC-20260920</v>
      </c>
      <c r="B75" s="58" t="n">
        <f aca="false">IF(M75="","",WeekEnd)</f>
        <v>46285</v>
      </c>
      <c r="C75" s="52" t="n">
        <f aca="false">IF(M75="","",69)</f>
        <v>69</v>
      </c>
      <c r="D75" s="26" t="str">
        <f aca="false">IF(M75="","",IF(M75="S",IF(INDEX(acc_SumAcct,N75)=MileGL,"Mileage summary","Expense summary"),"Caregiver payable"))</f>
        <v>Caregiver payable</v>
      </c>
      <c r="E75" s="40" t="str">
        <f aca="false">IF(M75="","",IF(M75="S",INDEX(acc_SumAcct,N75),APGL))</f>
        <v>2050</v>
      </c>
      <c r="F75" s="26" t="str">
        <f aca="false">IF(M75="","",IF(M75="S",INDEX(acc_SumName,N75),APGLName))</f>
        <v>Accounts Payable: Contract Caregivers</v>
      </c>
      <c r="G75" s="59" t="n">
        <f aca="false">IF(M75="","",IF(M75="S",INDEX(acc_SumAmt,N75),0))</f>
        <v>0</v>
      </c>
      <c r="H75" s="59" t="n">
        <f aca="false">IF(M75="","",IF(M75="S",0,INDEX(in_Payable,N75)))</f>
        <v>198</v>
      </c>
      <c r="I75" s="40" t="str">
        <f aca="false">IF(M75&lt;&gt;"P","",IFERROR(INDEX(cg_Vendor,MATCH(INDEX(in_CGID,N75),cg_ID,0)),""))</f>
        <v>V3229</v>
      </c>
      <c r="J75" s="26" t="str">
        <f aca="false">IF(M75&lt;&gt;"P","",INDEX(in_CGName,N75))</f>
        <v>Brianna Tolliver</v>
      </c>
      <c r="K75" s="26" t="str">
        <f aca="false">IF(M75&lt;&gt;"P","",IFERROR(INDEX(cl_Payer,MATCH(INDEX(in_ClientID,N75),cl_ID,0)),"Unassigned"))</f>
        <v>Private Pay</v>
      </c>
      <c r="L75" s="26" t="str">
        <f aca="false">IF(M75="","",IF(M75="S","Weekly caregiver pay, week ending "&amp;TEXT(WeekEnd,"m/d/yyyy"),INDEX(in_Svc,N75)&amp;" "&amp;INDEX(in_ClientID,N75)&amp;", "&amp;INDEX(in_Units,N75)&amp;" units"&amp;IF(N(INDEX(in_Miles,N75))&gt;0,", "&amp;INDEX(in_Miles,N75)&amp;" miles","")))</f>
        <v>PC CL-2054, 36 units</v>
      </c>
      <c r="M75" s="60" t="str">
        <f aca="false">IF(69&gt;acc_TotalLines,"",IF(69&lt;=acc_SumLines,"S","P"))</f>
        <v>P</v>
      </c>
      <c r="N75" s="42" t="n">
        <f aca="false">IF(M75="","",IF(M75="S",MATCH(69,acc_SumSeq,0),MATCH(69-acc_SumLines,in_Seq,0)))</f>
        <v>64</v>
      </c>
    </row>
    <row r="76" customFormat="false" ht="15" hidden="false" customHeight="false" outlineLevel="0" collapsed="false">
      <c r="A76" s="26" t="str">
        <f aca="false">IF(M76="","",JrnPrefix&amp;"-"&amp;TEXT(WeekEnd,"yyyymmdd"))</f>
        <v>LHHC-20260920</v>
      </c>
      <c r="B76" s="58" t="n">
        <f aca="false">IF(M76="","",WeekEnd)</f>
        <v>46285</v>
      </c>
      <c r="C76" s="52" t="n">
        <f aca="false">IF(M76="","",70)</f>
        <v>70</v>
      </c>
      <c r="D76" s="26" t="str">
        <f aca="false">IF(M76="","",IF(M76="S",IF(INDEX(acc_SumAcct,N76)=MileGL,"Mileage summary","Expense summary"),"Caregiver payable"))</f>
        <v>Caregiver payable</v>
      </c>
      <c r="E76" s="40" t="str">
        <f aca="false">IF(M76="","",IF(M76="S",INDEX(acc_SumAcct,N76),APGL))</f>
        <v>2050</v>
      </c>
      <c r="F76" s="26" t="str">
        <f aca="false">IF(M76="","",IF(M76="S",INDEX(acc_SumName,N76),APGLName))</f>
        <v>Accounts Payable: Contract Caregivers</v>
      </c>
      <c r="G76" s="59" t="n">
        <f aca="false">IF(M76="","",IF(M76="S",INDEX(acc_SumAmt,N76),0))</f>
        <v>0</v>
      </c>
      <c r="H76" s="59" t="n">
        <f aca="false">IF(M76="","",IF(M76="S",0,INDEX(in_Payable,N76)))</f>
        <v>181.74</v>
      </c>
      <c r="I76" s="40" t="str">
        <f aca="false">IF(M76&lt;&gt;"P","",IFERROR(INDEX(cg_Vendor,MATCH(INDEX(in_CGID,N76),cg_ID,0)),""))</f>
        <v>V3229</v>
      </c>
      <c r="J76" s="26" t="str">
        <f aca="false">IF(M76&lt;&gt;"P","",INDEX(in_CGName,N76))</f>
        <v>Brianna Tolliver</v>
      </c>
      <c r="K76" s="26" t="str">
        <f aca="false">IF(M76&lt;&gt;"P","",IFERROR(INDEX(cl_Payer,MATCH(INDEX(in_ClientID,N76),cl_ID,0)),"Unassigned"))</f>
        <v>Medicaid Waiver</v>
      </c>
      <c r="L76" s="26" t="str">
        <f aca="false">IF(M76="","",IF(M76="S","Weekly caregiver pay, week ending "&amp;TEXT(WeekEnd,"m/d/yyyy"),INDEX(in_Svc,N76)&amp;" "&amp;INDEX(in_ClientID,N76)&amp;", "&amp;INDEX(in_Units,N76)&amp;" units"&amp;IF(N(INDEX(in_Miles,N76))&gt;0,", "&amp;INDEX(in_Miles,N76)&amp;" miles","")))</f>
        <v>PC CL-2008, 30 units, 27 miles</v>
      </c>
      <c r="M76" s="60" t="str">
        <f aca="false">IF(70&gt;acc_TotalLines,"",IF(70&lt;=acc_SumLines,"S","P"))</f>
        <v>P</v>
      </c>
      <c r="N76" s="42" t="n">
        <f aca="false">IF(M76="","",IF(M76="S",MATCH(70,acc_SumSeq,0),MATCH(70-acc_SumLines,in_Seq,0)))</f>
        <v>65</v>
      </c>
    </row>
    <row r="77" customFormat="false" ht="15" hidden="false" customHeight="false" outlineLevel="0" collapsed="false">
      <c r="A77" s="26" t="str">
        <f aca="false">IF(M77="","",JrnPrefix&amp;"-"&amp;TEXT(WeekEnd,"yyyymmdd"))</f>
        <v>LHHC-20260920</v>
      </c>
      <c r="B77" s="58" t="n">
        <f aca="false">IF(M77="","",WeekEnd)</f>
        <v>46285</v>
      </c>
      <c r="C77" s="52" t="n">
        <f aca="false">IF(M77="","",71)</f>
        <v>71</v>
      </c>
      <c r="D77" s="26" t="str">
        <f aca="false">IF(M77="","",IF(M77="S",IF(INDEX(acc_SumAcct,N77)=MileGL,"Mileage summary","Expense summary"),"Caregiver payable"))</f>
        <v>Caregiver payable</v>
      </c>
      <c r="E77" s="40" t="str">
        <f aca="false">IF(M77="","",IF(M77="S",INDEX(acc_SumAcct,N77),APGL))</f>
        <v>2050</v>
      </c>
      <c r="F77" s="26" t="str">
        <f aca="false">IF(M77="","",IF(M77="S",INDEX(acc_SumName,N77),APGLName))</f>
        <v>Accounts Payable: Contract Caregivers</v>
      </c>
      <c r="G77" s="59" t="n">
        <f aca="false">IF(M77="","",IF(M77="S",INDEX(acc_SumAmt,N77),0))</f>
        <v>0</v>
      </c>
      <c r="H77" s="59" t="n">
        <f aca="false">IF(M77="","",IF(M77="S",0,INDEX(in_Payable,N77)))</f>
        <v>168.94</v>
      </c>
      <c r="I77" s="40" t="str">
        <f aca="false">IF(M77&lt;&gt;"P","",IFERROR(INDEX(cg_Vendor,MATCH(INDEX(in_CGID,N77),cg_ID,0)),""))</f>
        <v>V3240</v>
      </c>
      <c r="J77" s="26" t="str">
        <f aca="false">IF(M77&lt;&gt;"P","",INDEX(in_CGName,N77))</f>
        <v>Yolanda Vance</v>
      </c>
      <c r="K77" s="26" t="str">
        <f aca="false">IF(M77&lt;&gt;"P","",IFERROR(INDEX(cl_Payer,MATCH(INDEX(in_ClientID,N77),cl_ID,0)),"Unassigned"))</f>
        <v>Medicaid Waiver</v>
      </c>
      <c r="L77" s="26" t="str">
        <f aca="false">IF(M77="","",IF(M77="S","Weekly caregiver pay, week ending "&amp;TEXT(WeekEnd,"m/d/yyyy"),INDEX(in_Svc,N77)&amp;" "&amp;INDEX(in_ClientID,N77)&amp;", "&amp;INDEX(in_Units,N77)&amp;" units"&amp;IF(N(INDEX(in_Miles,N77))&gt;0,", "&amp;INDEX(in_Miles,N77)&amp;" miles","")))</f>
        <v>CO CL-2016, 38 units, 12 miles</v>
      </c>
      <c r="M77" s="60" t="str">
        <f aca="false">IF(71&gt;acc_TotalLines,"",IF(71&lt;=acc_SumLines,"S","P"))</f>
        <v>P</v>
      </c>
      <c r="N77" s="42" t="n">
        <f aca="false">IF(M77="","",IF(M77="S",MATCH(71,acc_SumSeq,0),MATCH(71-acc_SumLines,in_Seq,0)))</f>
        <v>66</v>
      </c>
    </row>
    <row r="78" customFormat="false" ht="15" hidden="false" customHeight="false" outlineLevel="0" collapsed="false">
      <c r="A78" s="26" t="str">
        <f aca="false">IF(M78="","",JrnPrefix&amp;"-"&amp;TEXT(WeekEnd,"yyyymmdd"))</f>
        <v>LHHC-20260920</v>
      </c>
      <c r="B78" s="58" t="n">
        <f aca="false">IF(M78="","",WeekEnd)</f>
        <v>46285</v>
      </c>
      <c r="C78" s="52" t="n">
        <f aca="false">IF(M78="","",72)</f>
        <v>72</v>
      </c>
      <c r="D78" s="26" t="str">
        <f aca="false">IF(M78="","",IF(M78="S",IF(INDEX(acc_SumAcct,N78)=MileGL,"Mileage summary","Expense summary"),"Caregiver payable"))</f>
        <v>Caregiver payable</v>
      </c>
      <c r="E78" s="40" t="str">
        <f aca="false">IF(M78="","",IF(M78="S",INDEX(acc_SumAcct,N78),APGL))</f>
        <v>2050</v>
      </c>
      <c r="F78" s="26" t="str">
        <f aca="false">IF(M78="","",IF(M78="S",INDEX(acc_SumName,N78),APGLName))</f>
        <v>Accounts Payable: Contract Caregivers</v>
      </c>
      <c r="G78" s="59" t="n">
        <f aca="false">IF(M78="","",IF(M78="S",INDEX(acc_SumAmt,N78),0))</f>
        <v>0</v>
      </c>
      <c r="H78" s="59" t="n">
        <f aca="false">IF(M78="","",IF(M78="S",0,INDEX(in_Payable,N78)))</f>
        <v>184.68</v>
      </c>
      <c r="I78" s="40" t="str">
        <f aca="false">IF(M78&lt;&gt;"P","",IFERROR(INDEX(cg_Vendor,MATCH(INDEX(in_CGID,N78),cg_ID,0)),""))</f>
        <v>V3239</v>
      </c>
      <c r="J78" s="26" t="str">
        <f aca="false">IF(M78&lt;&gt;"P","",INDEX(in_CGName,N78))</f>
        <v>Brianna Waddell</v>
      </c>
      <c r="K78" s="26" t="str">
        <f aca="false">IF(M78&lt;&gt;"P","",IFERROR(INDEX(cl_Payer,MATCH(INDEX(in_ClientID,N78),cl_ID,0)),"Unassigned"))</f>
        <v>Medicaid Waiver</v>
      </c>
      <c r="L78" s="26" t="str">
        <f aca="false">IF(M78="","",IF(M78="S","Weekly caregiver pay, week ending "&amp;TEXT(WeekEnd,"m/d/yyyy"),INDEX(in_Svc,N78)&amp;" "&amp;INDEX(in_ClientID,N78)&amp;", "&amp;INDEX(in_Units,N78)&amp;" units"&amp;IF(N(INDEX(in_Miles,N78))&gt;0,", "&amp;INDEX(in_Miles,N78)&amp;" miles","")))</f>
        <v>PC CL-2009, 32 units, 14 miles</v>
      </c>
      <c r="M78" s="60" t="str">
        <f aca="false">IF(72&gt;acc_TotalLines,"",IF(72&lt;=acc_SumLines,"S","P"))</f>
        <v>P</v>
      </c>
      <c r="N78" s="42" t="n">
        <f aca="false">IF(M78="","",IF(M78="S",MATCH(72,acc_SumSeq,0),MATCH(72-acc_SumLines,in_Seq,0)))</f>
        <v>67</v>
      </c>
    </row>
    <row r="79" customFormat="false" ht="15" hidden="false" customHeight="false" outlineLevel="0" collapsed="false">
      <c r="A79" s="26" t="str">
        <f aca="false">IF(M79="","",JrnPrefix&amp;"-"&amp;TEXT(WeekEnd,"yyyymmdd"))</f>
        <v>LHHC-20260920</v>
      </c>
      <c r="B79" s="58" t="n">
        <f aca="false">IF(M79="","",WeekEnd)</f>
        <v>46285</v>
      </c>
      <c r="C79" s="52" t="n">
        <f aca="false">IF(M79="","",73)</f>
        <v>73</v>
      </c>
      <c r="D79" s="26" t="str">
        <f aca="false">IF(M79="","",IF(M79="S",IF(INDEX(acc_SumAcct,N79)=MileGL,"Mileage summary","Expense summary"),"Caregiver payable"))</f>
        <v>Caregiver payable</v>
      </c>
      <c r="E79" s="40" t="str">
        <f aca="false">IF(M79="","",IF(M79="S",INDEX(acc_SumAcct,N79),APGL))</f>
        <v>2050</v>
      </c>
      <c r="F79" s="26" t="str">
        <f aca="false">IF(M79="","",IF(M79="S",INDEX(acc_SumName,N79),APGLName))</f>
        <v>Accounts Payable: Contract Caregivers</v>
      </c>
      <c r="G79" s="59" t="n">
        <f aca="false">IF(M79="","",IF(M79="S",INDEX(acc_SumAmt,N79),0))</f>
        <v>0</v>
      </c>
      <c r="H79" s="59" t="n">
        <f aca="false">IF(M79="","",IF(M79="S",0,INDEX(in_Payable,N79)))</f>
        <v>341</v>
      </c>
      <c r="I79" s="40" t="str">
        <f aca="false">IF(M79&lt;&gt;"P","",IFERROR(INDEX(cg_Vendor,MATCH(INDEX(in_CGID,N79),cg_ID,0)),""))</f>
        <v>V3239</v>
      </c>
      <c r="J79" s="26" t="str">
        <f aca="false">IF(M79&lt;&gt;"P","",INDEX(in_CGName,N79))</f>
        <v>Brianna Waddell</v>
      </c>
      <c r="K79" s="26" t="str">
        <f aca="false">IF(M79&lt;&gt;"P","",IFERROR(INDEX(cl_Payer,MATCH(INDEX(in_ClientID,N79),cl_ID,0)),"Unassigned"))</f>
        <v>VA Community Care</v>
      </c>
      <c r="L79" s="26" t="str">
        <f aca="false">IF(M79="","",IF(M79="S","Weekly caregiver pay, week ending "&amp;TEXT(WeekEnd,"m/d/yyyy"),INDEX(in_Svc,N79)&amp;" "&amp;INDEX(in_ClientID,N79)&amp;", "&amp;INDEX(in_Units,N79)&amp;" units"&amp;IF(N(INDEX(in_Miles,N79))&gt;0,", "&amp;INDEX(in_Miles,N79)&amp;" miles","")))</f>
        <v>PC CL-2014, 62 units</v>
      </c>
      <c r="M79" s="60" t="str">
        <f aca="false">IF(73&gt;acc_TotalLines,"",IF(73&lt;=acc_SumLines,"S","P"))</f>
        <v>P</v>
      </c>
      <c r="N79" s="42" t="n">
        <f aca="false">IF(M79="","",IF(M79="S",MATCH(73,acc_SumSeq,0),MATCH(73-acc_SumLines,in_Seq,0)))</f>
        <v>68</v>
      </c>
    </row>
    <row r="80" customFormat="false" ht="15" hidden="false" customHeight="false" outlineLevel="0" collapsed="false">
      <c r="A80" s="26" t="str">
        <f aca="false">IF(M80="","",JrnPrefix&amp;"-"&amp;TEXT(WeekEnd,"yyyymmdd"))</f>
        <v>LHHC-20260920</v>
      </c>
      <c r="B80" s="58" t="n">
        <f aca="false">IF(M80="","",WeekEnd)</f>
        <v>46285</v>
      </c>
      <c r="C80" s="52" t="n">
        <f aca="false">IF(M80="","",74)</f>
        <v>74</v>
      </c>
      <c r="D80" s="26" t="str">
        <f aca="false">IF(M80="","",IF(M80="S",IF(INDEX(acc_SumAcct,N80)=MileGL,"Mileage summary","Expense summary"),"Caregiver payable"))</f>
        <v>Caregiver payable</v>
      </c>
      <c r="E80" s="40" t="str">
        <f aca="false">IF(M80="","",IF(M80="S",INDEX(acc_SumAcct,N80),APGL))</f>
        <v>2050</v>
      </c>
      <c r="F80" s="26" t="str">
        <f aca="false">IF(M80="","",IF(M80="S",INDEX(acc_SumName,N80),APGLName))</f>
        <v>Accounts Payable: Contract Caregivers</v>
      </c>
      <c r="G80" s="59" t="n">
        <f aca="false">IF(M80="","",IF(M80="S",INDEX(acc_SumAmt,N80),0))</f>
        <v>0</v>
      </c>
      <c r="H80" s="59" t="n">
        <f aca="false">IF(M80="","",IF(M80="S",0,INDEX(in_Payable,N80)))</f>
        <v>297</v>
      </c>
      <c r="I80" s="40" t="str">
        <f aca="false">IF(M80&lt;&gt;"P","",IFERROR(INDEX(cg_Vendor,MATCH(INDEX(in_CGID,N80),cg_ID,0)),""))</f>
        <v>V3225</v>
      </c>
      <c r="J80" s="26" t="str">
        <f aca="false">IF(M80&lt;&gt;"P","",INDEX(in_CGName,N80))</f>
        <v>Marlene Yancey</v>
      </c>
      <c r="K80" s="26" t="str">
        <f aca="false">IF(M80&lt;&gt;"P","",IFERROR(INDEX(cl_Payer,MATCH(INDEX(in_ClientID,N80),cl_ID,0)),"Unassigned"))</f>
        <v>Medicaid Waiver</v>
      </c>
      <c r="L80" s="26" t="str">
        <f aca="false">IF(M80="","",IF(M80="S","Weekly caregiver pay, week ending "&amp;TEXT(WeekEnd,"m/d/yyyy"),INDEX(in_Svc,N80)&amp;" "&amp;INDEX(in_ClientID,N80)&amp;", "&amp;INDEX(in_Units,N80)&amp;" units"&amp;IF(N(INDEX(in_Miles,N80))&gt;0,", "&amp;INDEX(in_Miles,N80)&amp;" miles","")))</f>
        <v>PC CL-2063, 54 units</v>
      </c>
      <c r="M80" s="60" t="str">
        <f aca="false">IF(74&gt;acc_TotalLines,"",IF(74&lt;=acc_SumLines,"S","P"))</f>
        <v>P</v>
      </c>
      <c r="N80" s="42" t="n">
        <f aca="false">IF(M80="","",IF(M80="S",MATCH(74,acc_SumSeq,0),MATCH(74-acc_SumLines,in_Seq,0)))</f>
        <v>69</v>
      </c>
    </row>
    <row r="81" customFormat="false" ht="15" hidden="false" customHeight="false" outlineLevel="0" collapsed="false">
      <c r="A81" s="26" t="str">
        <f aca="false">IF(M81="","",JrnPrefix&amp;"-"&amp;TEXT(WeekEnd,"yyyymmdd"))</f>
        <v/>
      </c>
      <c r="B81" s="58" t="str">
        <f aca="false">IF(M81="","",WeekEnd)</f>
        <v/>
      </c>
      <c r="C81" s="52" t="str">
        <f aca="false">IF(M81="","",75)</f>
        <v/>
      </c>
      <c r="D81" s="26" t="str">
        <f aca="false">IF(M81="","",IF(M81="S",IF(INDEX(acc_SumAcct,N81)=MileGL,"Mileage summary","Expense summary"),"Caregiver payable"))</f>
        <v/>
      </c>
      <c r="E81" s="40" t="str">
        <f aca="false">IF(M81="","",IF(M81="S",INDEX(acc_SumAcct,N81),APGL))</f>
        <v/>
      </c>
      <c r="F81" s="26" t="str">
        <f aca="false">IF(M81="","",IF(M81="S",INDEX(acc_SumName,N81),APGLName))</f>
        <v/>
      </c>
      <c r="G81" s="59" t="str">
        <f aca="false">IF(M81="","",IF(M81="S",INDEX(acc_SumAmt,N81),0))</f>
        <v/>
      </c>
      <c r="H81" s="59" t="str">
        <f aca="false">IF(M81="","",IF(M81="S",0,INDEX(in_Payable,N81)))</f>
        <v/>
      </c>
      <c r="I81" s="40" t="str">
        <f aca="false">IF(M81&lt;&gt;"P","",IFERROR(INDEX(cg_Vendor,MATCH(INDEX(in_CGID,N81),cg_ID,0)),""))</f>
        <v/>
      </c>
      <c r="J81" s="26" t="str">
        <f aca="false">IF(M81&lt;&gt;"P","",INDEX(in_CGName,N81))</f>
        <v/>
      </c>
      <c r="K81" s="26" t="str">
        <f aca="false">IF(M81&lt;&gt;"P","",IFERROR(INDEX(cl_Payer,MATCH(INDEX(in_ClientID,N81),cl_ID,0)),"Unassigned"))</f>
        <v/>
      </c>
      <c r="L81" s="26" t="str">
        <f aca="false">IF(M81="","",IF(M81="S","Weekly caregiver pay, week ending "&amp;TEXT(WeekEnd,"m/d/yyyy"),INDEX(in_Svc,N81)&amp;" "&amp;INDEX(in_ClientID,N81)&amp;", "&amp;INDEX(in_Units,N81)&amp;" units"&amp;IF(N(INDEX(in_Miles,N81))&gt;0,", "&amp;INDEX(in_Miles,N81)&amp;" miles","")))</f>
        <v/>
      </c>
      <c r="M81" s="60" t="str">
        <f aca="false">IF(75&gt;acc_TotalLines,"",IF(75&lt;=acc_SumLines,"S","P"))</f>
        <v/>
      </c>
      <c r="N81" s="42" t="str">
        <f aca="false">IF(M81="","",IF(M81="S",MATCH(75,acc_SumSeq,0),MATCH(75-acc_SumLines,in_Seq,0)))</f>
        <v/>
      </c>
    </row>
    <row r="82" customFormat="false" ht="15" hidden="false" customHeight="false" outlineLevel="0" collapsed="false">
      <c r="A82" s="26" t="str">
        <f aca="false">IF(M82="","",JrnPrefix&amp;"-"&amp;TEXT(WeekEnd,"yyyymmdd"))</f>
        <v/>
      </c>
      <c r="B82" s="58" t="str">
        <f aca="false">IF(M82="","",WeekEnd)</f>
        <v/>
      </c>
      <c r="C82" s="52" t="str">
        <f aca="false">IF(M82="","",76)</f>
        <v/>
      </c>
      <c r="D82" s="26" t="str">
        <f aca="false">IF(M82="","",IF(M82="S",IF(INDEX(acc_SumAcct,N82)=MileGL,"Mileage summary","Expense summary"),"Caregiver payable"))</f>
        <v/>
      </c>
      <c r="E82" s="40" t="str">
        <f aca="false">IF(M82="","",IF(M82="S",INDEX(acc_SumAcct,N82),APGL))</f>
        <v/>
      </c>
      <c r="F82" s="26" t="str">
        <f aca="false">IF(M82="","",IF(M82="S",INDEX(acc_SumName,N82),APGLName))</f>
        <v/>
      </c>
      <c r="G82" s="59" t="str">
        <f aca="false">IF(M82="","",IF(M82="S",INDEX(acc_SumAmt,N82),0))</f>
        <v/>
      </c>
      <c r="H82" s="59" t="str">
        <f aca="false">IF(M82="","",IF(M82="S",0,INDEX(in_Payable,N82)))</f>
        <v/>
      </c>
      <c r="I82" s="40" t="str">
        <f aca="false">IF(M82&lt;&gt;"P","",IFERROR(INDEX(cg_Vendor,MATCH(INDEX(in_CGID,N82),cg_ID,0)),""))</f>
        <v/>
      </c>
      <c r="J82" s="26" t="str">
        <f aca="false">IF(M82&lt;&gt;"P","",INDEX(in_CGName,N82))</f>
        <v/>
      </c>
      <c r="K82" s="26" t="str">
        <f aca="false">IF(M82&lt;&gt;"P","",IFERROR(INDEX(cl_Payer,MATCH(INDEX(in_ClientID,N82),cl_ID,0)),"Unassigned"))</f>
        <v/>
      </c>
      <c r="L82" s="26" t="str">
        <f aca="false">IF(M82="","",IF(M82="S","Weekly caregiver pay, week ending "&amp;TEXT(WeekEnd,"m/d/yyyy"),INDEX(in_Svc,N82)&amp;" "&amp;INDEX(in_ClientID,N82)&amp;", "&amp;INDEX(in_Units,N82)&amp;" units"&amp;IF(N(INDEX(in_Miles,N82))&gt;0,", "&amp;INDEX(in_Miles,N82)&amp;" miles","")))</f>
        <v/>
      </c>
      <c r="M82" s="60" t="str">
        <f aca="false">IF(76&gt;acc_TotalLines,"",IF(76&lt;=acc_SumLines,"S","P"))</f>
        <v/>
      </c>
      <c r="N82" s="42" t="str">
        <f aca="false">IF(M82="","",IF(M82="S",MATCH(76,acc_SumSeq,0),MATCH(76-acc_SumLines,in_Seq,0)))</f>
        <v/>
      </c>
    </row>
    <row r="83" customFormat="false" ht="15" hidden="false" customHeight="false" outlineLevel="0" collapsed="false">
      <c r="A83" s="26" t="str">
        <f aca="false">IF(M83="","",JrnPrefix&amp;"-"&amp;TEXT(WeekEnd,"yyyymmdd"))</f>
        <v/>
      </c>
      <c r="B83" s="58" t="str">
        <f aca="false">IF(M83="","",WeekEnd)</f>
        <v/>
      </c>
      <c r="C83" s="52" t="str">
        <f aca="false">IF(M83="","",77)</f>
        <v/>
      </c>
      <c r="D83" s="26" t="str">
        <f aca="false">IF(M83="","",IF(M83="S",IF(INDEX(acc_SumAcct,N83)=MileGL,"Mileage summary","Expense summary"),"Caregiver payable"))</f>
        <v/>
      </c>
      <c r="E83" s="40" t="str">
        <f aca="false">IF(M83="","",IF(M83="S",INDEX(acc_SumAcct,N83),APGL))</f>
        <v/>
      </c>
      <c r="F83" s="26" t="str">
        <f aca="false">IF(M83="","",IF(M83="S",INDEX(acc_SumName,N83),APGLName))</f>
        <v/>
      </c>
      <c r="G83" s="59" t="str">
        <f aca="false">IF(M83="","",IF(M83="S",INDEX(acc_SumAmt,N83),0))</f>
        <v/>
      </c>
      <c r="H83" s="59" t="str">
        <f aca="false">IF(M83="","",IF(M83="S",0,INDEX(in_Payable,N83)))</f>
        <v/>
      </c>
      <c r="I83" s="40" t="str">
        <f aca="false">IF(M83&lt;&gt;"P","",IFERROR(INDEX(cg_Vendor,MATCH(INDEX(in_CGID,N83),cg_ID,0)),""))</f>
        <v/>
      </c>
      <c r="J83" s="26" t="str">
        <f aca="false">IF(M83&lt;&gt;"P","",INDEX(in_CGName,N83))</f>
        <v/>
      </c>
      <c r="K83" s="26" t="str">
        <f aca="false">IF(M83&lt;&gt;"P","",IFERROR(INDEX(cl_Payer,MATCH(INDEX(in_ClientID,N83),cl_ID,0)),"Unassigned"))</f>
        <v/>
      </c>
      <c r="L83" s="26" t="str">
        <f aca="false">IF(M83="","",IF(M83="S","Weekly caregiver pay, week ending "&amp;TEXT(WeekEnd,"m/d/yyyy"),INDEX(in_Svc,N83)&amp;" "&amp;INDEX(in_ClientID,N83)&amp;", "&amp;INDEX(in_Units,N83)&amp;" units"&amp;IF(N(INDEX(in_Miles,N83))&gt;0,", "&amp;INDEX(in_Miles,N83)&amp;" miles","")))</f>
        <v/>
      </c>
      <c r="M83" s="60" t="str">
        <f aca="false">IF(77&gt;acc_TotalLines,"",IF(77&lt;=acc_SumLines,"S","P"))</f>
        <v/>
      </c>
      <c r="N83" s="42" t="str">
        <f aca="false">IF(M83="","",IF(M83="S",MATCH(77,acc_SumSeq,0),MATCH(77-acc_SumLines,in_Seq,0)))</f>
        <v/>
      </c>
    </row>
    <row r="84" customFormat="false" ht="15" hidden="false" customHeight="false" outlineLevel="0" collapsed="false">
      <c r="A84" s="26" t="str">
        <f aca="false">IF(M84="","",JrnPrefix&amp;"-"&amp;TEXT(WeekEnd,"yyyymmdd"))</f>
        <v/>
      </c>
      <c r="B84" s="58" t="str">
        <f aca="false">IF(M84="","",WeekEnd)</f>
        <v/>
      </c>
      <c r="C84" s="52" t="str">
        <f aca="false">IF(M84="","",78)</f>
        <v/>
      </c>
      <c r="D84" s="26" t="str">
        <f aca="false">IF(M84="","",IF(M84="S",IF(INDEX(acc_SumAcct,N84)=MileGL,"Mileage summary","Expense summary"),"Caregiver payable"))</f>
        <v/>
      </c>
      <c r="E84" s="40" t="str">
        <f aca="false">IF(M84="","",IF(M84="S",INDEX(acc_SumAcct,N84),APGL))</f>
        <v/>
      </c>
      <c r="F84" s="26" t="str">
        <f aca="false">IF(M84="","",IF(M84="S",INDEX(acc_SumName,N84),APGLName))</f>
        <v/>
      </c>
      <c r="G84" s="59" t="str">
        <f aca="false">IF(M84="","",IF(M84="S",INDEX(acc_SumAmt,N84),0))</f>
        <v/>
      </c>
      <c r="H84" s="59" t="str">
        <f aca="false">IF(M84="","",IF(M84="S",0,INDEX(in_Payable,N84)))</f>
        <v/>
      </c>
      <c r="I84" s="40" t="str">
        <f aca="false">IF(M84&lt;&gt;"P","",IFERROR(INDEX(cg_Vendor,MATCH(INDEX(in_CGID,N84),cg_ID,0)),""))</f>
        <v/>
      </c>
      <c r="J84" s="26" t="str">
        <f aca="false">IF(M84&lt;&gt;"P","",INDEX(in_CGName,N84))</f>
        <v/>
      </c>
      <c r="K84" s="26" t="str">
        <f aca="false">IF(M84&lt;&gt;"P","",IFERROR(INDEX(cl_Payer,MATCH(INDEX(in_ClientID,N84),cl_ID,0)),"Unassigned"))</f>
        <v/>
      </c>
      <c r="L84" s="26" t="str">
        <f aca="false">IF(M84="","",IF(M84="S","Weekly caregiver pay, week ending "&amp;TEXT(WeekEnd,"m/d/yyyy"),INDEX(in_Svc,N84)&amp;" "&amp;INDEX(in_ClientID,N84)&amp;", "&amp;INDEX(in_Units,N84)&amp;" units"&amp;IF(N(INDEX(in_Miles,N84))&gt;0,", "&amp;INDEX(in_Miles,N84)&amp;" miles","")))</f>
        <v/>
      </c>
      <c r="M84" s="60" t="str">
        <f aca="false">IF(78&gt;acc_TotalLines,"",IF(78&lt;=acc_SumLines,"S","P"))</f>
        <v/>
      </c>
      <c r="N84" s="42" t="str">
        <f aca="false">IF(M84="","",IF(M84="S",MATCH(78,acc_SumSeq,0),MATCH(78-acc_SumLines,in_Seq,0)))</f>
        <v/>
      </c>
    </row>
    <row r="85" customFormat="false" ht="15" hidden="false" customHeight="false" outlineLevel="0" collapsed="false">
      <c r="A85" s="26" t="str">
        <f aca="false">IF(M85="","",JrnPrefix&amp;"-"&amp;TEXT(WeekEnd,"yyyymmdd"))</f>
        <v/>
      </c>
      <c r="B85" s="58" t="str">
        <f aca="false">IF(M85="","",WeekEnd)</f>
        <v/>
      </c>
      <c r="C85" s="52" t="str">
        <f aca="false">IF(M85="","",79)</f>
        <v/>
      </c>
      <c r="D85" s="26" t="str">
        <f aca="false">IF(M85="","",IF(M85="S",IF(INDEX(acc_SumAcct,N85)=MileGL,"Mileage summary","Expense summary"),"Caregiver payable"))</f>
        <v/>
      </c>
      <c r="E85" s="40" t="str">
        <f aca="false">IF(M85="","",IF(M85="S",INDEX(acc_SumAcct,N85),APGL))</f>
        <v/>
      </c>
      <c r="F85" s="26" t="str">
        <f aca="false">IF(M85="","",IF(M85="S",INDEX(acc_SumName,N85),APGLName))</f>
        <v/>
      </c>
      <c r="G85" s="59" t="str">
        <f aca="false">IF(M85="","",IF(M85="S",INDEX(acc_SumAmt,N85),0))</f>
        <v/>
      </c>
      <c r="H85" s="59" t="str">
        <f aca="false">IF(M85="","",IF(M85="S",0,INDEX(in_Payable,N85)))</f>
        <v/>
      </c>
      <c r="I85" s="40" t="str">
        <f aca="false">IF(M85&lt;&gt;"P","",IFERROR(INDEX(cg_Vendor,MATCH(INDEX(in_CGID,N85),cg_ID,0)),""))</f>
        <v/>
      </c>
      <c r="J85" s="26" t="str">
        <f aca="false">IF(M85&lt;&gt;"P","",INDEX(in_CGName,N85))</f>
        <v/>
      </c>
      <c r="K85" s="26" t="str">
        <f aca="false">IF(M85&lt;&gt;"P","",IFERROR(INDEX(cl_Payer,MATCH(INDEX(in_ClientID,N85),cl_ID,0)),"Unassigned"))</f>
        <v/>
      </c>
      <c r="L85" s="26" t="str">
        <f aca="false">IF(M85="","",IF(M85="S","Weekly caregiver pay, week ending "&amp;TEXT(WeekEnd,"m/d/yyyy"),INDEX(in_Svc,N85)&amp;" "&amp;INDEX(in_ClientID,N85)&amp;", "&amp;INDEX(in_Units,N85)&amp;" units"&amp;IF(N(INDEX(in_Miles,N85))&gt;0,", "&amp;INDEX(in_Miles,N85)&amp;" miles","")))</f>
        <v/>
      </c>
      <c r="M85" s="60" t="str">
        <f aca="false">IF(79&gt;acc_TotalLines,"",IF(79&lt;=acc_SumLines,"S","P"))</f>
        <v/>
      </c>
      <c r="N85" s="42" t="str">
        <f aca="false">IF(M85="","",IF(M85="S",MATCH(79,acc_SumSeq,0),MATCH(79-acc_SumLines,in_Seq,0)))</f>
        <v/>
      </c>
    </row>
    <row r="86" customFormat="false" ht="15" hidden="false" customHeight="false" outlineLevel="0" collapsed="false">
      <c r="A86" s="26" t="str">
        <f aca="false">IF(M86="","",JrnPrefix&amp;"-"&amp;TEXT(WeekEnd,"yyyymmdd"))</f>
        <v/>
      </c>
      <c r="B86" s="58" t="str">
        <f aca="false">IF(M86="","",WeekEnd)</f>
        <v/>
      </c>
      <c r="C86" s="52" t="str">
        <f aca="false">IF(M86="","",80)</f>
        <v/>
      </c>
      <c r="D86" s="26" t="str">
        <f aca="false">IF(M86="","",IF(M86="S",IF(INDEX(acc_SumAcct,N86)=MileGL,"Mileage summary","Expense summary"),"Caregiver payable"))</f>
        <v/>
      </c>
      <c r="E86" s="40" t="str">
        <f aca="false">IF(M86="","",IF(M86="S",INDEX(acc_SumAcct,N86),APGL))</f>
        <v/>
      </c>
      <c r="F86" s="26" t="str">
        <f aca="false">IF(M86="","",IF(M86="S",INDEX(acc_SumName,N86),APGLName))</f>
        <v/>
      </c>
      <c r="G86" s="59" t="str">
        <f aca="false">IF(M86="","",IF(M86="S",INDEX(acc_SumAmt,N86),0))</f>
        <v/>
      </c>
      <c r="H86" s="59" t="str">
        <f aca="false">IF(M86="","",IF(M86="S",0,INDEX(in_Payable,N86)))</f>
        <v/>
      </c>
      <c r="I86" s="40" t="str">
        <f aca="false">IF(M86&lt;&gt;"P","",IFERROR(INDEX(cg_Vendor,MATCH(INDEX(in_CGID,N86),cg_ID,0)),""))</f>
        <v/>
      </c>
      <c r="J86" s="26" t="str">
        <f aca="false">IF(M86&lt;&gt;"P","",INDEX(in_CGName,N86))</f>
        <v/>
      </c>
      <c r="K86" s="26" t="str">
        <f aca="false">IF(M86&lt;&gt;"P","",IFERROR(INDEX(cl_Payer,MATCH(INDEX(in_ClientID,N86),cl_ID,0)),"Unassigned"))</f>
        <v/>
      </c>
      <c r="L86" s="26" t="str">
        <f aca="false">IF(M86="","",IF(M86="S","Weekly caregiver pay, week ending "&amp;TEXT(WeekEnd,"m/d/yyyy"),INDEX(in_Svc,N86)&amp;" "&amp;INDEX(in_ClientID,N86)&amp;", "&amp;INDEX(in_Units,N86)&amp;" units"&amp;IF(N(INDEX(in_Miles,N86))&gt;0,", "&amp;INDEX(in_Miles,N86)&amp;" miles","")))</f>
        <v/>
      </c>
      <c r="M86" s="60" t="str">
        <f aca="false">IF(80&gt;acc_TotalLines,"",IF(80&lt;=acc_SumLines,"S","P"))</f>
        <v/>
      </c>
      <c r="N86" s="42" t="str">
        <f aca="false">IF(M86="","",IF(M86="S",MATCH(80,acc_SumSeq,0),MATCH(80-acc_SumLines,in_Seq,0)))</f>
        <v/>
      </c>
    </row>
    <row r="87" customFormat="false" ht="15" hidden="false" customHeight="false" outlineLevel="0" collapsed="false">
      <c r="A87" s="26" t="str">
        <f aca="false">IF(M87="","",JrnPrefix&amp;"-"&amp;TEXT(WeekEnd,"yyyymmdd"))</f>
        <v/>
      </c>
      <c r="B87" s="58" t="str">
        <f aca="false">IF(M87="","",WeekEnd)</f>
        <v/>
      </c>
      <c r="C87" s="52" t="str">
        <f aca="false">IF(M87="","",81)</f>
        <v/>
      </c>
      <c r="D87" s="26" t="str">
        <f aca="false">IF(M87="","",IF(M87="S",IF(INDEX(acc_SumAcct,N87)=MileGL,"Mileage summary","Expense summary"),"Caregiver payable"))</f>
        <v/>
      </c>
      <c r="E87" s="40" t="str">
        <f aca="false">IF(M87="","",IF(M87="S",INDEX(acc_SumAcct,N87),APGL))</f>
        <v/>
      </c>
      <c r="F87" s="26" t="str">
        <f aca="false">IF(M87="","",IF(M87="S",INDEX(acc_SumName,N87),APGLName))</f>
        <v/>
      </c>
      <c r="G87" s="59" t="str">
        <f aca="false">IF(M87="","",IF(M87="S",INDEX(acc_SumAmt,N87),0))</f>
        <v/>
      </c>
      <c r="H87" s="59" t="str">
        <f aca="false">IF(M87="","",IF(M87="S",0,INDEX(in_Payable,N87)))</f>
        <v/>
      </c>
      <c r="I87" s="40" t="str">
        <f aca="false">IF(M87&lt;&gt;"P","",IFERROR(INDEX(cg_Vendor,MATCH(INDEX(in_CGID,N87),cg_ID,0)),""))</f>
        <v/>
      </c>
      <c r="J87" s="26" t="str">
        <f aca="false">IF(M87&lt;&gt;"P","",INDEX(in_CGName,N87))</f>
        <v/>
      </c>
      <c r="K87" s="26" t="str">
        <f aca="false">IF(M87&lt;&gt;"P","",IFERROR(INDEX(cl_Payer,MATCH(INDEX(in_ClientID,N87),cl_ID,0)),"Unassigned"))</f>
        <v/>
      </c>
      <c r="L87" s="26" t="str">
        <f aca="false">IF(M87="","",IF(M87="S","Weekly caregiver pay, week ending "&amp;TEXT(WeekEnd,"m/d/yyyy"),INDEX(in_Svc,N87)&amp;" "&amp;INDEX(in_ClientID,N87)&amp;", "&amp;INDEX(in_Units,N87)&amp;" units"&amp;IF(N(INDEX(in_Miles,N87))&gt;0,", "&amp;INDEX(in_Miles,N87)&amp;" miles","")))</f>
        <v/>
      </c>
      <c r="M87" s="60" t="str">
        <f aca="false">IF(81&gt;acc_TotalLines,"",IF(81&lt;=acc_SumLines,"S","P"))</f>
        <v/>
      </c>
      <c r="N87" s="42" t="str">
        <f aca="false">IF(M87="","",IF(M87="S",MATCH(81,acc_SumSeq,0),MATCH(81-acc_SumLines,in_Seq,0)))</f>
        <v/>
      </c>
    </row>
    <row r="88" customFormat="false" ht="15" hidden="false" customHeight="false" outlineLevel="0" collapsed="false">
      <c r="A88" s="26" t="str">
        <f aca="false">IF(M88="","",JrnPrefix&amp;"-"&amp;TEXT(WeekEnd,"yyyymmdd"))</f>
        <v/>
      </c>
      <c r="B88" s="58" t="str">
        <f aca="false">IF(M88="","",WeekEnd)</f>
        <v/>
      </c>
      <c r="C88" s="52" t="str">
        <f aca="false">IF(M88="","",82)</f>
        <v/>
      </c>
      <c r="D88" s="26" t="str">
        <f aca="false">IF(M88="","",IF(M88="S",IF(INDEX(acc_SumAcct,N88)=MileGL,"Mileage summary","Expense summary"),"Caregiver payable"))</f>
        <v/>
      </c>
      <c r="E88" s="40" t="str">
        <f aca="false">IF(M88="","",IF(M88="S",INDEX(acc_SumAcct,N88),APGL))</f>
        <v/>
      </c>
      <c r="F88" s="26" t="str">
        <f aca="false">IF(M88="","",IF(M88="S",INDEX(acc_SumName,N88),APGLName))</f>
        <v/>
      </c>
      <c r="G88" s="59" t="str">
        <f aca="false">IF(M88="","",IF(M88="S",INDEX(acc_SumAmt,N88),0))</f>
        <v/>
      </c>
      <c r="H88" s="59" t="str">
        <f aca="false">IF(M88="","",IF(M88="S",0,INDEX(in_Payable,N88)))</f>
        <v/>
      </c>
      <c r="I88" s="40" t="str">
        <f aca="false">IF(M88&lt;&gt;"P","",IFERROR(INDEX(cg_Vendor,MATCH(INDEX(in_CGID,N88),cg_ID,0)),""))</f>
        <v/>
      </c>
      <c r="J88" s="26" t="str">
        <f aca="false">IF(M88&lt;&gt;"P","",INDEX(in_CGName,N88))</f>
        <v/>
      </c>
      <c r="K88" s="26" t="str">
        <f aca="false">IF(M88&lt;&gt;"P","",IFERROR(INDEX(cl_Payer,MATCH(INDEX(in_ClientID,N88),cl_ID,0)),"Unassigned"))</f>
        <v/>
      </c>
      <c r="L88" s="26" t="str">
        <f aca="false">IF(M88="","",IF(M88="S","Weekly caregiver pay, week ending "&amp;TEXT(WeekEnd,"m/d/yyyy"),INDEX(in_Svc,N88)&amp;" "&amp;INDEX(in_ClientID,N88)&amp;", "&amp;INDEX(in_Units,N88)&amp;" units"&amp;IF(N(INDEX(in_Miles,N88))&gt;0,", "&amp;INDEX(in_Miles,N88)&amp;" miles","")))</f>
        <v/>
      </c>
      <c r="M88" s="60" t="str">
        <f aca="false">IF(82&gt;acc_TotalLines,"",IF(82&lt;=acc_SumLines,"S","P"))</f>
        <v/>
      </c>
      <c r="N88" s="42" t="str">
        <f aca="false">IF(M88="","",IF(M88="S",MATCH(82,acc_SumSeq,0),MATCH(82-acc_SumLines,in_Seq,0)))</f>
        <v/>
      </c>
    </row>
    <row r="89" customFormat="false" ht="15" hidden="false" customHeight="false" outlineLevel="0" collapsed="false">
      <c r="A89" s="26" t="str">
        <f aca="false">IF(M89="","",JrnPrefix&amp;"-"&amp;TEXT(WeekEnd,"yyyymmdd"))</f>
        <v/>
      </c>
      <c r="B89" s="58" t="str">
        <f aca="false">IF(M89="","",WeekEnd)</f>
        <v/>
      </c>
      <c r="C89" s="52" t="str">
        <f aca="false">IF(M89="","",83)</f>
        <v/>
      </c>
      <c r="D89" s="26" t="str">
        <f aca="false">IF(M89="","",IF(M89="S",IF(INDEX(acc_SumAcct,N89)=MileGL,"Mileage summary","Expense summary"),"Caregiver payable"))</f>
        <v/>
      </c>
      <c r="E89" s="40" t="str">
        <f aca="false">IF(M89="","",IF(M89="S",INDEX(acc_SumAcct,N89),APGL))</f>
        <v/>
      </c>
      <c r="F89" s="26" t="str">
        <f aca="false">IF(M89="","",IF(M89="S",INDEX(acc_SumName,N89),APGLName))</f>
        <v/>
      </c>
      <c r="G89" s="59" t="str">
        <f aca="false">IF(M89="","",IF(M89="S",INDEX(acc_SumAmt,N89),0))</f>
        <v/>
      </c>
      <c r="H89" s="59" t="str">
        <f aca="false">IF(M89="","",IF(M89="S",0,INDEX(in_Payable,N89)))</f>
        <v/>
      </c>
      <c r="I89" s="40" t="str">
        <f aca="false">IF(M89&lt;&gt;"P","",IFERROR(INDEX(cg_Vendor,MATCH(INDEX(in_CGID,N89),cg_ID,0)),""))</f>
        <v/>
      </c>
      <c r="J89" s="26" t="str">
        <f aca="false">IF(M89&lt;&gt;"P","",INDEX(in_CGName,N89))</f>
        <v/>
      </c>
      <c r="K89" s="26" t="str">
        <f aca="false">IF(M89&lt;&gt;"P","",IFERROR(INDEX(cl_Payer,MATCH(INDEX(in_ClientID,N89),cl_ID,0)),"Unassigned"))</f>
        <v/>
      </c>
      <c r="L89" s="26" t="str">
        <f aca="false">IF(M89="","",IF(M89="S","Weekly caregiver pay, week ending "&amp;TEXT(WeekEnd,"m/d/yyyy"),INDEX(in_Svc,N89)&amp;" "&amp;INDEX(in_ClientID,N89)&amp;", "&amp;INDEX(in_Units,N89)&amp;" units"&amp;IF(N(INDEX(in_Miles,N89))&gt;0,", "&amp;INDEX(in_Miles,N89)&amp;" miles","")))</f>
        <v/>
      </c>
      <c r="M89" s="60" t="str">
        <f aca="false">IF(83&gt;acc_TotalLines,"",IF(83&lt;=acc_SumLines,"S","P"))</f>
        <v/>
      </c>
      <c r="N89" s="42" t="str">
        <f aca="false">IF(M89="","",IF(M89="S",MATCH(83,acc_SumSeq,0),MATCH(83-acc_SumLines,in_Seq,0)))</f>
        <v/>
      </c>
    </row>
    <row r="90" customFormat="false" ht="15" hidden="false" customHeight="false" outlineLevel="0" collapsed="false">
      <c r="A90" s="26" t="str">
        <f aca="false">IF(M90="","",JrnPrefix&amp;"-"&amp;TEXT(WeekEnd,"yyyymmdd"))</f>
        <v/>
      </c>
      <c r="B90" s="58" t="str">
        <f aca="false">IF(M90="","",WeekEnd)</f>
        <v/>
      </c>
      <c r="C90" s="52" t="str">
        <f aca="false">IF(M90="","",84)</f>
        <v/>
      </c>
      <c r="D90" s="26" t="str">
        <f aca="false">IF(M90="","",IF(M90="S",IF(INDEX(acc_SumAcct,N90)=MileGL,"Mileage summary","Expense summary"),"Caregiver payable"))</f>
        <v/>
      </c>
      <c r="E90" s="40" t="str">
        <f aca="false">IF(M90="","",IF(M90="S",INDEX(acc_SumAcct,N90),APGL))</f>
        <v/>
      </c>
      <c r="F90" s="26" t="str">
        <f aca="false">IF(M90="","",IF(M90="S",INDEX(acc_SumName,N90),APGLName))</f>
        <v/>
      </c>
      <c r="G90" s="59" t="str">
        <f aca="false">IF(M90="","",IF(M90="S",INDEX(acc_SumAmt,N90),0))</f>
        <v/>
      </c>
      <c r="H90" s="59" t="str">
        <f aca="false">IF(M90="","",IF(M90="S",0,INDEX(in_Payable,N90)))</f>
        <v/>
      </c>
      <c r="I90" s="40" t="str">
        <f aca="false">IF(M90&lt;&gt;"P","",IFERROR(INDEX(cg_Vendor,MATCH(INDEX(in_CGID,N90),cg_ID,0)),""))</f>
        <v/>
      </c>
      <c r="J90" s="26" t="str">
        <f aca="false">IF(M90&lt;&gt;"P","",INDEX(in_CGName,N90))</f>
        <v/>
      </c>
      <c r="K90" s="26" t="str">
        <f aca="false">IF(M90&lt;&gt;"P","",IFERROR(INDEX(cl_Payer,MATCH(INDEX(in_ClientID,N90),cl_ID,0)),"Unassigned"))</f>
        <v/>
      </c>
      <c r="L90" s="26" t="str">
        <f aca="false">IF(M90="","",IF(M90="S","Weekly caregiver pay, week ending "&amp;TEXT(WeekEnd,"m/d/yyyy"),INDEX(in_Svc,N90)&amp;" "&amp;INDEX(in_ClientID,N90)&amp;", "&amp;INDEX(in_Units,N90)&amp;" units"&amp;IF(N(INDEX(in_Miles,N90))&gt;0,", "&amp;INDEX(in_Miles,N90)&amp;" miles","")))</f>
        <v/>
      </c>
      <c r="M90" s="60" t="str">
        <f aca="false">IF(84&gt;acc_TotalLines,"",IF(84&lt;=acc_SumLines,"S","P"))</f>
        <v/>
      </c>
      <c r="N90" s="42" t="str">
        <f aca="false">IF(M90="","",IF(M90="S",MATCH(84,acc_SumSeq,0),MATCH(84-acc_SumLines,in_Seq,0)))</f>
        <v/>
      </c>
    </row>
    <row r="91" customFormat="false" ht="15" hidden="false" customHeight="false" outlineLevel="0" collapsed="false">
      <c r="A91" s="26" t="str">
        <f aca="false">IF(M91="","",JrnPrefix&amp;"-"&amp;TEXT(WeekEnd,"yyyymmdd"))</f>
        <v/>
      </c>
      <c r="B91" s="58" t="str">
        <f aca="false">IF(M91="","",WeekEnd)</f>
        <v/>
      </c>
      <c r="C91" s="52" t="str">
        <f aca="false">IF(M91="","",85)</f>
        <v/>
      </c>
      <c r="D91" s="26" t="str">
        <f aca="false">IF(M91="","",IF(M91="S",IF(INDEX(acc_SumAcct,N91)=MileGL,"Mileage summary","Expense summary"),"Caregiver payable"))</f>
        <v/>
      </c>
      <c r="E91" s="40" t="str">
        <f aca="false">IF(M91="","",IF(M91="S",INDEX(acc_SumAcct,N91),APGL))</f>
        <v/>
      </c>
      <c r="F91" s="26" t="str">
        <f aca="false">IF(M91="","",IF(M91="S",INDEX(acc_SumName,N91),APGLName))</f>
        <v/>
      </c>
      <c r="G91" s="59" t="str">
        <f aca="false">IF(M91="","",IF(M91="S",INDEX(acc_SumAmt,N91),0))</f>
        <v/>
      </c>
      <c r="H91" s="59" t="str">
        <f aca="false">IF(M91="","",IF(M91="S",0,INDEX(in_Payable,N91)))</f>
        <v/>
      </c>
      <c r="I91" s="40" t="str">
        <f aca="false">IF(M91&lt;&gt;"P","",IFERROR(INDEX(cg_Vendor,MATCH(INDEX(in_CGID,N91),cg_ID,0)),""))</f>
        <v/>
      </c>
      <c r="J91" s="26" t="str">
        <f aca="false">IF(M91&lt;&gt;"P","",INDEX(in_CGName,N91))</f>
        <v/>
      </c>
      <c r="K91" s="26" t="str">
        <f aca="false">IF(M91&lt;&gt;"P","",IFERROR(INDEX(cl_Payer,MATCH(INDEX(in_ClientID,N91),cl_ID,0)),"Unassigned"))</f>
        <v/>
      </c>
      <c r="L91" s="26" t="str">
        <f aca="false">IF(M91="","",IF(M91="S","Weekly caregiver pay, week ending "&amp;TEXT(WeekEnd,"m/d/yyyy"),INDEX(in_Svc,N91)&amp;" "&amp;INDEX(in_ClientID,N91)&amp;", "&amp;INDEX(in_Units,N91)&amp;" units"&amp;IF(N(INDEX(in_Miles,N91))&gt;0,", "&amp;INDEX(in_Miles,N91)&amp;" miles","")))</f>
        <v/>
      </c>
      <c r="M91" s="60" t="str">
        <f aca="false">IF(85&gt;acc_TotalLines,"",IF(85&lt;=acc_SumLines,"S","P"))</f>
        <v/>
      </c>
      <c r="N91" s="42" t="str">
        <f aca="false">IF(M91="","",IF(M91="S",MATCH(85,acc_SumSeq,0),MATCH(85-acc_SumLines,in_Seq,0)))</f>
        <v/>
      </c>
    </row>
    <row r="92" customFormat="false" ht="15" hidden="false" customHeight="false" outlineLevel="0" collapsed="false">
      <c r="A92" s="26" t="str">
        <f aca="false">IF(M92="","",JrnPrefix&amp;"-"&amp;TEXT(WeekEnd,"yyyymmdd"))</f>
        <v/>
      </c>
      <c r="B92" s="58" t="str">
        <f aca="false">IF(M92="","",WeekEnd)</f>
        <v/>
      </c>
      <c r="C92" s="52" t="str">
        <f aca="false">IF(M92="","",86)</f>
        <v/>
      </c>
      <c r="D92" s="26" t="str">
        <f aca="false">IF(M92="","",IF(M92="S",IF(INDEX(acc_SumAcct,N92)=MileGL,"Mileage summary","Expense summary"),"Caregiver payable"))</f>
        <v/>
      </c>
      <c r="E92" s="40" t="str">
        <f aca="false">IF(M92="","",IF(M92="S",INDEX(acc_SumAcct,N92),APGL))</f>
        <v/>
      </c>
      <c r="F92" s="26" t="str">
        <f aca="false">IF(M92="","",IF(M92="S",INDEX(acc_SumName,N92),APGLName))</f>
        <v/>
      </c>
      <c r="G92" s="59" t="str">
        <f aca="false">IF(M92="","",IF(M92="S",INDEX(acc_SumAmt,N92),0))</f>
        <v/>
      </c>
      <c r="H92" s="59" t="str">
        <f aca="false">IF(M92="","",IF(M92="S",0,INDEX(in_Payable,N92)))</f>
        <v/>
      </c>
      <c r="I92" s="40" t="str">
        <f aca="false">IF(M92&lt;&gt;"P","",IFERROR(INDEX(cg_Vendor,MATCH(INDEX(in_CGID,N92),cg_ID,0)),""))</f>
        <v/>
      </c>
      <c r="J92" s="26" t="str">
        <f aca="false">IF(M92&lt;&gt;"P","",INDEX(in_CGName,N92))</f>
        <v/>
      </c>
      <c r="K92" s="26" t="str">
        <f aca="false">IF(M92&lt;&gt;"P","",IFERROR(INDEX(cl_Payer,MATCH(INDEX(in_ClientID,N92),cl_ID,0)),"Unassigned"))</f>
        <v/>
      </c>
      <c r="L92" s="26" t="str">
        <f aca="false">IF(M92="","",IF(M92="S","Weekly caregiver pay, week ending "&amp;TEXT(WeekEnd,"m/d/yyyy"),INDEX(in_Svc,N92)&amp;" "&amp;INDEX(in_ClientID,N92)&amp;", "&amp;INDEX(in_Units,N92)&amp;" units"&amp;IF(N(INDEX(in_Miles,N92))&gt;0,", "&amp;INDEX(in_Miles,N92)&amp;" miles","")))</f>
        <v/>
      </c>
      <c r="M92" s="60" t="str">
        <f aca="false">IF(86&gt;acc_TotalLines,"",IF(86&lt;=acc_SumLines,"S","P"))</f>
        <v/>
      </c>
      <c r="N92" s="42" t="str">
        <f aca="false">IF(M92="","",IF(M92="S",MATCH(86,acc_SumSeq,0),MATCH(86-acc_SumLines,in_Seq,0)))</f>
        <v/>
      </c>
    </row>
    <row r="93" customFormat="false" ht="15" hidden="false" customHeight="false" outlineLevel="0" collapsed="false">
      <c r="A93" s="26" t="str">
        <f aca="false">IF(M93="","",JrnPrefix&amp;"-"&amp;TEXT(WeekEnd,"yyyymmdd"))</f>
        <v/>
      </c>
      <c r="B93" s="58" t="str">
        <f aca="false">IF(M93="","",WeekEnd)</f>
        <v/>
      </c>
      <c r="C93" s="52" t="str">
        <f aca="false">IF(M93="","",87)</f>
        <v/>
      </c>
      <c r="D93" s="26" t="str">
        <f aca="false">IF(M93="","",IF(M93="S",IF(INDEX(acc_SumAcct,N93)=MileGL,"Mileage summary","Expense summary"),"Caregiver payable"))</f>
        <v/>
      </c>
      <c r="E93" s="40" t="str">
        <f aca="false">IF(M93="","",IF(M93="S",INDEX(acc_SumAcct,N93),APGL))</f>
        <v/>
      </c>
      <c r="F93" s="26" t="str">
        <f aca="false">IF(M93="","",IF(M93="S",INDEX(acc_SumName,N93),APGLName))</f>
        <v/>
      </c>
      <c r="G93" s="59" t="str">
        <f aca="false">IF(M93="","",IF(M93="S",INDEX(acc_SumAmt,N93),0))</f>
        <v/>
      </c>
      <c r="H93" s="59" t="str">
        <f aca="false">IF(M93="","",IF(M93="S",0,INDEX(in_Payable,N93)))</f>
        <v/>
      </c>
      <c r="I93" s="40" t="str">
        <f aca="false">IF(M93&lt;&gt;"P","",IFERROR(INDEX(cg_Vendor,MATCH(INDEX(in_CGID,N93),cg_ID,0)),""))</f>
        <v/>
      </c>
      <c r="J93" s="26" t="str">
        <f aca="false">IF(M93&lt;&gt;"P","",INDEX(in_CGName,N93))</f>
        <v/>
      </c>
      <c r="K93" s="26" t="str">
        <f aca="false">IF(M93&lt;&gt;"P","",IFERROR(INDEX(cl_Payer,MATCH(INDEX(in_ClientID,N93),cl_ID,0)),"Unassigned"))</f>
        <v/>
      </c>
      <c r="L93" s="26" t="str">
        <f aca="false">IF(M93="","",IF(M93="S","Weekly caregiver pay, week ending "&amp;TEXT(WeekEnd,"m/d/yyyy"),INDEX(in_Svc,N93)&amp;" "&amp;INDEX(in_ClientID,N93)&amp;", "&amp;INDEX(in_Units,N93)&amp;" units"&amp;IF(N(INDEX(in_Miles,N93))&gt;0,", "&amp;INDEX(in_Miles,N93)&amp;" miles","")))</f>
        <v/>
      </c>
      <c r="M93" s="60" t="str">
        <f aca="false">IF(87&gt;acc_TotalLines,"",IF(87&lt;=acc_SumLines,"S","P"))</f>
        <v/>
      </c>
      <c r="N93" s="42" t="str">
        <f aca="false">IF(M93="","",IF(M93="S",MATCH(87,acc_SumSeq,0),MATCH(87-acc_SumLines,in_Seq,0)))</f>
        <v/>
      </c>
    </row>
    <row r="94" customFormat="false" ht="15" hidden="false" customHeight="false" outlineLevel="0" collapsed="false">
      <c r="A94" s="26" t="str">
        <f aca="false">IF(M94="","",JrnPrefix&amp;"-"&amp;TEXT(WeekEnd,"yyyymmdd"))</f>
        <v/>
      </c>
      <c r="B94" s="58" t="str">
        <f aca="false">IF(M94="","",WeekEnd)</f>
        <v/>
      </c>
      <c r="C94" s="52" t="str">
        <f aca="false">IF(M94="","",88)</f>
        <v/>
      </c>
      <c r="D94" s="26" t="str">
        <f aca="false">IF(M94="","",IF(M94="S",IF(INDEX(acc_SumAcct,N94)=MileGL,"Mileage summary","Expense summary"),"Caregiver payable"))</f>
        <v/>
      </c>
      <c r="E94" s="40" t="str">
        <f aca="false">IF(M94="","",IF(M94="S",INDEX(acc_SumAcct,N94),APGL))</f>
        <v/>
      </c>
      <c r="F94" s="26" t="str">
        <f aca="false">IF(M94="","",IF(M94="S",INDEX(acc_SumName,N94),APGLName))</f>
        <v/>
      </c>
      <c r="G94" s="59" t="str">
        <f aca="false">IF(M94="","",IF(M94="S",INDEX(acc_SumAmt,N94),0))</f>
        <v/>
      </c>
      <c r="H94" s="59" t="str">
        <f aca="false">IF(M94="","",IF(M94="S",0,INDEX(in_Payable,N94)))</f>
        <v/>
      </c>
      <c r="I94" s="40" t="str">
        <f aca="false">IF(M94&lt;&gt;"P","",IFERROR(INDEX(cg_Vendor,MATCH(INDEX(in_CGID,N94),cg_ID,0)),""))</f>
        <v/>
      </c>
      <c r="J94" s="26" t="str">
        <f aca="false">IF(M94&lt;&gt;"P","",INDEX(in_CGName,N94))</f>
        <v/>
      </c>
      <c r="K94" s="26" t="str">
        <f aca="false">IF(M94&lt;&gt;"P","",IFERROR(INDEX(cl_Payer,MATCH(INDEX(in_ClientID,N94),cl_ID,0)),"Unassigned"))</f>
        <v/>
      </c>
      <c r="L94" s="26" t="str">
        <f aca="false">IF(M94="","",IF(M94="S","Weekly caregiver pay, week ending "&amp;TEXT(WeekEnd,"m/d/yyyy"),INDEX(in_Svc,N94)&amp;" "&amp;INDEX(in_ClientID,N94)&amp;", "&amp;INDEX(in_Units,N94)&amp;" units"&amp;IF(N(INDEX(in_Miles,N94))&gt;0,", "&amp;INDEX(in_Miles,N94)&amp;" miles","")))</f>
        <v/>
      </c>
      <c r="M94" s="60" t="str">
        <f aca="false">IF(88&gt;acc_TotalLines,"",IF(88&lt;=acc_SumLines,"S","P"))</f>
        <v/>
      </c>
      <c r="N94" s="42" t="str">
        <f aca="false">IF(M94="","",IF(M94="S",MATCH(88,acc_SumSeq,0),MATCH(88-acc_SumLines,in_Seq,0)))</f>
        <v/>
      </c>
    </row>
    <row r="95" customFormat="false" ht="15" hidden="false" customHeight="false" outlineLevel="0" collapsed="false">
      <c r="A95" s="26" t="str">
        <f aca="false">IF(M95="","",JrnPrefix&amp;"-"&amp;TEXT(WeekEnd,"yyyymmdd"))</f>
        <v/>
      </c>
      <c r="B95" s="58" t="str">
        <f aca="false">IF(M95="","",WeekEnd)</f>
        <v/>
      </c>
      <c r="C95" s="52" t="str">
        <f aca="false">IF(M95="","",89)</f>
        <v/>
      </c>
      <c r="D95" s="26" t="str">
        <f aca="false">IF(M95="","",IF(M95="S",IF(INDEX(acc_SumAcct,N95)=MileGL,"Mileage summary","Expense summary"),"Caregiver payable"))</f>
        <v/>
      </c>
      <c r="E95" s="40" t="str">
        <f aca="false">IF(M95="","",IF(M95="S",INDEX(acc_SumAcct,N95),APGL))</f>
        <v/>
      </c>
      <c r="F95" s="26" t="str">
        <f aca="false">IF(M95="","",IF(M95="S",INDEX(acc_SumName,N95),APGLName))</f>
        <v/>
      </c>
      <c r="G95" s="59" t="str">
        <f aca="false">IF(M95="","",IF(M95="S",INDEX(acc_SumAmt,N95),0))</f>
        <v/>
      </c>
      <c r="H95" s="59" t="str">
        <f aca="false">IF(M95="","",IF(M95="S",0,INDEX(in_Payable,N95)))</f>
        <v/>
      </c>
      <c r="I95" s="40" t="str">
        <f aca="false">IF(M95&lt;&gt;"P","",IFERROR(INDEX(cg_Vendor,MATCH(INDEX(in_CGID,N95),cg_ID,0)),""))</f>
        <v/>
      </c>
      <c r="J95" s="26" t="str">
        <f aca="false">IF(M95&lt;&gt;"P","",INDEX(in_CGName,N95))</f>
        <v/>
      </c>
      <c r="K95" s="26" t="str">
        <f aca="false">IF(M95&lt;&gt;"P","",IFERROR(INDEX(cl_Payer,MATCH(INDEX(in_ClientID,N95),cl_ID,0)),"Unassigned"))</f>
        <v/>
      </c>
      <c r="L95" s="26" t="str">
        <f aca="false">IF(M95="","",IF(M95="S","Weekly caregiver pay, week ending "&amp;TEXT(WeekEnd,"m/d/yyyy"),INDEX(in_Svc,N95)&amp;" "&amp;INDEX(in_ClientID,N95)&amp;", "&amp;INDEX(in_Units,N95)&amp;" units"&amp;IF(N(INDEX(in_Miles,N95))&gt;0,", "&amp;INDEX(in_Miles,N95)&amp;" miles","")))</f>
        <v/>
      </c>
      <c r="M95" s="60" t="str">
        <f aca="false">IF(89&gt;acc_TotalLines,"",IF(89&lt;=acc_SumLines,"S","P"))</f>
        <v/>
      </c>
      <c r="N95" s="42" t="str">
        <f aca="false">IF(M95="","",IF(M95="S",MATCH(89,acc_SumSeq,0),MATCH(89-acc_SumLines,in_Seq,0)))</f>
        <v/>
      </c>
    </row>
    <row r="96" customFormat="false" ht="15" hidden="false" customHeight="false" outlineLevel="0" collapsed="false">
      <c r="A96" s="26" t="str">
        <f aca="false">IF(M96="","",JrnPrefix&amp;"-"&amp;TEXT(WeekEnd,"yyyymmdd"))</f>
        <v/>
      </c>
      <c r="B96" s="58" t="str">
        <f aca="false">IF(M96="","",WeekEnd)</f>
        <v/>
      </c>
      <c r="C96" s="52" t="str">
        <f aca="false">IF(M96="","",90)</f>
        <v/>
      </c>
      <c r="D96" s="26" t="str">
        <f aca="false">IF(M96="","",IF(M96="S",IF(INDEX(acc_SumAcct,N96)=MileGL,"Mileage summary","Expense summary"),"Caregiver payable"))</f>
        <v/>
      </c>
      <c r="E96" s="40" t="str">
        <f aca="false">IF(M96="","",IF(M96="S",INDEX(acc_SumAcct,N96),APGL))</f>
        <v/>
      </c>
      <c r="F96" s="26" t="str">
        <f aca="false">IF(M96="","",IF(M96="S",INDEX(acc_SumName,N96),APGLName))</f>
        <v/>
      </c>
      <c r="G96" s="59" t="str">
        <f aca="false">IF(M96="","",IF(M96="S",INDEX(acc_SumAmt,N96),0))</f>
        <v/>
      </c>
      <c r="H96" s="59" t="str">
        <f aca="false">IF(M96="","",IF(M96="S",0,INDEX(in_Payable,N96)))</f>
        <v/>
      </c>
      <c r="I96" s="40" t="str">
        <f aca="false">IF(M96&lt;&gt;"P","",IFERROR(INDEX(cg_Vendor,MATCH(INDEX(in_CGID,N96),cg_ID,0)),""))</f>
        <v/>
      </c>
      <c r="J96" s="26" t="str">
        <f aca="false">IF(M96&lt;&gt;"P","",INDEX(in_CGName,N96))</f>
        <v/>
      </c>
      <c r="K96" s="26" t="str">
        <f aca="false">IF(M96&lt;&gt;"P","",IFERROR(INDEX(cl_Payer,MATCH(INDEX(in_ClientID,N96),cl_ID,0)),"Unassigned"))</f>
        <v/>
      </c>
      <c r="L96" s="26" t="str">
        <f aca="false">IF(M96="","",IF(M96="S","Weekly caregiver pay, week ending "&amp;TEXT(WeekEnd,"m/d/yyyy"),INDEX(in_Svc,N96)&amp;" "&amp;INDEX(in_ClientID,N96)&amp;", "&amp;INDEX(in_Units,N96)&amp;" units"&amp;IF(N(INDEX(in_Miles,N96))&gt;0,", "&amp;INDEX(in_Miles,N96)&amp;" miles","")))</f>
        <v/>
      </c>
      <c r="M96" s="60" t="str">
        <f aca="false">IF(90&gt;acc_TotalLines,"",IF(90&lt;=acc_SumLines,"S","P"))</f>
        <v/>
      </c>
      <c r="N96" s="42" t="str">
        <f aca="false">IF(M96="","",IF(M96="S",MATCH(90,acc_SumSeq,0),MATCH(90-acc_SumLines,in_Seq,0)))</f>
        <v/>
      </c>
    </row>
    <row r="97" customFormat="false" ht="15" hidden="false" customHeight="false" outlineLevel="0" collapsed="false">
      <c r="A97" s="26" t="str">
        <f aca="false">IF(M97="","",JrnPrefix&amp;"-"&amp;TEXT(WeekEnd,"yyyymmdd"))</f>
        <v/>
      </c>
      <c r="B97" s="58" t="str">
        <f aca="false">IF(M97="","",WeekEnd)</f>
        <v/>
      </c>
      <c r="C97" s="52" t="str">
        <f aca="false">IF(M97="","",91)</f>
        <v/>
      </c>
      <c r="D97" s="26" t="str">
        <f aca="false">IF(M97="","",IF(M97="S",IF(INDEX(acc_SumAcct,N97)=MileGL,"Mileage summary","Expense summary"),"Caregiver payable"))</f>
        <v/>
      </c>
      <c r="E97" s="40" t="str">
        <f aca="false">IF(M97="","",IF(M97="S",INDEX(acc_SumAcct,N97),APGL))</f>
        <v/>
      </c>
      <c r="F97" s="26" t="str">
        <f aca="false">IF(M97="","",IF(M97="S",INDEX(acc_SumName,N97),APGLName))</f>
        <v/>
      </c>
      <c r="G97" s="59" t="str">
        <f aca="false">IF(M97="","",IF(M97="S",INDEX(acc_SumAmt,N97),0))</f>
        <v/>
      </c>
      <c r="H97" s="59" t="str">
        <f aca="false">IF(M97="","",IF(M97="S",0,INDEX(in_Payable,N97)))</f>
        <v/>
      </c>
      <c r="I97" s="40" t="str">
        <f aca="false">IF(M97&lt;&gt;"P","",IFERROR(INDEX(cg_Vendor,MATCH(INDEX(in_CGID,N97),cg_ID,0)),""))</f>
        <v/>
      </c>
      <c r="J97" s="26" t="str">
        <f aca="false">IF(M97&lt;&gt;"P","",INDEX(in_CGName,N97))</f>
        <v/>
      </c>
      <c r="K97" s="26" t="str">
        <f aca="false">IF(M97&lt;&gt;"P","",IFERROR(INDEX(cl_Payer,MATCH(INDEX(in_ClientID,N97),cl_ID,0)),"Unassigned"))</f>
        <v/>
      </c>
      <c r="L97" s="26" t="str">
        <f aca="false">IF(M97="","",IF(M97="S","Weekly caregiver pay, week ending "&amp;TEXT(WeekEnd,"m/d/yyyy"),INDEX(in_Svc,N97)&amp;" "&amp;INDEX(in_ClientID,N97)&amp;", "&amp;INDEX(in_Units,N97)&amp;" units"&amp;IF(N(INDEX(in_Miles,N97))&gt;0,", "&amp;INDEX(in_Miles,N97)&amp;" miles","")))</f>
        <v/>
      </c>
      <c r="M97" s="60" t="str">
        <f aca="false">IF(91&gt;acc_TotalLines,"",IF(91&lt;=acc_SumLines,"S","P"))</f>
        <v/>
      </c>
      <c r="N97" s="42" t="str">
        <f aca="false">IF(M97="","",IF(M97="S",MATCH(91,acc_SumSeq,0),MATCH(91-acc_SumLines,in_Seq,0)))</f>
        <v/>
      </c>
    </row>
    <row r="98" customFormat="false" ht="15" hidden="false" customHeight="false" outlineLevel="0" collapsed="false">
      <c r="A98" s="26" t="str">
        <f aca="false">IF(M98="","",JrnPrefix&amp;"-"&amp;TEXT(WeekEnd,"yyyymmdd"))</f>
        <v/>
      </c>
      <c r="B98" s="58" t="str">
        <f aca="false">IF(M98="","",WeekEnd)</f>
        <v/>
      </c>
      <c r="C98" s="52" t="str">
        <f aca="false">IF(M98="","",92)</f>
        <v/>
      </c>
      <c r="D98" s="26" t="str">
        <f aca="false">IF(M98="","",IF(M98="S",IF(INDEX(acc_SumAcct,N98)=MileGL,"Mileage summary","Expense summary"),"Caregiver payable"))</f>
        <v/>
      </c>
      <c r="E98" s="40" t="str">
        <f aca="false">IF(M98="","",IF(M98="S",INDEX(acc_SumAcct,N98),APGL))</f>
        <v/>
      </c>
      <c r="F98" s="26" t="str">
        <f aca="false">IF(M98="","",IF(M98="S",INDEX(acc_SumName,N98),APGLName))</f>
        <v/>
      </c>
      <c r="G98" s="59" t="str">
        <f aca="false">IF(M98="","",IF(M98="S",INDEX(acc_SumAmt,N98),0))</f>
        <v/>
      </c>
      <c r="H98" s="59" t="str">
        <f aca="false">IF(M98="","",IF(M98="S",0,INDEX(in_Payable,N98)))</f>
        <v/>
      </c>
      <c r="I98" s="40" t="str">
        <f aca="false">IF(M98&lt;&gt;"P","",IFERROR(INDEX(cg_Vendor,MATCH(INDEX(in_CGID,N98),cg_ID,0)),""))</f>
        <v/>
      </c>
      <c r="J98" s="26" t="str">
        <f aca="false">IF(M98&lt;&gt;"P","",INDEX(in_CGName,N98))</f>
        <v/>
      </c>
      <c r="K98" s="26" t="str">
        <f aca="false">IF(M98&lt;&gt;"P","",IFERROR(INDEX(cl_Payer,MATCH(INDEX(in_ClientID,N98),cl_ID,0)),"Unassigned"))</f>
        <v/>
      </c>
      <c r="L98" s="26" t="str">
        <f aca="false">IF(M98="","",IF(M98="S","Weekly caregiver pay, week ending "&amp;TEXT(WeekEnd,"m/d/yyyy"),INDEX(in_Svc,N98)&amp;" "&amp;INDEX(in_ClientID,N98)&amp;", "&amp;INDEX(in_Units,N98)&amp;" units"&amp;IF(N(INDEX(in_Miles,N98))&gt;0,", "&amp;INDEX(in_Miles,N98)&amp;" miles","")))</f>
        <v/>
      </c>
      <c r="M98" s="60" t="str">
        <f aca="false">IF(92&gt;acc_TotalLines,"",IF(92&lt;=acc_SumLines,"S","P"))</f>
        <v/>
      </c>
      <c r="N98" s="42" t="str">
        <f aca="false">IF(M98="","",IF(M98="S",MATCH(92,acc_SumSeq,0),MATCH(92-acc_SumLines,in_Seq,0)))</f>
        <v/>
      </c>
    </row>
    <row r="99" customFormat="false" ht="15" hidden="false" customHeight="false" outlineLevel="0" collapsed="false">
      <c r="A99" s="26" t="str">
        <f aca="false">IF(M99="","",JrnPrefix&amp;"-"&amp;TEXT(WeekEnd,"yyyymmdd"))</f>
        <v/>
      </c>
      <c r="B99" s="58" t="str">
        <f aca="false">IF(M99="","",WeekEnd)</f>
        <v/>
      </c>
      <c r="C99" s="52" t="str">
        <f aca="false">IF(M99="","",93)</f>
        <v/>
      </c>
      <c r="D99" s="26" t="str">
        <f aca="false">IF(M99="","",IF(M99="S",IF(INDEX(acc_SumAcct,N99)=MileGL,"Mileage summary","Expense summary"),"Caregiver payable"))</f>
        <v/>
      </c>
      <c r="E99" s="40" t="str">
        <f aca="false">IF(M99="","",IF(M99="S",INDEX(acc_SumAcct,N99),APGL))</f>
        <v/>
      </c>
      <c r="F99" s="26" t="str">
        <f aca="false">IF(M99="","",IF(M99="S",INDEX(acc_SumName,N99),APGLName))</f>
        <v/>
      </c>
      <c r="G99" s="59" t="str">
        <f aca="false">IF(M99="","",IF(M99="S",INDEX(acc_SumAmt,N99),0))</f>
        <v/>
      </c>
      <c r="H99" s="59" t="str">
        <f aca="false">IF(M99="","",IF(M99="S",0,INDEX(in_Payable,N99)))</f>
        <v/>
      </c>
      <c r="I99" s="40" t="str">
        <f aca="false">IF(M99&lt;&gt;"P","",IFERROR(INDEX(cg_Vendor,MATCH(INDEX(in_CGID,N99),cg_ID,0)),""))</f>
        <v/>
      </c>
      <c r="J99" s="26" t="str">
        <f aca="false">IF(M99&lt;&gt;"P","",INDEX(in_CGName,N99))</f>
        <v/>
      </c>
      <c r="K99" s="26" t="str">
        <f aca="false">IF(M99&lt;&gt;"P","",IFERROR(INDEX(cl_Payer,MATCH(INDEX(in_ClientID,N99),cl_ID,0)),"Unassigned"))</f>
        <v/>
      </c>
      <c r="L99" s="26" t="str">
        <f aca="false">IF(M99="","",IF(M99="S","Weekly caregiver pay, week ending "&amp;TEXT(WeekEnd,"m/d/yyyy"),INDEX(in_Svc,N99)&amp;" "&amp;INDEX(in_ClientID,N99)&amp;", "&amp;INDEX(in_Units,N99)&amp;" units"&amp;IF(N(INDEX(in_Miles,N99))&gt;0,", "&amp;INDEX(in_Miles,N99)&amp;" miles","")))</f>
        <v/>
      </c>
      <c r="M99" s="60" t="str">
        <f aca="false">IF(93&gt;acc_TotalLines,"",IF(93&lt;=acc_SumLines,"S","P"))</f>
        <v/>
      </c>
      <c r="N99" s="42" t="str">
        <f aca="false">IF(M99="","",IF(M99="S",MATCH(93,acc_SumSeq,0),MATCH(93-acc_SumLines,in_Seq,0)))</f>
        <v/>
      </c>
    </row>
    <row r="100" customFormat="false" ht="15" hidden="false" customHeight="false" outlineLevel="0" collapsed="false">
      <c r="A100" s="26" t="str">
        <f aca="false">IF(M100="","",JrnPrefix&amp;"-"&amp;TEXT(WeekEnd,"yyyymmdd"))</f>
        <v/>
      </c>
      <c r="B100" s="58" t="str">
        <f aca="false">IF(M100="","",WeekEnd)</f>
        <v/>
      </c>
      <c r="C100" s="52" t="str">
        <f aca="false">IF(M100="","",94)</f>
        <v/>
      </c>
      <c r="D100" s="26" t="str">
        <f aca="false">IF(M100="","",IF(M100="S",IF(INDEX(acc_SumAcct,N100)=MileGL,"Mileage summary","Expense summary"),"Caregiver payable"))</f>
        <v/>
      </c>
      <c r="E100" s="40" t="str">
        <f aca="false">IF(M100="","",IF(M100="S",INDEX(acc_SumAcct,N100),APGL))</f>
        <v/>
      </c>
      <c r="F100" s="26" t="str">
        <f aca="false">IF(M100="","",IF(M100="S",INDEX(acc_SumName,N100),APGLName))</f>
        <v/>
      </c>
      <c r="G100" s="59" t="str">
        <f aca="false">IF(M100="","",IF(M100="S",INDEX(acc_SumAmt,N100),0))</f>
        <v/>
      </c>
      <c r="H100" s="59" t="str">
        <f aca="false">IF(M100="","",IF(M100="S",0,INDEX(in_Payable,N100)))</f>
        <v/>
      </c>
      <c r="I100" s="40" t="str">
        <f aca="false">IF(M100&lt;&gt;"P","",IFERROR(INDEX(cg_Vendor,MATCH(INDEX(in_CGID,N100),cg_ID,0)),""))</f>
        <v/>
      </c>
      <c r="J100" s="26" t="str">
        <f aca="false">IF(M100&lt;&gt;"P","",INDEX(in_CGName,N100))</f>
        <v/>
      </c>
      <c r="K100" s="26" t="str">
        <f aca="false">IF(M100&lt;&gt;"P","",IFERROR(INDEX(cl_Payer,MATCH(INDEX(in_ClientID,N100),cl_ID,0)),"Unassigned"))</f>
        <v/>
      </c>
      <c r="L100" s="26" t="str">
        <f aca="false">IF(M100="","",IF(M100="S","Weekly caregiver pay, week ending "&amp;TEXT(WeekEnd,"m/d/yyyy"),INDEX(in_Svc,N100)&amp;" "&amp;INDEX(in_ClientID,N100)&amp;", "&amp;INDEX(in_Units,N100)&amp;" units"&amp;IF(N(INDEX(in_Miles,N100))&gt;0,", "&amp;INDEX(in_Miles,N100)&amp;" miles","")))</f>
        <v/>
      </c>
      <c r="M100" s="60" t="str">
        <f aca="false">IF(94&gt;acc_TotalLines,"",IF(94&lt;=acc_SumLines,"S","P"))</f>
        <v/>
      </c>
      <c r="N100" s="42" t="str">
        <f aca="false">IF(M100="","",IF(M100="S",MATCH(94,acc_SumSeq,0),MATCH(94-acc_SumLines,in_Seq,0)))</f>
        <v/>
      </c>
    </row>
    <row r="101" customFormat="false" ht="15" hidden="false" customHeight="false" outlineLevel="0" collapsed="false">
      <c r="A101" s="26" t="str">
        <f aca="false">IF(M101="","",JrnPrefix&amp;"-"&amp;TEXT(WeekEnd,"yyyymmdd"))</f>
        <v/>
      </c>
      <c r="B101" s="58" t="str">
        <f aca="false">IF(M101="","",WeekEnd)</f>
        <v/>
      </c>
      <c r="C101" s="52" t="str">
        <f aca="false">IF(M101="","",95)</f>
        <v/>
      </c>
      <c r="D101" s="26" t="str">
        <f aca="false">IF(M101="","",IF(M101="S",IF(INDEX(acc_SumAcct,N101)=MileGL,"Mileage summary","Expense summary"),"Caregiver payable"))</f>
        <v/>
      </c>
      <c r="E101" s="40" t="str">
        <f aca="false">IF(M101="","",IF(M101="S",INDEX(acc_SumAcct,N101),APGL))</f>
        <v/>
      </c>
      <c r="F101" s="26" t="str">
        <f aca="false">IF(M101="","",IF(M101="S",INDEX(acc_SumName,N101),APGLName))</f>
        <v/>
      </c>
      <c r="G101" s="59" t="str">
        <f aca="false">IF(M101="","",IF(M101="S",INDEX(acc_SumAmt,N101),0))</f>
        <v/>
      </c>
      <c r="H101" s="59" t="str">
        <f aca="false">IF(M101="","",IF(M101="S",0,INDEX(in_Payable,N101)))</f>
        <v/>
      </c>
      <c r="I101" s="40" t="str">
        <f aca="false">IF(M101&lt;&gt;"P","",IFERROR(INDEX(cg_Vendor,MATCH(INDEX(in_CGID,N101),cg_ID,0)),""))</f>
        <v/>
      </c>
      <c r="J101" s="26" t="str">
        <f aca="false">IF(M101&lt;&gt;"P","",INDEX(in_CGName,N101))</f>
        <v/>
      </c>
      <c r="K101" s="26" t="str">
        <f aca="false">IF(M101&lt;&gt;"P","",IFERROR(INDEX(cl_Payer,MATCH(INDEX(in_ClientID,N101),cl_ID,0)),"Unassigned"))</f>
        <v/>
      </c>
      <c r="L101" s="26" t="str">
        <f aca="false">IF(M101="","",IF(M101="S","Weekly caregiver pay, week ending "&amp;TEXT(WeekEnd,"m/d/yyyy"),INDEX(in_Svc,N101)&amp;" "&amp;INDEX(in_ClientID,N101)&amp;", "&amp;INDEX(in_Units,N101)&amp;" units"&amp;IF(N(INDEX(in_Miles,N101))&gt;0,", "&amp;INDEX(in_Miles,N101)&amp;" miles","")))</f>
        <v/>
      </c>
      <c r="M101" s="60" t="str">
        <f aca="false">IF(95&gt;acc_TotalLines,"",IF(95&lt;=acc_SumLines,"S","P"))</f>
        <v/>
      </c>
      <c r="N101" s="42" t="str">
        <f aca="false">IF(M101="","",IF(M101="S",MATCH(95,acc_SumSeq,0),MATCH(95-acc_SumLines,in_Seq,0)))</f>
        <v/>
      </c>
    </row>
    <row r="102" customFormat="false" ht="15" hidden="false" customHeight="false" outlineLevel="0" collapsed="false">
      <c r="A102" s="26" t="str">
        <f aca="false">IF(M102="","",JrnPrefix&amp;"-"&amp;TEXT(WeekEnd,"yyyymmdd"))</f>
        <v/>
      </c>
      <c r="B102" s="58" t="str">
        <f aca="false">IF(M102="","",WeekEnd)</f>
        <v/>
      </c>
      <c r="C102" s="52" t="str">
        <f aca="false">IF(M102="","",96)</f>
        <v/>
      </c>
      <c r="D102" s="26" t="str">
        <f aca="false">IF(M102="","",IF(M102="S",IF(INDEX(acc_SumAcct,N102)=MileGL,"Mileage summary","Expense summary"),"Caregiver payable"))</f>
        <v/>
      </c>
      <c r="E102" s="40" t="str">
        <f aca="false">IF(M102="","",IF(M102="S",INDEX(acc_SumAcct,N102),APGL))</f>
        <v/>
      </c>
      <c r="F102" s="26" t="str">
        <f aca="false">IF(M102="","",IF(M102="S",INDEX(acc_SumName,N102),APGLName))</f>
        <v/>
      </c>
      <c r="G102" s="59" t="str">
        <f aca="false">IF(M102="","",IF(M102="S",INDEX(acc_SumAmt,N102),0))</f>
        <v/>
      </c>
      <c r="H102" s="59" t="str">
        <f aca="false">IF(M102="","",IF(M102="S",0,INDEX(in_Payable,N102)))</f>
        <v/>
      </c>
      <c r="I102" s="40" t="str">
        <f aca="false">IF(M102&lt;&gt;"P","",IFERROR(INDEX(cg_Vendor,MATCH(INDEX(in_CGID,N102),cg_ID,0)),""))</f>
        <v/>
      </c>
      <c r="J102" s="26" t="str">
        <f aca="false">IF(M102&lt;&gt;"P","",INDEX(in_CGName,N102))</f>
        <v/>
      </c>
      <c r="K102" s="26" t="str">
        <f aca="false">IF(M102&lt;&gt;"P","",IFERROR(INDEX(cl_Payer,MATCH(INDEX(in_ClientID,N102),cl_ID,0)),"Unassigned"))</f>
        <v/>
      </c>
      <c r="L102" s="26" t="str">
        <f aca="false">IF(M102="","",IF(M102="S","Weekly caregiver pay, week ending "&amp;TEXT(WeekEnd,"m/d/yyyy"),INDEX(in_Svc,N102)&amp;" "&amp;INDEX(in_ClientID,N102)&amp;", "&amp;INDEX(in_Units,N102)&amp;" units"&amp;IF(N(INDEX(in_Miles,N102))&gt;0,", "&amp;INDEX(in_Miles,N102)&amp;" miles","")))</f>
        <v/>
      </c>
      <c r="M102" s="60" t="str">
        <f aca="false">IF(96&gt;acc_TotalLines,"",IF(96&lt;=acc_SumLines,"S","P"))</f>
        <v/>
      </c>
      <c r="N102" s="42" t="str">
        <f aca="false">IF(M102="","",IF(M102="S",MATCH(96,acc_SumSeq,0),MATCH(96-acc_SumLines,in_Seq,0)))</f>
        <v/>
      </c>
    </row>
    <row r="103" customFormat="false" ht="15" hidden="false" customHeight="false" outlineLevel="0" collapsed="false">
      <c r="A103" s="26" t="str">
        <f aca="false">IF(M103="","",JrnPrefix&amp;"-"&amp;TEXT(WeekEnd,"yyyymmdd"))</f>
        <v/>
      </c>
      <c r="B103" s="58" t="str">
        <f aca="false">IF(M103="","",WeekEnd)</f>
        <v/>
      </c>
      <c r="C103" s="52" t="str">
        <f aca="false">IF(M103="","",97)</f>
        <v/>
      </c>
      <c r="D103" s="26" t="str">
        <f aca="false">IF(M103="","",IF(M103="S",IF(INDEX(acc_SumAcct,N103)=MileGL,"Mileage summary","Expense summary"),"Caregiver payable"))</f>
        <v/>
      </c>
      <c r="E103" s="40" t="str">
        <f aca="false">IF(M103="","",IF(M103="S",INDEX(acc_SumAcct,N103),APGL))</f>
        <v/>
      </c>
      <c r="F103" s="26" t="str">
        <f aca="false">IF(M103="","",IF(M103="S",INDEX(acc_SumName,N103),APGLName))</f>
        <v/>
      </c>
      <c r="G103" s="59" t="str">
        <f aca="false">IF(M103="","",IF(M103="S",INDEX(acc_SumAmt,N103),0))</f>
        <v/>
      </c>
      <c r="H103" s="59" t="str">
        <f aca="false">IF(M103="","",IF(M103="S",0,INDEX(in_Payable,N103)))</f>
        <v/>
      </c>
      <c r="I103" s="40" t="str">
        <f aca="false">IF(M103&lt;&gt;"P","",IFERROR(INDEX(cg_Vendor,MATCH(INDEX(in_CGID,N103),cg_ID,0)),""))</f>
        <v/>
      </c>
      <c r="J103" s="26" t="str">
        <f aca="false">IF(M103&lt;&gt;"P","",INDEX(in_CGName,N103))</f>
        <v/>
      </c>
      <c r="K103" s="26" t="str">
        <f aca="false">IF(M103&lt;&gt;"P","",IFERROR(INDEX(cl_Payer,MATCH(INDEX(in_ClientID,N103),cl_ID,0)),"Unassigned"))</f>
        <v/>
      </c>
      <c r="L103" s="26" t="str">
        <f aca="false">IF(M103="","",IF(M103="S","Weekly caregiver pay, week ending "&amp;TEXT(WeekEnd,"m/d/yyyy"),INDEX(in_Svc,N103)&amp;" "&amp;INDEX(in_ClientID,N103)&amp;", "&amp;INDEX(in_Units,N103)&amp;" units"&amp;IF(N(INDEX(in_Miles,N103))&gt;0,", "&amp;INDEX(in_Miles,N103)&amp;" miles","")))</f>
        <v/>
      </c>
      <c r="M103" s="60" t="str">
        <f aca="false">IF(97&gt;acc_TotalLines,"",IF(97&lt;=acc_SumLines,"S","P"))</f>
        <v/>
      </c>
      <c r="N103" s="42" t="str">
        <f aca="false">IF(M103="","",IF(M103="S",MATCH(97,acc_SumSeq,0),MATCH(97-acc_SumLines,in_Seq,0)))</f>
        <v/>
      </c>
    </row>
    <row r="104" customFormat="false" ht="15" hidden="false" customHeight="false" outlineLevel="0" collapsed="false">
      <c r="A104" s="26" t="str">
        <f aca="false">IF(M104="","",JrnPrefix&amp;"-"&amp;TEXT(WeekEnd,"yyyymmdd"))</f>
        <v/>
      </c>
      <c r="B104" s="58" t="str">
        <f aca="false">IF(M104="","",WeekEnd)</f>
        <v/>
      </c>
      <c r="C104" s="52" t="str">
        <f aca="false">IF(M104="","",98)</f>
        <v/>
      </c>
      <c r="D104" s="26" t="str">
        <f aca="false">IF(M104="","",IF(M104="S",IF(INDEX(acc_SumAcct,N104)=MileGL,"Mileage summary","Expense summary"),"Caregiver payable"))</f>
        <v/>
      </c>
      <c r="E104" s="40" t="str">
        <f aca="false">IF(M104="","",IF(M104="S",INDEX(acc_SumAcct,N104),APGL))</f>
        <v/>
      </c>
      <c r="F104" s="26" t="str">
        <f aca="false">IF(M104="","",IF(M104="S",INDEX(acc_SumName,N104),APGLName))</f>
        <v/>
      </c>
      <c r="G104" s="59" t="str">
        <f aca="false">IF(M104="","",IF(M104="S",INDEX(acc_SumAmt,N104),0))</f>
        <v/>
      </c>
      <c r="H104" s="59" t="str">
        <f aca="false">IF(M104="","",IF(M104="S",0,INDEX(in_Payable,N104)))</f>
        <v/>
      </c>
      <c r="I104" s="40" t="str">
        <f aca="false">IF(M104&lt;&gt;"P","",IFERROR(INDEX(cg_Vendor,MATCH(INDEX(in_CGID,N104),cg_ID,0)),""))</f>
        <v/>
      </c>
      <c r="J104" s="26" t="str">
        <f aca="false">IF(M104&lt;&gt;"P","",INDEX(in_CGName,N104))</f>
        <v/>
      </c>
      <c r="K104" s="26" t="str">
        <f aca="false">IF(M104&lt;&gt;"P","",IFERROR(INDEX(cl_Payer,MATCH(INDEX(in_ClientID,N104),cl_ID,0)),"Unassigned"))</f>
        <v/>
      </c>
      <c r="L104" s="26" t="str">
        <f aca="false">IF(M104="","",IF(M104="S","Weekly caregiver pay, week ending "&amp;TEXT(WeekEnd,"m/d/yyyy"),INDEX(in_Svc,N104)&amp;" "&amp;INDEX(in_ClientID,N104)&amp;", "&amp;INDEX(in_Units,N104)&amp;" units"&amp;IF(N(INDEX(in_Miles,N104))&gt;0,", "&amp;INDEX(in_Miles,N104)&amp;" miles","")))</f>
        <v/>
      </c>
      <c r="M104" s="60" t="str">
        <f aca="false">IF(98&gt;acc_TotalLines,"",IF(98&lt;=acc_SumLines,"S","P"))</f>
        <v/>
      </c>
      <c r="N104" s="42" t="str">
        <f aca="false">IF(M104="","",IF(M104="S",MATCH(98,acc_SumSeq,0),MATCH(98-acc_SumLines,in_Seq,0)))</f>
        <v/>
      </c>
    </row>
    <row r="105" customFormat="false" ht="15" hidden="false" customHeight="false" outlineLevel="0" collapsed="false">
      <c r="A105" s="26" t="str">
        <f aca="false">IF(M105="","",JrnPrefix&amp;"-"&amp;TEXT(WeekEnd,"yyyymmdd"))</f>
        <v/>
      </c>
      <c r="B105" s="58" t="str">
        <f aca="false">IF(M105="","",WeekEnd)</f>
        <v/>
      </c>
      <c r="C105" s="52" t="str">
        <f aca="false">IF(M105="","",99)</f>
        <v/>
      </c>
      <c r="D105" s="26" t="str">
        <f aca="false">IF(M105="","",IF(M105="S",IF(INDEX(acc_SumAcct,N105)=MileGL,"Mileage summary","Expense summary"),"Caregiver payable"))</f>
        <v/>
      </c>
      <c r="E105" s="40" t="str">
        <f aca="false">IF(M105="","",IF(M105="S",INDEX(acc_SumAcct,N105),APGL))</f>
        <v/>
      </c>
      <c r="F105" s="26" t="str">
        <f aca="false">IF(M105="","",IF(M105="S",INDEX(acc_SumName,N105),APGLName))</f>
        <v/>
      </c>
      <c r="G105" s="59" t="str">
        <f aca="false">IF(M105="","",IF(M105="S",INDEX(acc_SumAmt,N105),0))</f>
        <v/>
      </c>
      <c r="H105" s="59" t="str">
        <f aca="false">IF(M105="","",IF(M105="S",0,INDEX(in_Payable,N105)))</f>
        <v/>
      </c>
      <c r="I105" s="40" t="str">
        <f aca="false">IF(M105&lt;&gt;"P","",IFERROR(INDEX(cg_Vendor,MATCH(INDEX(in_CGID,N105),cg_ID,0)),""))</f>
        <v/>
      </c>
      <c r="J105" s="26" t="str">
        <f aca="false">IF(M105&lt;&gt;"P","",INDEX(in_CGName,N105))</f>
        <v/>
      </c>
      <c r="K105" s="26" t="str">
        <f aca="false">IF(M105&lt;&gt;"P","",IFERROR(INDEX(cl_Payer,MATCH(INDEX(in_ClientID,N105),cl_ID,0)),"Unassigned"))</f>
        <v/>
      </c>
      <c r="L105" s="26" t="str">
        <f aca="false">IF(M105="","",IF(M105="S","Weekly caregiver pay, week ending "&amp;TEXT(WeekEnd,"m/d/yyyy"),INDEX(in_Svc,N105)&amp;" "&amp;INDEX(in_ClientID,N105)&amp;", "&amp;INDEX(in_Units,N105)&amp;" units"&amp;IF(N(INDEX(in_Miles,N105))&gt;0,", "&amp;INDEX(in_Miles,N105)&amp;" miles","")))</f>
        <v/>
      </c>
      <c r="M105" s="60" t="str">
        <f aca="false">IF(99&gt;acc_TotalLines,"",IF(99&lt;=acc_SumLines,"S","P"))</f>
        <v/>
      </c>
      <c r="N105" s="42" t="str">
        <f aca="false">IF(M105="","",IF(M105="S",MATCH(99,acc_SumSeq,0),MATCH(99-acc_SumLines,in_Seq,0)))</f>
        <v/>
      </c>
    </row>
    <row r="106" customFormat="false" ht="15" hidden="false" customHeight="false" outlineLevel="0" collapsed="false">
      <c r="A106" s="26" t="str">
        <f aca="false">IF(M106="","",JrnPrefix&amp;"-"&amp;TEXT(WeekEnd,"yyyymmdd"))</f>
        <v/>
      </c>
      <c r="B106" s="58" t="str">
        <f aca="false">IF(M106="","",WeekEnd)</f>
        <v/>
      </c>
      <c r="C106" s="52" t="str">
        <f aca="false">IF(M106="","",100)</f>
        <v/>
      </c>
      <c r="D106" s="26" t="str">
        <f aca="false">IF(M106="","",IF(M106="S",IF(INDEX(acc_SumAcct,N106)=MileGL,"Mileage summary","Expense summary"),"Caregiver payable"))</f>
        <v/>
      </c>
      <c r="E106" s="40" t="str">
        <f aca="false">IF(M106="","",IF(M106="S",INDEX(acc_SumAcct,N106),APGL))</f>
        <v/>
      </c>
      <c r="F106" s="26" t="str">
        <f aca="false">IF(M106="","",IF(M106="S",INDEX(acc_SumName,N106),APGLName))</f>
        <v/>
      </c>
      <c r="G106" s="59" t="str">
        <f aca="false">IF(M106="","",IF(M106="S",INDEX(acc_SumAmt,N106),0))</f>
        <v/>
      </c>
      <c r="H106" s="59" t="str">
        <f aca="false">IF(M106="","",IF(M106="S",0,INDEX(in_Payable,N106)))</f>
        <v/>
      </c>
      <c r="I106" s="40" t="str">
        <f aca="false">IF(M106&lt;&gt;"P","",IFERROR(INDEX(cg_Vendor,MATCH(INDEX(in_CGID,N106),cg_ID,0)),""))</f>
        <v/>
      </c>
      <c r="J106" s="26" t="str">
        <f aca="false">IF(M106&lt;&gt;"P","",INDEX(in_CGName,N106))</f>
        <v/>
      </c>
      <c r="K106" s="26" t="str">
        <f aca="false">IF(M106&lt;&gt;"P","",IFERROR(INDEX(cl_Payer,MATCH(INDEX(in_ClientID,N106),cl_ID,0)),"Unassigned"))</f>
        <v/>
      </c>
      <c r="L106" s="26" t="str">
        <f aca="false">IF(M106="","",IF(M106="S","Weekly caregiver pay, week ending "&amp;TEXT(WeekEnd,"m/d/yyyy"),INDEX(in_Svc,N106)&amp;" "&amp;INDEX(in_ClientID,N106)&amp;", "&amp;INDEX(in_Units,N106)&amp;" units"&amp;IF(N(INDEX(in_Miles,N106))&gt;0,", "&amp;INDEX(in_Miles,N106)&amp;" miles","")))</f>
        <v/>
      </c>
      <c r="M106" s="60" t="str">
        <f aca="false">IF(100&gt;acc_TotalLines,"",IF(100&lt;=acc_SumLines,"S","P"))</f>
        <v/>
      </c>
      <c r="N106" s="42" t="str">
        <f aca="false">IF(M106="","",IF(M106="S",MATCH(100,acc_SumSeq,0),MATCH(100-acc_SumLines,in_Seq,0)))</f>
        <v/>
      </c>
    </row>
    <row r="107" customFormat="false" ht="15" hidden="false" customHeight="false" outlineLevel="0" collapsed="false">
      <c r="A107" s="26" t="str">
        <f aca="false">IF(M107="","",JrnPrefix&amp;"-"&amp;TEXT(WeekEnd,"yyyymmdd"))</f>
        <v/>
      </c>
      <c r="B107" s="58" t="str">
        <f aca="false">IF(M107="","",WeekEnd)</f>
        <v/>
      </c>
      <c r="C107" s="52" t="str">
        <f aca="false">IF(M107="","",101)</f>
        <v/>
      </c>
      <c r="D107" s="26" t="str">
        <f aca="false">IF(M107="","",IF(M107="S",IF(INDEX(acc_SumAcct,N107)=MileGL,"Mileage summary","Expense summary"),"Caregiver payable"))</f>
        <v/>
      </c>
      <c r="E107" s="40" t="str">
        <f aca="false">IF(M107="","",IF(M107="S",INDEX(acc_SumAcct,N107),APGL))</f>
        <v/>
      </c>
      <c r="F107" s="26" t="str">
        <f aca="false">IF(M107="","",IF(M107="S",INDEX(acc_SumName,N107),APGLName))</f>
        <v/>
      </c>
      <c r="G107" s="59" t="str">
        <f aca="false">IF(M107="","",IF(M107="S",INDEX(acc_SumAmt,N107),0))</f>
        <v/>
      </c>
      <c r="H107" s="59" t="str">
        <f aca="false">IF(M107="","",IF(M107="S",0,INDEX(in_Payable,N107)))</f>
        <v/>
      </c>
      <c r="I107" s="40" t="str">
        <f aca="false">IF(M107&lt;&gt;"P","",IFERROR(INDEX(cg_Vendor,MATCH(INDEX(in_CGID,N107),cg_ID,0)),""))</f>
        <v/>
      </c>
      <c r="J107" s="26" t="str">
        <f aca="false">IF(M107&lt;&gt;"P","",INDEX(in_CGName,N107))</f>
        <v/>
      </c>
      <c r="K107" s="26" t="str">
        <f aca="false">IF(M107&lt;&gt;"P","",IFERROR(INDEX(cl_Payer,MATCH(INDEX(in_ClientID,N107),cl_ID,0)),"Unassigned"))</f>
        <v/>
      </c>
      <c r="L107" s="26" t="str">
        <f aca="false">IF(M107="","",IF(M107="S","Weekly caregiver pay, week ending "&amp;TEXT(WeekEnd,"m/d/yyyy"),INDEX(in_Svc,N107)&amp;" "&amp;INDEX(in_ClientID,N107)&amp;", "&amp;INDEX(in_Units,N107)&amp;" units"&amp;IF(N(INDEX(in_Miles,N107))&gt;0,", "&amp;INDEX(in_Miles,N107)&amp;" miles","")))</f>
        <v/>
      </c>
      <c r="M107" s="60" t="str">
        <f aca="false">IF(101&gt;acc_TotalLines,"",IF(101&lt;=acc_SumLines,"S","P"))</f>
        <v/>
      </c>
      <c r="N107" s="42" t="str">
        <f aca="false">IF(M107="","",IF(M107="S",MATCH(101,acc_SumSeq,0),MATCH(101-acc_SumLines,in_Seq,0)))</f>
        <v/>
      </c>
    </row>
    <row r="108" customFormat="false" ht="15" hidden="false" customHeight="false" outlineLevel="0" collapsed="false">
      <c r="A108" s="26" t="str">
        <f aca="false">IF(M108="","",JrnPrefix&amp;"-"&amp;TEXT(WeekEnd,"yyyymmdd"))</f>
        <v/>
      </c>
      <c r="B108" s="58" t="str">
        <f aca="false">IF(M108="","",WeekEnd)</f>
        <v/>
      </c>
      <c r="C108" s="52" t="str">
        <f aca="false">IF(M108="","",102)</f>
        <v/>
      </c>
      <c r="D108" s="26" t="str">
        <f aca="false">IF(M108="","",IF(M108="S",IF(INDEX(acc_SumAcct,N108)=MileGL,"Mileage summary","Expense summary"),"Caregiver payable"))</f>
        <v/>
      </c>
      <c r="E108" s="40" t="str">
        <f aca="false">IF(M108="","",IF(M108="S",INDEX(acc_SumAcct,N108),APGL))</f>
        <v/>
      </c>
      <c r="F108" s="26" t="str">
        <f aca="false">IF(M108="","",IF(M108="S",INDEX(acc_SumName,N108),APGLName))</f>
        <v/>
      </c>
      <c r="G108" s="59" t="str">
        <f aca="false">IF(M108="","",IF(M108="S",INDEX(acc_SumAmt,N108),0))</f>
        <v/>
      </c>
      <c r="H108" s="59" t="str">
        <f aca="false">IF(M108="","",IF(M108="S",0,INDEX(in_Payable,N108)))</f>
        <v/>
      </c>
      <c r="I108" s="40" t="str">
        <f aca="false">IF(M108&lt;&gt;"P","",IFERROR(INDEX(cg_Vendor,MATCH(INDEX(in_CGID,N108),cg_ID,0)),""))</f>
        <v/>
      </c>
      <c r="J108" s="26" t="str">
        <f aca="false">IF(M108&lt;&gt;"P","",INDEX(in_CGName,N108))</f>
        <v/>
      </c>
      <c r="K108" s="26" t="str">
        <f aca="false">IF(M108&lt;&gt;"P","",IFERROR(INDEX(cl_Payer,MATCH(INDEX(in_ClientID,N108),cl_ID,0)),"Unassigned"))</f>
        <v/>
      </c>
      <c r="L108" s="26" t="str">
        <f aca="false">IF(M108="","",IF(M108="S","Weekly caregiver pay, week ending "&amp;TEXT(WeekEnd,"m/d/yyyy"),INDEX(in_Svc,N108)&amp;" "&amp;INDEX(in_ClientID,N108)&amp;", "&amp;INDEX(in_Units,N108)&amp;" units"&amp;IF(N(INDEX(in_Miles,N108))&gt;0,", "&amp;INDEX(in_Miles,N108)&amp;" miles","")))</f>
        <v/>
      </c>
      <c r="M108" s="60" t="str">
        <f aca="false">IF(102&gt;acc_TotalLines,"",IF(102&lt;=acc_SumLines,"S","P"))</f>
        <v/>
      </c>
      <c r="N108" s="42" t="str">
        <f aca="false">IF(M108="","",IF(M108="S",MATCH(102,acc_SumSeq,0),MATCH(102-acc_SumLines,in_Seq,0)))</f>
        <v/>
      </c>
    </row>
    <row r="109" customFormat="false" ht="15" hidden="false" customHeight="false" outlineLevel="0" collapsed="false">
      <c r="A109" s="26" t="str">
        <f aca="false">IF(M109="","",JrnPrefix&amp;"-"&amp;TEXT(WeekEnd,"yyyymmdd"))</f>
        <v/>
      </c>
      <c r="B109" s="58" t="str">
        <f aca="false">IF(M109="","",WeekEnd)</f>
        <v/>
      </c>
      <c r="C109" s="52" t="str">
        <f aca="false">IF(M109="","",103)</f>
        <v/>
      </c>
      <c r="D109" s="26" t="str">
        <f aca="false">IF(M109="","",IF(M109="S",IF(INDEX(acc_SumAcct,N109)=MileGL,"Mileage summary","Expense summary"),"Caregiver payable"))</f>
        <v/>
      </c>
      <c r="E109" s="40" t="str">
        <f aca="false">IF(M109="","",IF(M109="S",INDEX(acc_SumAcct,N109),APGL))</f>
        <v/>
      </c>
      <c r="F109" s="26" t="str">
        <f aca="false">IF(M109="","",IF(M109="S",INDEX(acc_SumName,N109),APGLName))</f>
        <v/>
      </c>
      <c r="G109" s="59" t="str">
        <f aca="false">IF(M109="","",IF(M109="S",INDEX(acc_SumAmt,N109),0))</f>
        <v/>
      </c>
      <c r="H109" s="59" t="str">
        <f aca="false">IF(M109="","",IF(M109="S",0,INDEX(in_Payable,N109)))</f>
        <v/>
      </c>
      <c r="I109" s="40" t="str">
        <f aca="false">IF(M109&lt;&gt;"P","",IFERROR(INDEX(cg_Vendor,MATCH(INDEX(in_CGID,N109),cg_ID,0)),""))</f>
        <v/>
      </c>
      <c r="J109" s="26" t="str">
        <f aca="false">IF(M109&lt;&gt;"P","",INDEX(in_CGName,N109))</f>
        <v/>
      </c>
      <c r="K109" s="26" t="str">
        <f aca="false">IF(M109&lt;&gt;"P","",IFERROR(INDEX(cl_Payer,MATCH(INDEX(in_ClientID,N109),cl_ID,0)),"Unassigned"))</f>
        <v/>
      </c>
      <c r="L109" s="26" t="str">
        <f aca="false">IF(M109="","",IF(M109="S","Weekly caregiver pay, week ending "&amp;TEXT(WeekEnd,"m/d/yyyy"),INDEX(in_Svc,N109)&amp;" "&amp;INDEX(in_ClientID,N109)&amp;", "&amp;INDEX(in_Units,N109)&amp;" units"&amp;IF(N(INDEX(in_Miles,N109))&gt;0,", "&amp;INDEX(in_Miles,N109)&amp;" miles","")))</f>
        <v/>
      </c>
      <c r="M109" s="60" t="str">
        <f aca="false">IF(103&gt;acc_TotalLines,"",IF(103&lt;=acc_SumLines,"S","P"))</f>
        <v/>
      </c>
      <c r="N109" s="42" t="str">
        <f aca="false">IF(M109="","",IF(M109="S",MATCH(103,acc_SumSeq,0),MATCH(103-acc_SumLines,in_Seq,0)))</f>
        <v/>
      </c>
    </row>
    <row r="110" customFormat="false" ht="15" hidden="false" customHeight="false" outlineLevel="0" collapsed="false">
      <c r="A110" s="26" t="str">
        <f aca="false">IF(M110="","",JrnPrefix&amp;"-"&amp;TEXT(WeekEnd,"yyyymmdd"))</f>
        <v/>
      </c>
      <c r="B110" s="58" t="str">
        <f aca="false">IF(M110="","",WeekEnd)</f>
        <v/>
      </c>
      <c r="C110" s="52" t="str">
        <f aca="false">IF(M110="","",104)</f>
        <v/>
      </c>
      <c r="D110" s="26" t="str">
        <f aca="false">IF(M110="","",IF(M110="S",IF(INDEX(acc_SumAcct,N110)=MileGL,"Mileage summary","Expense summary"),"Caregiver payable"))</f>
        <v/>
      </c>
      <c r="E110" s="40" t="str">
        <f aca="false">IF(M110="","",IF(M110="S",INDEX(acc_SumAcct,N110),APGL))</f>
        <v/>
      </c>
      <c r="F110" s="26" t="str">
        <f aca="false">IF(M110="","",IF(M110="S",INDEX(acc_SumName,N110),APGLName))</f>
        <v/>
      </c>
      <c r="G110" s="59" t="str">
        <f aca="false">IF(M110="","",IF(M110="S",INDEX(acc_SumAmt,N110),0))</f>
        <v/>
      </c>
      <c r="H110" s="59" t="str">
        <f aca="false">IF(M110="","",IF(M110="S",0,INDEX(in_Payable,N110)))</f>
        <v/>
      </c>
      <c r="I110" s="40" t="str">
        <f aca="false">IF(M110&lt;&gt;"P","",IFERROR(INDEX(cg_Vendor,MATCH(INDEX(in_CGID,N110),cg_ID,0)),""))</f>
        <v/>
      </c>
      <c r="J110" s="26" t="str">
        <f aca="false">IF(M110&lt;&gt;"P","",INDEX(in_CGName,N110))</f>
        <v/>
      </c>
      <c r="K110" s="26" t="str">
        <f aca="false">IF(M110&lt;&gt;"P","",IFERROR(INDEX(cl_Payer,MATCH(INDEX(in_ClientID,N110),cl_ID,0)),"Unassigned"))</f>
        <v/>
      </c>
      <c r="L110" s="26" t="str">
        <f aca="false">IF(M110="","",IF(M110="S","Weekly caregiver pay, week ending "&amp;TEXT(WeekEnd,"m/d/yyyy"),INDEX(in_Svc,N110)&amp;" "&amp;INDEX(in_ClientID,N110)&amp;", "&amp;INDEX(in_Units,N110)&amp;" units"&amp;IF(N(INDEX(in_Miles,N110))&gt;0,", "&amp;INDEX(in_Miles,N110)&amp;" miles","")))</f>
        <v/>
      </c>
      <c r="M110" s="60" t="str">
        <f aca="false">IF(104&gt;acc_TotalLines,"",IF(104&lt;=acc_SumLines,"S","P"))</f>
        <v/>
      </c>
      <c r="N110" s="42" t="str">
        <f aca="false">IF(M110="","",IF(M110="S",MATCH(104,acc_SumSeq,0),MATCH(104-acc_SumLines,in_Seq,0)))</f>
        <v/>
      </c>
    </row>
    <row r="111" customFormat="false" ht="15" hidden="false" customHeight="false" outlineLevel="0" collapsed="false">
      <c r="A111" s="26" t="str">
        <f aca="false">IF(M111="","",JrnPrefix&amp;"-"&amp;TEXT(WeekEnd,"yyyymmdd"))</f>
        <v/>
      </c>
      <c r="B111" s="58" t="str">
        <f aca="false">IF(M111="","",WeekEnd)</f>
        <v/>
      </c>
      <c r="C111" s="52" t="str">
        <f aca="false">IF(M111="","",105)</f>
        <v/>
      </c>
      <c r="D111" s="26" t="str">
        <f aca="false">IF(M111="","",IF(M111="S",IF(INDEX(acc_SumAcct,N111)=MileGL,"Mileage summary","Expense summary"),"Caregiver payable"))</f>
        <v/>
      </c>
      <c r="E111" s="40" t="str">
        <f aca="false">IF(M111="","",IF(M111="S",INDEX(acc_SumAcct,N111),APGL))</f>
        <v/>
      </c>
      <c r="F111" s="26" t="str">
        <f aca="false">IF(M111="","",IF(M111="S",INDEX(acc_SumName,N111),APGLName))</f>
        <v/>
      </c>
      <c r="G111" s="59" t="str">
        <f aca="false">IF(M111="","",IF(M111="S",INDEX(acc_SumAmt,N111),0))</f>
        <v/>
      </c>
      <c r="H111" s="59" t="str">
        <f aca="false">IF(M111="","",IF(M111="S",0,INDEX(in_Payable,N111)))</f>
        <v/>
      </c>
      <c r="I111" s="40" t="str">
        <f aca="false">IF(M111&lt;&gt;"P","",IFERROR(INDEX(cg_Vendor,MATCH(INDEX(in_CGID,N111),cg_ID,0)),""))</f>
        <v/>
      </c>
      <c r="J111" s="26" t="str">
        <f aca="false">IF(M111&lt;&gt;"P","",INDEX(in_CGName,N111))</f>
        <v/>
      </c>
      <c r="K111" s="26" t="str">
        <f aca="false">IF(M111&lt;&gt;"P","",IFERROR(INDEX(cl_Payer,MATCH(INDEX(in_ClientID,N111),cl_ID,0)),"Unassigned"))</f>
        <v/>
      </c>
      <c r="L111" s="26" t="str">
        <f aca="false">IF(M111="","",IF(M111="S","Weekly caregiver pay, week ending "&amp;TEXT(WeekEnd,"m/d/yyyy"),INDEX(in_Svc,N111)&amp;" "&amp;INDEX(in_ClientID,N111)&amp;", "&amp;INDEX(in_Units,N111)&amp;" units"&amp;IF(N(INDEX(in_Miles,N111))&gt;0,", "&amp;INDEX(in_Miles,N111)&amp;" miles","")))</f>
        <v/>
      </c>
      <c r="M111" s="60" t="str">
        <f aca="false">IF(105&gt;acc_TotalLines,"",IF(105&lt;=acc_SumLines,"S","P"))</f>
        <v/>
      </c>
      <c r="N111" s="42" t="str">
        <f aca="false">IF(M111="","",IF(M111="S",MATCH(105,acc_SumSeq,0),MATCH(105-acc_SumLines,in_Seq,0)))</f>
        <v/>
      </c>
    </row>
    <row r="112" customFormat="false" ht="15" hidden="false" customHeight="false" outlineLevel="0" collapsed="false">
      <c r="A112" s="26" t="str">
        <f aca="false">IF(M112="","",JrnPrefix&amp;"-"&amp;TEXT(WeekEnd,"yyyymmdd"))</f>
        <v/>
      </c>
      <c r="B112" s="58" t="str">
        <f aca="false">IF(M112="","",WeekEnd)</f>
        <v/>
      </c>
      <c r="C112" s="52" t="str">
        <f aca="false">IF(M112="","",106)</f>
        <v/>
      </c>
      <c r="D112" s="26" t="str">
        <f aca="false">IF(M112="","",IF(M112="S",IF(INDEX(acc_SumAcct,N112)=MileGL,"Mileage summary","Expense summary"),"Caregiver payable"))</f>
        <v/>
      </c>
      <c r="E112" s="40" t="str">
        <f aca="false">IF(M112="","",IF(M112="S",INDEX(acc_SumAcct,N112),APGL))</f>
        <v/>
      </c>
      <c r="F112" s="26" t="str">
        <f aca="false">IF(M112="","",IF(M112="S",INDEX(acc_SumName,N112),APGLName))</f>
        <v/>
      </c>
      <c r="G112" s="59" t="str">
        <f aca="false">IF(M112="","",IF(M112="S",INDEX(acc_SumAmt,N112),0))</f>
        <v/>
      </c>
      <c r="H112" s="59" t="str">
        <f aca="false">IF(M112="","",IF(M112="S",0,INDEX(in_Payable,N112)))</f>
        <v/>
      </c>
      <c r="I112" s="40" t="str">
        <f aca="false">IF(M112&lt;&gt;"P","",IFERROR(INDEX(cg_Vendor,MATCH(INDEX(in_CGID,N112),cg_ID,0)),""))</f>
        <v/>
      </c>
      <c r="J112" s="26" t="str">
        <f aca="false">IF(M112&lt;&gt;"P","",INDEX(in_CGName,N112))</f>
        <v/>
      </c>
      <c r="K112" s="26" t="str">
        <f aca="false">IF(M112&lt;&gt;"P","",IFERROR(INDEX(cl_Payer,MATCH(INDEX(in_ClientID,N112),cl_ID,0)),"Unassigned"))</f>
        <v/>
      </c>
      <c r="L112" s="26" t="str">
        <f aca="false">IF(M112="","",IF(M112="S","Weekly caregiver pay, week ending "&amp;TEXT(WeekEnd,"m/d/yyyy"),INDEX(in_Svc,N112)&amp;" "&amp;INDEX(in_ClientID,N112)&amp;", "&amp;INDEX(in_Units,N112)&amp;" units"&amp;IF(N(INDEX(in_Miles,N112))&gt;0,", "&amp;INDEX(in_Miles,N112)&amp;" miles","")))</f>
        <v/>
      </c>
      <c r="M112" s="60" t="str">
        <f aca="false">IF(106&gt;acc_TotalLines,"",IF(106&lt;=acc_SumLines,"S","P"))</f>
        <v/>
      </c>
      <c r="N112" s="42" t="str">
        <f aca="false">IF(M112="","",IF(M112="S",MATCH(106,acc_SumSeq,0),MATCH(106-acc_SumLines,in_Seq,0)))</f>
        <v/>
      </c>
    </row>
    <row r="113" customFormat="false" ht="15" hidden="false" customHeight="false" outlineLevel="0" collapsed="false">
      <c r="A113" s="26" t="str">
        <f aca="false">IF(M113="","",JrnPrefix&amp;"-"&amp;TEXT(WeekEnd,"yyyymmdd"))</f>
        <v/>
      </c>
      <c r="B113" s="58" t="str">
        <f aca="false">IF(M113="","",WeekEnd)</f>
        <v/>
      </c>
      <c r="C113" s="52" t="str">
        <f aca="false">IF(M113="","",107)</f>
        <v/>
      </c>
      <c r="D113" s="26" t="str">
        <f aca="false">IF(M113="","",IF(M113="S",IF(INDEX(acc_SumAcct,N113)=MileGL,"Mileage summary","Expense summary"),"Caregiver payable"))</f>
        <v/>
      </c>
      <c r="E113" s="40" t="str">
        <f aca="false">IF(M113="","",IF(M113="S",INDEX(acc_SumAcct,N113),APGL))</f>
        <v/>
      </c>
      <c r="F113" s="26" t="str">
        <f aca="false">IF(M113="","",IF(M113="S",INDEX(acc_SumName,N113),APGLName))</f>
        <v/>
      </c>
      <c r="G113" s="59" t="str">
        <f aca="false">IF(M113="","",IF(M113="S",INDEX(acc_SumAmt,N113),0))</f>
        <v/>
      </c>
      <c r="H113" s="59" t="str">
        <f aca="false">IF(M113="","",IF(M113="S",0,INDEX(in_Payable,N113)))</f>
        <v/>
      </c>
      <c r="I113" s="40" t="str">
        <f aca="false">IF(M113&lt;&gt;"P","",IFERROR(INDEX(cg_Vendor,MATCH(INDEX(in_CGID,N113),cg_ID,0)),""))</f>
        <v/>
      </c>
      <c r="J113" s="26" t="str">
        <f aca="false">IF(M113&lt;&gt;"P","",INDEX(in_CGName,N113))</f>
        <v/>
      </c>
      <c r="K113" s="26" t="str">
        <f aca="false">IF(M113&lt;&gt;"P","",IFERROR(INDEX(cl_Payer,MATCH(INDEX(in_ClientID,N113),cl_ID,0)),"Unassigned"))</f>
        <v/>
      </c>
      <c r="L113" s="26" t="str">
        <f aca="false">IF(M113="","",IF(M113="S","Weekly caregiver pay, week ending "&amp;TEXT(WeekEnd,"m/d/yyyy"),INDEX(in_Svc,N113)&amp;" "&amp;INDEX(in_ClientID,N113)&amp;", "&amp;INDEX(in_Units,N113)&amp;" units"&amp;IF(N(INDEX(in_Miles,N113))&gt;0,", "&amp;INDEX(in_Miles,N113)&amp;" miles","")))</f>
        <v/>
      </c>
      <c r="M113" s="60" t="str">
        <f aca="false">IF(107&gt;acc_TotalLines,"",IF(107&lt;=acc_SumLines,"S","P"))</f>
        <v/>
      </c>
      <c r="N113" s="42" t="str">
        <f aca="false">IF(M113="","",IF(M113="S",MATCH(107,acc_SumSeq,0),MATCH(107-acc_SumLines,in_Seq,0)))</f>
        <v/>
      </c>
    </row>
    <row r="114" customFormat="false" ht="15" hidden="false" customHeight="false" outlineLevel="0" collapsed="false">
      <c r="A114" s="26" t="str">
        <f aca="false">IF(M114="","",JrnPrefix&amp;"-"&amp;TEXT(WeekEnd,"yyyymmdd"))</f>
        <v/>
      </c>
      <c r="B114" s="58" t="str">
        <f aca="false">IF(M114="","",WeekEnd)</f>
        <v/>
      </c>
      <c r="C114" s="52" t="str">
        <f aca="false">IF(M114="","",108)</f>
        <v/>
      </c>
      <c r="D114" s="26" t="str">
        <f aca="false">IF(M114="","",IF(M114="S",IF(INDEX(acc_SumAcct,N114)=MileGL,"Mileage summary","Expense summary"),"Caregiver payable"))</f>
        <v/>
      </c>
      <c r="E114" s="40" t="str">
        <f aca="false">IF(M114="","",IF(M114="S",INDEX(acc_SumAcct,N114),APGL))</f>
        <v/>
      </c>
      <c r="F114" s="26" t="str">
        <f aca="false">IF(M114="","",IF(M114="S",INDEX(acc_SumName,N114),APGLName))</f>
        <v/>
      </c>
      <c r="G114" s="59" t="str">
        <f aca="false">IF(M114="","",IF(M114="S",INDEX(acc_SumAmt,N114),0))</f>
        <v/>
      </c>
      <c r="H114" s="59" t="str">
        <f aca="false">IF(M114="","",IF(M114="S",0,INDEX(in_Payable,N114)))</f>
        <v/>
      </c>
      <c r="I114" s="40" t="str">
        <f aca="false">IF(M114&lt;&gt;"P","",IFERROR(INDEX(cg_Vendor,MATCH(INDEX(in_CGID,N114),cg_ID,0)),""))</f>
        <v/>
      </c>
      <c r="J114" s="26" t="str">
        <f aca="false">IF(M114&lt;&gt;"P","",INDEX(in_CGName,N114))</f>
        <v/>
      </c>
      <c r="K114" s="26" t="str">
        <f aca="false">IF(M114&lt;&gt;"P","",IFERROR(INDEX(cl_Payer,MATCH(INDEX(in_ClientID,N114),cl_ID,0)),"Unassigned"))</f>
        <v/>
      </c>
      <c r="L114" s="26" t="str">
        <f aca="false">IF(M114="","",IF(M114="S","Weekly caregiver pay, week ending "&amp;TEXT(WeekEnd,"m/d/yyyy"),INDEX(in_Svc,N114)&amp;" "&amp;INDEX(in_ClientID,N114)&amp;", "&amp;INDEX(in_Units,N114)&amp;" units"&amp;IF(N(INDEX(in_Miles,N114))&gt;0,", "&amp;INDEX(in_Miles,N114)&amp;" miles","")))</f>
        <v/>
      </c>
      <c r="M114" s="60" t="str">
        <f aca="false">IF(108&gt;acc_TotalLines,"",IF(108&lt;=acc_SumLines,"S","P"))</f>
        <v/>
      </c>
      <c r="N114" s="42" t="str">
        <f aca="false">IF(M114="","",IF(M114="S",MATCH(108,acc_SumSeq,0),MATCH(108-acc_SumLines,in_Seq,0)))</f>
        <v/>
      </c>
    </row>
    <row r="115" customFormat="false" ht="15" hidden="false" customHeight="false" outlineLevel="0" collapsed="false">
      <c r="A115" s="26" t="str">
        <f aca="false">IF(M115="","",JrnPrefix&amp;"-"&amp;TEXT(WeekEnd,"yyyymmdd"))</f>
        <v/>
      </c>
      <c r="B115" s="58" t="str">
        <f aca="false">IF(M115="","",WeekEnd)</f>
        <v/>
      </c>
      <c r="C115" s="52" t="str">
        <f aca="false">IF(M115="","",109)</f>
        <v/>
      </c>
      <c r="D115" s="26" t="str">
        <f aca="false">IF(M115="","",IF(M115="S",IF(INDEX(acc_SumAcct,N115)=MileGL,"Mileage summary","Expense summary"),"Caregiver payable"))</f>
        <v/>
      </c>
      <c r="E115" s="40" t="str">
        <f aca="false">IF(M115="","",IF(M115="S",INDEX(acc_SumAcct,N115),APGL))</f>
        <v/>
      </c>
      <c r="F115" s="26" t="str">
        <f aca="false">IF(M115="","",IF(M115="S",INDEX(acc_SumName,N115),APGLName))</f>
        <v/>
      </c>
      <c r="G115" s="59" t="str">
        <f aca="false">IF(M115="","",IF(M115="S",INDEX(acc_SumAmt,N115),0))</f>
        <v/>
      </c>
      <c r="H115" s="59" t="str">
        <f aca="false">IF(M115="","",IF(M115="S",0,INDEX(in_Payable,N115)))</f>
        <v/>
      </c>
      <c r="I115" s="40" t="str">
        <f aca="false">IF(M115&lt;&gt;"P","",IFERROR(INDEX(cg_Vendor,MATCH(INDEX(in_CGID,N115),cg_ID,0)),""))</f>
        <v/>
      </c>
      <c r="J115" s="26" t="str">
        <f aca="false">IF(M115&lt;&gt;"P","",INDEX(in_CGName,N115))</f>
        <v/>
      </c>
      <c r="K115" s="26" t="str">
        <f aca="false">IF(M115&lt;&gt;"P","",IFERROR(INDEX(cl_Payer,MATCH(INDEX(in_ClientID,N115),cl_ID,0)),"Unassigned"))</f>
        <v/>
      </c>
      <c r="L115" s="26" t="str">
        <f aca="false">IF(M115="","",IF(M115="S","Weekly caregiver pay, week ending "&amp;TEXT(WeekEnd,"m/d/yyyy"),INDEX(in_Svc,N115)&amp;" "&amp;INDEX(in_ClientID,N115)&amp;", "&amp;INDEX(in_Units,N115)&amp;" units"&amp;IF(N(INDEX(in_Miles,N115))&gt;0,", "&amp;INDEX(in_Miles,N115)&amp;" miles","")))</f>
        <v/>
      </c>
      <c r="M115" s="60" t="str">
        <f aca="false">IF(109&gt;acc_TotalLines,"",IF(109&lt;=acc_SumLines,"S","P"))</f>
        <v/>
      </c>
      <c r="N115" s="42" t="str">
        <f aca="false">IF(M115="","",IF(M115="S",MATCH(109,acc_SumSeq,0),MATCH(109-acc_SumLines,in_Seq,0)))</f>
        <v/>
      </c>
    </row>
    <row r="116" customFormat="false" ht="15" hidden="false" customHeight="false" outlineLevel="0" collapsed="false">
      <c r="A116" s="26" t="str">
        <f aca="false">IF(M116="","",JrnPrefix&amp;"-"&amp;TEXT(WeekEnd,"yyyymmdd"))</f>
        <v/>
      </c>
      <c r="B116" s="58" t="str">
        <f aca="false">IF(M116="","",WeekEnd)</f>
        <v/>
      </c>
      <c r="C116" s="52" t="str">
        <f aca="false">IF(M116="","",110)</f>
        <v/>
      </c>
      <c r="D116" s="26" t="str">
        <f aca="false">IF(M116="","",IF(M116="S",IF(INDEX(acc_SumAcct,N116)=MileGL,"Mileage summary","Expense summary"),"Caregiver payable"))</f>
        <v/>
      </c>
      <c r="E116" s="40" t="str">
        <f aca="false">IF(M116="","",IF(M116="S",INDEX(acc_SumAcct,N116),APGL))</f>
        <v/>
      </c>
      <c r="F116" s="26" t="str">
        <f aca="false">IF(M116="","",IF(M116="S",INDEX(acc_SumName,N116),APGLName))</f>
        <v/>
      </c>
      <c r="G116" s="59" t="str">
        <f aca="false">IF(M116="","",IF(M116="S",INDEX(acc_SumAmt,N116),0))</f>
        <v/>
      </c>
      <c r="H116" s="59" t="str">
        <f aca="false">IF(M116="","",IF(M116="S",0,INDEX(in_Payable,N116)))</f>
        <v/>
      </c>
      <c r="I116" s="40" t="str">
        <f aca="false">IF(M116&lt;&gt;"P","",IFERROR(INDEX(cg_Vendor,MATCH(INDEX(in_CGID,N116),cg_ID,0)),""))</f>
        <v/>
      </c>
      <c r="J116" s="26" t="str">
        <f aca="false">IF(M116&lt;&gt;"P","",INDEX(in_CGName,N116))</f>
        <v/>
      </c>
      <c r="K116" s="26" t="str">
        <f aca="false">IF(M116&lt;&gt;"P","",IFERROR(INDEX(cl_Payer,MATCH(INDEX(in_ClientID,N116),cl_ID,0)),"Unassigned"))</f>
        <v/>
      </c>
      <c r="L116" s="26" t="str">
        <f aca="false">IF(M116="","",IF(M116="S","Weekly caregiver pay, week ending "&amp;TEXT(WeekEnd,"m/d/yyyy"),INDEX(in_Svc,N116)&amp;" "&amp;INDEX(in_ClientID,N116)&amp;", "&amp;INDEX(in_Units,N116)&amp;" units"&amp;IF(N(INDEX(in_Miles,N116))&gt;0,", "&amp;INDEX(in_Miles,N116)&amp;" miles","")))</f>
        <v/>
      </c>
      <c r="M116" s="60" t="str">
        <f aca="false">IF(110&gt;acc_TotalLines,"",IF(110&lt;=acc_SumLines,"S","P"))</f>
        <v/>
      </c>
      <c r="N116" s="42" t="str">
        <f aca="false">IF(M116="","",IF(M116="S",MATCH(110,acc_SumSeq,0),MATCH(110-acc_SumLines,in_Seq,0)))</f>
        <v/>
      </c>
    </row>
    <row r="117" customFormat="false" ht="15" hidden="false" customHeight="false" outlineLevel="0" collapsed="false">
      <c r="A117" s="26" t="str">
        <f aca="false">IF(M117="","",JrnPrefix&amp;"-"&amp;TEXT(WeekEnd,"yyyymmdd"))</f>
        <v/>
      </c>
      <c r="B117" s="58" t="str">
        <f aca="false">IF(M117="","",WeekEnd)</f>
        <v/>
      </c>
      <c r="C117" s="52" t="str">
        <f aca="false">IF(M117="","",111)</f>
        <v/>
      </c>
      <c r="D117" s="26" t="str">
        <f aca="false">IF(M117="","",IF(M117="S",IF(INDEX(acc_SumAcct,N117)=MileGL,"Mileage summary","Expense summary"),"Caregiver payable"))</f>
        <v/>
      </c>
      <c r="E117" s="40" t="str">
        <f aca="false">IF(M117="","",IF(M117="S",INDEX(acc_SumAcct,N117),APGL))</f>
        <v/>
      </c>
      <c r="F117" s="26" t="str">
        <f aca="false">IF(M117="","",IF(M117="S",INDEX(acc_SumName,N117),APGLName))</f>
        <v/>
      </c>
      <c r="G117" s="59" t="str">
        <f aca="false">IF(M117="","",IF(M117="S",INDEX(acc_SumAmt,N117),0))</f>
        <v/>
      </c>
      <c r="H117" s="59" t="str">
        <f aca="false">IF(M117="","",IF(M117="S",0,INDEX(in_Payable,N117)))</f>
        <v/>
      </c>
      <c r="I117" s="40" t="str">
        <f aca="false">IF(M117&lt;&gt;"P","",IFERROR(INDEX(cg_Vendor,MATCH(INDEX(in_CGID,N117),cg_ID,0)),""))</f>
        <v/>
      </c>
      <c r="J117" s="26" t="str">
        <f aca="false">IF(M117&lt;&gt;"P","",INDEX(in_CGName,N117))</f>
        <v/>
      </c>
      <c r="K117" s="26" t="str">
        <f aca="false">IF(M117&lt;&gt;"P","",IFERROR(INDEX(cl_Payer,MATCH(INDEX(in_ClientID,N117),cl_ID,0)),"Unassigned"))</f>
        <v/>
      </c>
      <c r="L117" s="26" t="str">
        <f aca="false">IF(M117="","",IF(M117="S","Weekly caregiver pay, week ending "&amp;TEXT(WeekEnd,"m/d/yyyy"),INDEX(in_Svc,N117)&amp;" "&amp;INDEX(in_ClientID,N117)&amp;", "&amp;INDEX(in_Units,N117)&amp;" units"&amp;IF(N(INDEX(in_Miles,N117))&gt;0,", "&amp;INDEX(in_Miles,N117)&amp;" miles","")))</f>
        <v/>
      </c>
      <c r="M117" s="60" t="str">
        <f aca="false">IF(111&gt;acc_TotalLines,"",IF(111&lt;=acc_SumLines,"S","P"))</f>
        <v/>
      </c>
      <c r="N117" s="42" t="str">
        <f aca="false">IF(M117="","",IF(M117="S",MATCH(111,acc_SumSeq,0),MATCH(111-acc_SumLines,in_Seq,0)))</f>
        <v/>
      </c>
    </row>
    <row r="118" customFormat="false" ht="15" hidden="false" customHeight="false" outlineLevel="0" collapsed="false">
      <c r="A118" s="26" t="str">
        <f aca="false">IF(M118="","",JrnPrefix&amp;"-"&amp;TEXT(WeekEnd,"yyyymmdd"))</f>
        <v/>
      </c>
      <c r="B118" s="58" t="str">
        <f aca="false">IF(M118="","",WeekEnd)</f>
        <v/>
      </c>
      <c r="C118" s="52" t="str">
        <f aca="false">IF(M118="","",112)</f>
        <v/>
      </c>
      <c r="D118" s="26" t="str">
        <f aca="false">IF(M118="","",IF(M118="S",IF(INDEX(acc_SumAcct,N118)=MileGL,"Mileage summary","Expense summary"),"Caregiver payable"))</f>
        <v/>
      </c>
      <c r="E118" s="40" t="str">
        <f aca="false">IF(M118="","",IF(M118="S",INDEX(acc_SumAcct,N118),APGL))</f>
        <v/>
      </c>
      <c r="F118" s="26" t="str">
        <f aca="false">IF(M118="","",IF(M118="S",INDEX(acc_SumName,N118),APGLName))</f>
        <v/>
      </c>
      <c r="G118" s="59" t="str">
        <f aca="false">IF(M118="","",IF(M118="S",INDEX(acc_SumAmt,N118),0))</f>
        <v/>
      </c>
      <c r="H118" s="59" t="str">
        <f aca="false">IF(M118="","",IF(M118="S",0,INDEX(in_Payable,N118)))</f>
        <v/>
      </c>
      <c r="I118" s="40" t="str">
        <f aca="false">IF(M118&lt;&gt;"P","",IFERROR(INDEX(cg_Vendor,MATCH(INDEX(in_CGID,N118),cg_ID,0)),""))</f>
        <v/>
      </c>
      <c r="J118" s="26" t="str">
        <f aca="false">IF(M118&lt;&gt;"P","",INDEX(in_CGName,N118))</f>
        <v/>
      </c>
      <c r="K118" s="26" t="str">
        <f aca="false">IF(M118&lt;&gt;"P","",IFERROR(INDEX(cl_Payer,MATCH(INDEX(in_ClientID,N118),cl_ID,0)),"Unassigned"))</f>
        <v/>
      </c>
      <c r="L118" s="26" t="str">
        <f aca="false">IF(M118="","",IF(M118="S","Weekly caregiver pay, week ending "&amp;TEXT(WeekEnd,"m/d/yyyy"),INDEX(in_Svc,N118)&amp;" "&amp;INDEX(in_ClientID,N118)&amp;", "&amp;INDEX(in_Units,N118)&amp;" units"&amp;IF(N(INDEX(in_Miles,N118))&gt;0,", "&amp;INDEX(in_Miles,N118)&amp;" miles","")))</f>
        <v/>
      </c>
      <c r="M118" s="60" t="str">
        <f aca="false">IF(112&gt;acc_TotalLines,"",IF(112&lt;=acc_SumLines,"S","P"))</f>
        <v/>
      </c>
      <c r="N118" s="42" t="str">
        <f aca="false">IF(M118="","",IF(M118="S",MATCH(112,acc_SumSeq,0),MATCH(112-acc_SumLines,in_Seq,0)))</f>
        <v/>
      </c>
    </row>
    <row r="119" customFormat="false" ht="15" hidden="false" customHeight="false" outlineLevel="0" collapsed="false">
      <c r="A119" s="26" t="str">
        <f aca="false">IF(M119="","",JrnPrefix&amp;"-"&amp;TEXT(WeekEnd,"yyyymmdd"))</f>
        <v/>
      </c>
      <c r="B119" s="58" t="str">
        <f aca="false">IF(M119="","",WeekEnd)</f>
        <v/>
      </c>
      <c r="C119" s="52" t="str">
        <f aca="false">IF(M119="","",113)</f>
        <v/>
      </c>
      <c r="D119" s="26" t="str">
        <f aca="false">IF(M119="","",IF(M119="S",IF(INDEX(acc_SumAcct,N119)=MileGL,"Mileage summary","Expense summary"),"Caregiver payable"))</f>
        <v/>
      </c>
      <c r="E119" s="40" t="str">
        <f aca="false">IF(M119="","",IF(M119="S",INDEX(acc_SumAcct,N119),APGL))</f>
        <v/>
      </c>
      <c r="F119" s="26" t="str">
        <f aca="false">IF(M119="","",IF(M119="S",INDEX(acc_SumName,N119),APGLName))</f>
        <v/>
      </c>
      <c r="G119" s="59" t="str">
        <f aca="false">IF(M119="","",IF(M119="S",INDEX(acc_SumAmt,N119),0))</f>
        <v/>
      </c>
      <c r="H119" s="59" t="str">
        <f aca="false">IF(M119="","",IF(M119="S",0,INDEX(in_Payable,N119)))</f>
        <v/>
      </c>
      <c r="I119" s="40" t="str">
        <f aca="false">IF(M119&lt;&gt;"P","",IFERROR(INDEX(cg_Vendor,MATCH(INDEX(in_CGID,N119),cg_ID,0)),""))</f>
        <v/>
      </c>
      <c r="J119" s="26" t="str">
        <f aca="false">IF(M119&lt;&gt;"P","",INDEX(in_CGName,N119))</f>
        <v/>
      </c>
      <c r="K119" s="26" t="str">
        <f aca="false">IF(M119&lt;&gt;"P","",IFERROR(INDEX(cl_Payer,MATCH(INDEX(in_ClientID,N119),cl_ID,0)),"Unassigned"))</f>
        <v/>
      </c>
      <c r="L119" s="26" t="str">
        <f aca="false">IF(M119="","",IF(M119="S","Weekly caregiver pay, week ending "&amp;TEXT(WeekEnd,"m/d/yyyy"),INDEX(in_Svc,N119)&amp;" "&amp;INDEX(in_ClientID,N119)&amp;", "&amp;INDEX(in_Units,N119)&amp;" units"&amp;IF(N(INDEX(in_Miles,N119))&gt;0,", "&amp;INDEX(in_Miles,N119)&amp;" miles","")))</f>
        <v/>
      </c>
      <c r="M119" s="60" t="str">
        <f aca="false">IF(113&gt;acc_TotalLines,"",IF(113&lt;=acc_SumLines,"S","P"))</f>
        <v/>
      </c>
      <c r="N119" s="42" t="str">
        <f aca="false">IF(M119="","",IF(M119="S",MATCH(113,acc_SumSeq,0),MATCH(113-acc_SumLines,in_Seq,0)))</f>
        <v/>
      </c>
    </row>
    <row r="120" customFormat="false" ht="15" hidden="false" customHeight="false" outlineLevel="0" collapsed="false">
      <c r="A120" s="26" t="str">
        <f aca="false">IF(M120="","",JrnPrefix&amp;"-"&amp;TEXT(WeekEnd,"yyyymmdd"))</f>
        <v/>
      </c>
      <c r="B120" s="58" t="str">
        <f aca="false">IF(M120="","",WeekEnd)</f>
        <v/>
      </c>
      <c r="C120" s="52" t="str">
        <f aca="false">IF(M120="","",114)</f>
        <v/>
      </c>
      <c r="D120" s="26" t="str">
        <f aca="false">IF(M120="","",IF(M120="S",IF(INDEX(acc_SumAcct,N120)=MileGL,"Mileage summary","Expense summary"),"Caregiver payable"))</f>
        <v/>
      </c>
      <c r="E120" s="40" t="str">
        <f aca="false">IF(M120="","",IF(M120="S",INDEX(acc_SumAcct,N120),APGL))</f>
        <v/>
      </c>
      <c r="F120" s="26" t="str">
        <f aca="false">IF(M120="","",IF(M120="S",INDEX(acc_SumName,N120),APGLName))</f>
        <v/>
      </c>
      <c r="G120" s="59" t="str">
        <f aca="false">IF(M120="","",IF(M120="S",INDEX(acc_SumAmt,N120),0))</f>
        <v/>
      </c>
      <c r="H120" s="59" t="str">
        <f aca="false">IF(M120="","",IF(M120="S",0,INDEX(in_Payable,N120)))</f>
        <v/>
      </c>
      <c r="I120" s="40" t="str">
        <f aca="false">IF(M120&lt;&gt;"P","",IFERROR(INDEX(cg_Vendor,MATCH(INDEX(in_CGID,N120),cg_ID,0)),""))</f>
        <v/>
      </c>
      <c r="J120" s="26" t="str">
        <f aca="false">IF(M120&lt;&gt;"P","",INDEX(in_CGName,N120))</f>
        <v/>
      </c>
      <c r="K120" s="26" t="str">
        <f aca="false">IF(M120&lt;&gt;"P","",IFERROR(INDEX(cl_Payer,MATCH(INDEX(in_ClientID,N120),cl_ID,0)),"Unassigned"))</f>
        <v/>
      </c>
      <c r="L120" s="26" t="str">
        <f aca="false">IF(M120="","",IF(M120="S","Weekly caregiver pay, week ending "&amp;TEXT(WeekEnd,"m/d/yyyy"),INDEX(in_Svc,N120)&amp;" "&amp;INDEX(in_ClientID,N120)&amp;", "&amp;INDEX(in_Units,N120)&amp;" units"&amp;IF(N(INDEX(in_Miles,N120))&gt;0,", "&amp;INDEX(in_Miles,N120)&amp;" miles","")))</f>
        <v/>
      </c>
      <c r="M120" s="60" t="str">
        <f aca="false">IF(114&gt;acc_TotalLines,"",IF(114&lt;=acc_SumLines,"S","P"))</f>
        <v/>
      </c>
      <c r="N120" s="42" t="str">
        <f aca="false">IF(M120="","",IF(M120="S",MATCH(114,acc_SumSeq,0),MATCH(114-acc_SumLines,in_Seq,0)))</f>
        <v/>
      </c>
    </row>
    <row r="121" customFormat="false" ht="15" hidden="false" customHeight="false" outlineLevel="0" collapsed="false">
      <c r="A121" s="26" t="str">
        <f aca="false">IF(M121="","",JrnPrefix&amp;"-"&amp;TEXT(WeekEnd,"yyyymmdd"))</f>
        <v/>
      </c>
      <c r="B121" s="58" t="str">
        <f aca="false">IF(M121="","",WeekEnd)</f>
        <v/>
      </c>
      <c r="C121" s="52" t="str">
        <f aca="false">IF(M121="","",115)</f>
        <v/>
      </c>
      <c r="D121" s="26" t="str">
        <f aca="false">IF(M121="","",IF(M121="S",IF(INDEX(acc_SumAcct,N121)=MileGL,"Mileage summary","Expense summary"),"Caregiver payable"))</f>
        <v/>
      </c>
      <c r="E121" s="40" t="str">
        <f aca="false">IF(M121="","",IF(M121="S",INDEX(acc_SumAcct,N121),APGL))</f>
        <v/>
      </c>
      <c r="F121" s="26" t="str">
        <f aca="false">IF(M121="","",IF(M121="S",INDEX(acc_SumName,N121),APGLName))</f>
        <v/>
      </c>
      <c r="G121" s="59" t="str">
        <f aca="false">IF(M121="","",IF(M121="S",INDEX(acc_SumAmt,N121),0))</f>
        <v/>
      </c>
      <c r="H121" s="59" t="str">
        <f aca="false">IF(M121="","",IF(M121="S",0,INDEX(in_Payable,N121)))</f>
        <v/>
      </c>
      <c r="I121" s="40" t="str">
        <f aca="false">IF(M121&lt;&gt;"P","",IFERROR(INDEX(cg_Vendor,MATCH(INDEX(in_CGID,N121),cg_ID,0)),""))</f>
        <v/>
      </c>
      <c r="J121" s="26" t="str">
        <f aca="false">IF(M121&lt;&gt;"P","",INDEX(in_CGName,N121))</f>
        <v/>
      </c>
      <c r="K121" s="26" t="str">
        <f aca="false">IF(M121&lt;&gt;"P","",IFERROR(INDEX(cl_Payer,MATCH(INDEX(in_ClientID,N121),cl_ID,0)),"Unassigned"))</f>
        <v/>
      </c>
      <c r="L121" s="26" t="str">
        <f aca="false">IF(M121="","",IF(M121="S","Weekly caregiver pay, week ending "&amp;TEXT(WeekEnd,"m/d/yyyy"),INDEX(in_Svc,N121)&amp;" "&amp;INDEX(in_ClientID,N121)&amp;", "&amp;INDEX(in_Units,N121)&amp;" units"&amp;IF(N(INDEX(in_Miles,N121))&gt;0,", "&amp;INDEX(in_Miles,N121)&amp;" miles","")))</f>
        <v/>
      </c>
      <c r="M121" s="60" t="str">
        <f aca="false">IF(115&gt;acc_TotalLines,"",IF(115&lt;=acc_SumLines,"S","P"))</f>
        <v/>
      </c>
      <c r="N121" s="42" t="str">
        <f aca="false">IF(M121="","",IF(M121="S",MATCH(115,acc_SumSeq,0),MATCH(115-acc_SumLines,in_Seq,0)))</f>
        <v/>
      </c>
    </row>
    <row r="122" customFormat="false" ht="15" hidden="false" customHeight="false" outlineLevel="0" collapsed="false">
      <c r="A122" s="26" t="str">
        <f aca="false">IF(M122="","",JrnPrefix&amp;"-"&amp;TEXT(WeekEnd,"yyyymmdd"))</f>
        <v/>
      </c>
      <c r="B122" s="58" t="str">
        <f aca="false">IF(M122="","",WeekEnd)</f>
        <v/>
      </c>
      <c r="C122" s="52" t="str">
        <f aca="false">IF(M122="","",116)</f>
        <v/>
      </c>
      <c r="D122" s="26" t="str">
        <f aca="false">IF(M122="","",IF(M122="S",IF(INDEX(acc_SumAcct,N122)=MileGL,"Mileage summary","Expense summary"),"Caregiver payable"))</f>
        <v/>
      </c>
      <c r="E122" s="40" t="str">
        <f aca="false">IF(M122="","",IF(M122="S",INDEX(acc_SumAcct,N122),APGL))</f>
        <v/>
      </c>
      <c r="F122" s="26" t="str">
        <f aca="false">IF(M122="","",IF(M122="S",INDEX(acc_SumName,N122),APGLName))</f>
        <v/>
      </c>
      <c r="G122" s="59" t="str">
        <f aca="false">IF(M122="","",IF(M122="S",INDEX(acc_SumAmt,N122),0))</f>
        <v/>
      </c>
      <c r="H122" s="59" t="str">
        <f aca="false">IF(M122="","",IF(M122="S",0,INDEX(in_Payable,N122)))</f>
        <v/>
      </c>
      <c r="I122" s="40" t="str">
        <f aca="false">IF(M122&lt;&gt;"P","",IFERROR(INDEX(cg_Vendor,MATCH(INDEX(in_CGID,N122),cg_ID,0)),""))</f>
        <v/>
      </c>
      <c r="J122" s="26" t="str">
        <f aca="false">IF(M122&lt;&gt;"P","",INDEX(in_CGName,N122))</f>
        <v/>
      </c>
      <c r="K122" s="26" t="str">
        <f aca="false">IF(M122&lt;&gt;"P","",IFERROR(INDEX(cl_Payer,MATCH(INDEX(in_ClientID,N122),cl_ID,0)),"Unassigned"))</f>
        <v/>
      </c>
      <c r="L122" s="26" t="str">
        <f aca="false">IF(M122="","",IF(M122="S","Weekly caregiver pay, week ending "&amp;TEXT(WeekEnd,"m/d/yyyy"),INDEX(in_Svc,N122)&amp;" "&amp;INDEX(in_ClientID,N122)&amp;", "&amp;INDEX(in_Units,N122)&amp;" units"&amp;IF(N(INDEX(in_Miles,N122))&gt;0,", "&amp;INDEX(in_Miles,N122)&amp;" miles","")))</f>
        <v/>
      </c>
      <c r="M122" s="60" t="str">
        <f aca="false">IF(116&gt;acc_TotalLines,"",IF(116&lt;=acc_SumLines,"S","P"))</f>
        <v/>
      </c>
      <c r="N122" s="42" t="str">
        <f aca="false">IF(M122="","",IF(M122="S",MATCH(116,acc_SumSeq,0),MATCH(116-acc_SumLines,in_Seq,0)))</f>
        <v/>
      </c>
    </row>
    <row r="123" customFormat="false" ht="15" hidden="false" customHeight="false" outlineLevel="0" collapsed="false">
      <c r="A123" s="26" t="str">
        <f aca="false">IF(M123="","",JrnPrefix&amp;"-"&amp;TEXT(WeekEnd,"yyyymmdd"))</f>
        <v/>
      </c>
      <c r="B123" s="58" t="str">
        <f aca="false">IF(M123="","",WeekEnd)</f>
        <v/>
      </c>
      <c r="C123" s="52" t="str">
        <f aca="false">IF(M123="","",117)</f>
        <v/>
      </c>
      <c r="D123" s="26" t="str">
        <f aca="false">IF(M123="","",IF(M123="S",IF(INDEX(acc_SumAcct,N123)=MileGL,"Mileage summary","Expense summary"),"Caregiver payable"))</f>
        <v/>
      </c>
      <c r="E123" s="40" t="str">
        <f aca="false">IF(M123="","",IF(M123="S",INDEX(acc_SumAcct,N123),APGL))</f>
        <v/>
      </c>
      <c r="F123" s="26" t="str">
        <f aca="false">IF(M123="","",IF(M123="S",INDEX(acc_SumName,N123),APGLName))</f>
        <v/>
      </c>
      <c r="G123" s="59" t="str">
        <f aca="false">IF(M123="","",IF(M123="S",INDEX(acc_SumAmt,N123),0))</f>
        <v/>
      </c>
      <c r="H123" s="59" t="str">
        <f aca="false">IF(M123="","",IF(M123="S",0,INDEX(in_Payable,N123)))</f>
        <v/>
      </c>
      <c r="I123" s="40" t="str">
        <f aca="false">IF(M123&lt;&gt;"P","",IFERROR(INDEX(cg_Vendor,MATCH(INDEX(in_CGID,N123),cg_ID,0)),""))</f>
        <v/>
      </c>
      <c r="J123" s="26" t="str">
        <f aca="false">IF(M123&lt;&gt;"P","",INDEX(in_CGName,N123))</f>
        <v/>
      </c>
      <c r="K123" s="26" t="str">
        <f aca="false">IF(M123&lt;&gt;"P","",IFERROR(INDEX(cl_Payer,MATCH(INDEX(in_ClientID,N123),cl_ID,0)),"Unassigned"))</f>
        <v/>
      </c>
      <c r="L123" s="26" t="str">
        <f aca="false">IF(M123="","",IF(M123="S","Weekly caregiver pay, week ending "&amp;TEXT(WeekEnd,"m/d/yyyy"),INDEX(in_Svc,N123)&amp;" "&amp;INDEX(in_ClientID,N123)&amp;", "&amp;INDEX(in_Units,N123)&amp;" units"&amp;IF(N(INDEX(in_Miles,N123))&gt;0,", "&amp;INDEX(in_Miles,N123)&amp;" miles","")))</f>
        <v/>
      </c>
      <c r="M123" s="60" t="str">
        <f aca="false">IF(117&gt;acc_TotalLines,"",IF(117&lt;=acc_SumLines,"S","P"))</f>
        <v/>
      </c>
      <c r="N123" s="42" t="str">
        <f aca="false">IF(M123="","",IF(M123="S",MATCH(117,acc_SumSeq,0),MATCH(117-acc_SumLines,in_Seq,0)))</f>
        <v/>
      </c>
    </row>
    <row r="124" customFormat="false" ht="15" hidden="false" customHeight="false" outlineLevel="0" collapsed="false">
      <c r="A124" s="26" t="str">
        <f aca="false">IF(M124="","",JrnPrefix&amp;"-"&amp;TEXT(WeekEnd,"yyyymmdd"))</f>
        <v/>
      </c>
      <c r="B124" s="58" t="str">
        <f aca="false">IF(M124="","",WeekEnd)</f>
        <v/>
      </c>
      <c r="C124" s="52" t="str">
        <f aca="false">IF(M124="","",118)</f>
        <v/>
      </c>
      <c r="D124" s="26" t="str">
        <f aca="false">IF(M124="","",IF(M124="S",IF(INDEX(acc_SumAcct,N124)=MileGL,"Mileage summary","Expense summary"),"Caregiver payable"))</f>
        <v/>
      </c>
      <c r="E124" s="40" t="str">
        <f aca="false">IF(M124="","",IF(M124="S",INDEX(acc_SumAcct,N124),APGL))</f>
        <v/>
      </c>
      <c r="F124" s="26" t="str">
        <f aca="false">IF(M124="","",IF(M124="S",INDEX(acc_SumName,N124),APGLName))</f>
        <v/>
      </c>
      <c r="G124" s="59" t="str">
        <f aca="false">IF(M124="","",IF(M124="S",INDEX(acc_SumAmt,N124),0))</f>
        <v/>
      </c>
      <c r="H124" s="59" t="str">
        <f aca="false">IF(M124="","",IF(M124="S",0,INDEX(in_Payable,N124)))</f>
        <v/>
      </c>
      <c r="I124" s="40" t="str">
        <f aca="false">IF(M124&lt;&gt;"P","",IFERROR(INDEX(cg_Vendor,MATCH(INDEX(in_CGID,N124),cg_ID,0)),""))</f>
        <v/>
      </c>
      <c r="J124" s="26" t="str">
        <f aca="false">IF(M124&lt;&gt;"P","",INDEX(in_CGName,N124))</f>
        <v/>
      </c>
      <c r="K124" s="26" t="str">
        <f aca="false">IF(M124&lt;&gt;"P","",IFERROR(INDEX(cl_Payer,MATCH(INDEX(in_ClientID,N124),cl_ID,0)),"Unassigned"))</f>
        <v/>
      </c>
      <c r="L124" s="26" t="str">
        <f aca="false">IF(M124="","",IF(M124="S","Weekly caregiver pay, week ending "&amp;TEXT(WeekEnd,"m/d/yyyy"),INDEX(in_Svc,N124)&amp;" "&amp;INDEX(in_ClientID,N124)&amp;", "&amp;INDEX(in_Units,N124)&amp;" units"&amp;IF(N(INDEX(in_Miles,N124))&gt;0,", "&amp;INDEX(in_Miles,N124)&amp;" miles","")))</f>
        <v/>
      </c>
      <c r="M124" s="60" t="str">
        <f aca="false">IF(118&gt;acc_TotalLines,"",IF(118&lt;=acc_SumLines,"S","P"))</f>
        <v/>
      </c>
      <c r="N124" s="42" t="str">
        <f aca="false">IF(M124="","",IF(M124="S",MATCH(118,acc_SumSeq,0),MATCH(118-acc_SumLines,in_Seq,0)))</f>
        <v/>
      </c>
    </row>
    <row r="125" customFormat="false" ht="15" hidden="false" customHeight="false" outlineLevel="0" collapsed="false">
      <c r="A125" s="26" t="str">
        <f aca="false">IF(M125="","",JrnPrefix&amp;"-"&amp;TEXT(WeekEnd,"yyyymmdd"))</f>
        <v/>
      </c>
      <c r="B125" s="58" t="str">
        <f aca="false">IF(M125="","",WeekEnd)</f>
        <v/>
      </c>
      <c r="C125" s="52" t="str">
        <f aca="false">IF(M125="","",119)</f>
        <v/>
      </c>
      <c r="D125" s="26" t="str">
        <f aca="false">IF(M125="","",IF(M125="S",IF(INDEX(acc_SumAcct,N125)=MileGL,"Mileage summary","Expense summary"),"Caregiver payable"))</f>
        <v/>
      </c>
      <c r="E125" s="40" t="str">
        <f aca="false">IF(M125="","",IF(M125="S",INDEX(acc_SumAcct,N125),APGL))</f>
        <v/>
      </c>
      <c r="F125" s="26" t="str">
        <f aca="false">IF(M125="","",IF(M125="S",INDEX(acc_SumName,N125),APGLName))</f>
        <v/>
      </c>
      <c r="G125" s="59" t="str">
        <f aca="false">IF(M125="","",IF(M125="S",INDEX(acc_SumAmt,N125),0))</f>
        <v/>
      </c>
      <c r="H125" s="59" t="str">
        <f aca="false">IF(M125="","",IF(M125="S",0,INDEX(in_Payable,N125)))</f>
        <v/>
      </c>
      <c r="I125" s="40" t="str">
        <f aca="false">IF(M125&lt;&gt;"P","",IFERROR(INDEX(cg_Vendor,MATCH(INDEX(in_CGID,N125),cg_ID,0)),""))</f>
        <v/>
      </c>
      <c r="J125" s="26" t="str">
        <f aca="false">IF(M125&lt;&gt;"P","",INDEX(in_CGName,N125))</f>
        <v/>
      </c>
      <c r="K125" s="26" t="str">
        <f aca="false">IF(M125&lt;&gt;"P","",IFERROR(INDEX(cl_Payer,MATCH(INDEX(in_ClientID,N125),cl_ID,0)),"Unassigned"))</f>
        <v/>
      </c>
      <c r="L125" s="26" t="str">
        <f aca="false">IF(M125="","",IF(M125="S","Weekly caregiver pay, week ending "&amp;TEXT(WeekEnd,"m/d/yyyy"),INDEX(in_Svc,N125)&amp;" "&amp;INDEX(in_ClientID,N125)&amp;", "&amp;INDEX(in_Units,N125)&amp;" units"&amp;IF(N(INDEX(in_Miles,N125))&gt;0,", "&amp;INDEX(in_Miles,N125)&amp;" miles","")))</f>
        <v/>
      </c>
      <c r="M125" s="60" t="str">
        <f aca="false">IF(119&gt;acc_TotalLines,"",IF(119&lt;=acc_SumLines,"S","P"))</f>
        <v/>
      </c>
      <c r="N125" s="42" t="str">
        <f aca="false">IF(M125="","",IF(M125="S",MATCH(119,acc_SumSeq,0),MATCH(119-acc_SumLines,in_Seq,0)))</f>
        <v/>
      </c>
    </row>
    <row r="126" customFormat="false" ht="15" hidden="false" customHeight="false" outlineLevel="0" collapsed="false">
      <c r="A126" s="26" t="str">
        <f aca="false">IF(M126="","",JrnPrefix&amp;"-"&amp;TEXT(WeekEnd,"yyyymmdd"))</f>
        <v/>
      </c>
      <c r="B126" s="58" t="str">
        <f aca="false">IF(M126="","",WeekEnd)</f>
        <v/>
      </c>
      <c r="C126" s="52" t="str">
        <f aca="false">IF(M126="","",120)</f>
        <v/>
      </c>
      <c r="D126" s="26" t="str">
        <f aca="false">IF(M126="","",IF(M126="S",IF(INDEX(acc_SumAcct,N126)=MileGL,"Mileage summary","Expense summary"),"Caregiver payable"))</f>
        <v/>
      </c>
      <c r="E126" s="40" t="str">
        <f aca="false">IF(M126="","",IF(M126="S",INDEX(acc_SumAcct,N126),APGL))</f>
        <v/>
      </c>
      <c r="F126" s="26" t="str">
        <f aca="false">IF(M126="","",IF(M126="S",INDEX(acc_SumName,N126),APGLName))</f>
        <v/>
      </c>
      <c r="G126" s="59" t="str">
        <f aca="false">IF(M126="","",IF(M126="S",INDEX(acc_SumAmt,N126),0))</f>
        <v/>
      </c>
      <c r="H126" s="59" t="str">
        <f aca="false">IF(M126="","",IF(M126="S",0,INDEX(in_Payable,N126)))</f>
        <v/>
      </c>
      <c r="I126" s="40" t="str">
        <f aca="false">IF(M126&lt;&gt;"P","",IFERROR(INDEX(cg_Vendor,MATCH(INDEX(in_CGID,N126),cg_ID,0)),""))</f>
        <v/>
      </c>
      <c r="J126" s="26" t="str">
        <f aca="false">IF(M126&lt;&gt;"P","",INDEX(in_CGName,N126))</f>
        <v/>
      </c>
      <c r="K126" s="26" t="str">
        <f aca="false">IF(M126&lt;&gt;"P","",IFERROR(INDEX(cl_Payer,MATCH(INDEX(in_ClientID,N126),cl_ID,0)),"Unassigned"))</f>
        <v/>
      </c>
      <c r="L126" s="26" t="str">
        <f aca="false">IF(M126="","",IF(M126="S","Weekly caregiver pay, week ending "&amp;TEXT(WeekEnd,"m/d/yyyy"),INDEX(in_Svc,N126)&amp;" "&amp;INDEX(in_ClientID,N126)&amp;", "&amp;INDEX(in_Units,N126)&amp;" units"&amp;IF(N(INDEX(in_Miles,N126))&gt;0,", "&amp;INDEX(in_Miles,N126)&amp;" miles","")))</f>
        <v/>
      </c>
      <c r="M126" s="60" t="str">
        <f aca="false">IF(120&gt;acc_TotalLines,"",IF(120&lt;=acc_SumLines,"S","P"))</f>
        <v/>
      </c>
      <c r="N126" s="42" t="str">
        <f aca="false">IF(M126="","",IF(M126="S",MATCH(120,acc_SumSeq,0),MATCH(120-acc_SumLines,in_Seq,0)))</f>
        <v/>
      </c>
    </row>
    <row r="127" customFormat="false" ht="15" hidden="false" customHeight="false" outlineLevel="0" collapsed="false">
      <c r="A127" s="26" t="str">
        <f aca="false">IF(M127="","",JrnPrefix&amp;"-"&amp;TEXT(WeekEnd,"yyyymmdd"))</f>
        <v/>
      </c>
      <c r="B127" s="58" t="str">
        <f aca="false">IF(M127="","",WeekEnd)</f>
        <v/>
      </c>
      <c r="C127" s="52" t="str">
        <f aca="false">IF(M127="","",121)</f>
        <v/>
      </c>
      <c r="D127" s="26" t="str">
        <f aca="false">IF(M127="","",IF(M127="S",IF(INDEX(acc_SumAcct,N127)=MileGL,"Mileage summary","Expense summary"),"Caregiver payable"))</f>
        <v/>
      </c>
      <c r="E127" s="40" t="str">
        <f aca="false">IF(M127="","",IF(M127="S",INDEX(acc_SumAcct,N127),APGL))</f>
        <v/>
      </c>
      <c r="F127" s="26" t="str">
        <f aca="false">IF(M127="","",IF(M127="S",INDEX(acc_SumName,N127),APGLName))</f>
        <v/>
      </c>
      <c r="G127" s="59" t="str">
        <f aca="false">IF(M127="","",IF(M127="S",INDEX(acc_SumAmt,N127),0))</f>
        <v/>
      </c>
      <c r="H127" s="59" t="str">
        <f aca="false">IF(M127="","",IF(M127="S",0,INDEX(in_Payable,N127)))</f>
        <v/>
      </c>
      <c r="I127" s="40" t="str">
        <f aca="false">IF(M127&lt;&gt;"P","",IFERROR(INDEX(cg_Vendor,MATCH(INDEX(in_CGID,N127),cg_ID,0)),""))</f>
        <v/>
      </c>
      <c r="J127" s="26" t="str">
        <f aca="false">IF(M127&lt;&gt;"P","",INDEX(in_CGName,N127))</f>
        <v/>
      </c>
      <c r="K127" s="26" t="str">
        <f aca="false">IF(M127&lt;&gt;"P","",IFERROR(INDEX(cl_Payer,MATCH(INDEX(in_ClientID,N127),cl_ID,0)),"Unassigned"))</f>
        <v/>
      </c>
      <c r="L127" s="26" t="str">
        <f aca="false">IF(M127="","",IF(M127="S","Weekly caregiver pay, week ending "&amp;TEXT(WeekEnd,"m/d/yyyy"),INDEX(in_Svc,N127)&amp;" "&amp;INDEX(in_ClientID,N127)&amp;", "&amp;INDEX(in_Units,N127)&amp;" units"&amp;IF(N(INDEX(in_Miles,N127))&gt;0,", "&amp;INDEX(in_Miles,N127)&amp;" miles","")))</f>
        <v/>
      </c>
      <c r="M127" s="60" t="str">
        <f aca="false">IF(121&gt;acc_TotalLines,"",IF(121&lt;=acc_SumLines,"S","P"))</f>
        <v/>
      </c>
      <c r="N127" s="42" t="str">
        <f aca="false">IF(M127="","",IF(M127="S",MATCH(121,acc_SumSeq,0),MATCH(121-acc_SumLines,in_Seq,0)))</f>
        <v/>
      </c>
    </row>
    <row r="128" customFormat="false" ht="15" hidden="false" customHeight="false" outlineLevel="0" collapsed="false">
      <c r="A128" s="26" t="str">
        <f aca="false">IF(M128="","",JrnPrefix&amp;"-"&amp;TEXT(WeekEnd,"yyyymmdd"))</f>
        <v/>
      </c>
      <c r="B128" s="58" t="str">
        <f aca="false">IF(M128="","",WeekEnd)</f>
        <v/>
      </c>
      <c r="C128" s="52" t="str">
        <f aca="false">IF(M128="","",122)</f>
        <v/>
      </c>
      <c r="D128" s="26" t="str">
        <f aca="false">IF(M128="","",IF(M128="S",IF(INDEX(acc_SumAcct,N128)=MileGL,"Mileage summary","Expense summary"),"Caregiver payable"))</f>
        <v/>
      </c>
      <c r="E128" s="40" t="str">
        <f aca="false">IF(M128="","",IF(M128="S",INDEX(acc_SumAcct,N128),APGL))</f>
        <v/>
      </c>
      <c r="F128" s="26" t="str">
        <f aca="false">IF(M128="","",IF(M128="S",INDEX(acc_SumName,N128),APGLName))</f>
        <v/>
      </c>
      <c r="G128" s="59" t="str">
        <f aca="false">IF(M128="","",IF(M128="S",INDEX(acc_SumAmt,N128),0))</f>
        <v/>
      </c>
      <c r="H128" s="59" t="str">
        <f aca="false">IF(M128="","",IF(M128="S",0,INDEX(in_Payable,N128)))</f>
        <v/>
      </c>
      <c r="I128" s="40" t="str">
        <f aca="false">IF(M128&lt;&gt;"P","",IFERROR(INDEX(cg_Vendor,MATCH(INDEX(in_CGID,N128),cg_ID,0)),""))</f>
        <v/>
      </c>
      <c r="J128" s="26" t="str">
        <f aca="false">IF(M128&lt;&gt;"P","",INDEX(in_CGName,N128))</f>
        <v/>
      </c>
      <c r="K128" s="26" t="str">
        <f aca="false">IF(M128&lt;&gt;"P","",IFERROR(INDEX(cl_Payer,MATCH(INDEX(in_ClientID,N128),cl_ID,0)),"Unassigned"))</f>
        <v/>
      </c>
      <c r="L128" s="26" t="str">
        <f aca="false">IF(M128="","",IF(M128="S","Weekly caregiver pay, week ending "&amp;TEXT(WeekEnd,"m/d/yyyy"),INDEX(in_Svc,N128)&amp;" "&amp;INDEX(in_ClientID,N128)&amp;", "&amp;INDEX(in_Units,N128)&amp;" units"&amp;IF(N(INDEX(in_Miles,N128))&gt;0,", "&amp;INDEX(in_Miles,N128)&amp;" miles","")))</f>
        <v/>
      </c>
      <c r="M128" s="60" t="str">
        <f aca="false">IF(122&gt;acc_TotalLines,"",IF(122&lt;=acc_SumLines,"S","P"))</f>
        <v/>
      </c>
      <c r="N128" s="42" t="str">
        <f aca="false">IF(M128="","",IF(M128="S",MATCH(122,acc_SumSeq,0),MATCH(122-acc_SumLines,in_Seq,0)))</f>
        <v/>
      </c>
    </row>
    <row r="129" customFormat="false" ht="15" hidden="false" customHeight="false" outlineLevel="0" collapsed="false">
      <c r="A129" s="26" t="str">
        <f aca="false">IF(M129="","",JrnPrefix&amp;"-"&amp;TEXT(WeekEnd,"yyyymmdd"))</f>
        <v/>
      </c>
      <c r="B129" s="58" t="str">
        <f aca="false">IF(M129="","",WeekEnd)</f>
        <v/>
      </c>
      <c r="C129" s="52" t="str">
        <f aca="false">IF(M129="","",123)</f>
        <v/>
      </c>
      <c r="D129" s="26" t="str">
        <f aca="false">IF(M129="","",IF(M129="S",IF(INDEX(acc_SumAcct,N129)=MileGL,"Mileage summary","Expense summary"),"Caregiver payable"))</f>
        <v/>
      </c>
      <c r="E129" s="40" t="str">
        <f aca="false">IF(M129="","",IF(M129="S",INDEX(acc_SumAcct,N129),APGL))</f>
        <v/>
      </c>
      <c r="F129" s="26" t="str">
        <f aca="false">IF(M129="","",IF(M129="S",INDEX(acc_SumName,N129),APGLName))</f>
        <v/>
      </c>
      <c r="G129" s="59" t="str">
        <f aca="false">IF(M129="","",IF(M129="S",INDEX(acc_SumAmt,N129),0))</f>
        <v/>
      </c>
      <c r="H129" s="59" t="str">
        <f aca="false">IF(M129="","",IF(M129="S",0,INDEX(in_Payable,N129)))</f>
        <v/>
      </c>
      <c r="I129" s="40" t="str">
        <f aca="false">IF(M129&lt;&gt;"P","",IFERROR(INDEX(cg_Vendor,MATCH(INDEX(in_CGID,N129),cg_ID,0)),""))</f>
        <v/>
      </c>
      <c r="J129" s="26" t="str">
        <f aca="false">IF(M129&lt;&gt;"P","",INDEX(in_CGName,N129))</f>
        <v/>
      </c>
      <c r="K129" s="26" t="str">
        <f aca="false">IF(M129&lt;&gt;"P","",IFERROR(INDEX(cl_Payer,MATCH(INDEX(in_ClientID,N129),cl_ID,0)),"Unassigned"))</f>
        <v/>
      </c>
      <c r="L129" s="26" t="str">
        <f aca="false">IF(M129="","",IF(M129="S","Weekly caregiver pay, week ending "&amp;TEXT(WeekEnd,"m/d/yyyy"),INDEX(in_Svc,N129)&amp;" "&amp;INDEX(in_ClientID,N129)&amp;", "&amp;INDEX(in_Units,N129)&amp;" units"&amp;IF(N(INDEX(in_Miles,N129))&gt;0,", "&amp;INDEX(in_Miles,N129)&amp;" miles","")))</f>
        <v/>
      </c>
      <c r="M129" s="60" t="str">
        <f aca="false">IF(123&gt;acc_TotalLines,"",IF(123&lt;=acc_SumLines,"S","P"))</f>
        <v/>
      </c>
      <c r="N129" s="42" t="str">
        <f aca="false">IF(M129="","",IF(M129="S",MATCH(123,acc_SumSeq,0),MATCH(123-acc_SumLines,in_Seq,0)))</f>
        <v/>
      </c>
    </row>
    <row r="130" customFormat="false" ht="15" hidden="false" customHeight="false" outlineLevel="0" collapsed="false">
      <c r="A130" s="26" t="str">
        <f aca="false">IF(M130="","",JrnPrefix&amp;"-"&amp;TEXT(WeekEnd,"yyyymmdd"))</f>
        <v/>
      </c>
      <c r="B130" s="58" t="str">
        <f aca="false">IF(M130="","",WeekEnd)</f>
        <v/>
      </c>
      <c r="C130" s="52" t="str">
        <f aca="false">IF(M130="","",124)</f>
        <v/>
      </c>
      <c r="D130" s="26" t="str">
        <f aca="false">IF(M130="","",IF(M130="S",IF(INDEX(acc_SumAcct,N130)=MileGL,"Mileage summary","Expense summary"),"Caregiver payable"))</f>
        <v/>
      </c>
      <c r="E130" s="40" t="str">
        <f aca="false">IF(M130="","",IF(M130="S",INDEX(acc_SumAcct,N130),APGL))</f>
        <v/>
      </c>
      <c r="F130" s="26" t="str">
        <f aca="false">IF(M130="","",IF(M130="S",INDEX(acc_SumName,N130),APGLName))</f>
        <v/>
      </c>
      <c r="G130" s="59" t="str">
        <f aca="false">IF(M130="","",IF(M130="S",INDEX(acc_SumAmt,N130),0))</f>
        <v/>
      </c>
      <c r="H130" s="59" t="str">
        <f aca="false">IF(M130="","",IF(M130="S",0,INDEX(in_Payable,N130)))</f>
        <v/>
      </c>
      <c r="I130" s="40" t="str">
        <f aca="false">IF(M130&lt;&gt;"P","",IFERROR(INDEX(cg_Vendor,MATCH(INDEX(in_CGID,N130),cg_ID,0)),""))</f>
        <v/>
      </c>
      <c r="J130" s="26" t="str">
        <f aca="false">IF(M130&lt;&gt;"P","",INDEX(in_CGName,N130))</f>
        <v/>
      </c>
      <c r="K130" s="26" t="str">
        <f aca="false">IF(M130&lt;&gt;"P","",IFERROR(INDEX(cl_Payer,MATCH(INDEX(in_ClientID,N130),cl_ID,0)),"Unassigned"))</f>
        <v/>
      </c>
      <c r="L130" s="26" t="str">
        <f aca="false">IF(M130="","",IF(M130="S","Weekly caregiver pay, week ending "&amp;TEXT(WeekEnd,"m/d/yyyy"),INDEX(in_Svc,N130)&amp;" "&amp;INDEX(in_ClientID,N130)&amp;", "&amp;INDEX(in_Units,N130)&amp;" units"&amp;IF(N(INDEX(in_Miles,N130))&gt;0,", "&amp;INDEX(in_Miles,N130)&amp;" miles","")))</f>
        <v/>
      </c>
      <c r="M130" s="60" t="str">
        <f aca="false">IF(124&gt;acc_TotalLines,"",IF(124&lt;=acc_SumLines,"S","P"))</f>
        <v/>
      </c>
      <c r="N130" s="42" t="str">
        <f aca="false">IF(M130="","",IF(M130="S",MATCH(124,acc_SumSeq,0),MATCH(124-acc_SumLines,in_Seq,0)))</f>
        <v/>
      </c>
    </row>
    <row r="131" customFormat="false" ht="15" hidden="false" customHeight="false" outlineLevel="0" collapsed="false">
      <c r="A131" s="26" t="str">
        <f aca="false">IF(M131="","",JrnPrefix&amp;"-"&amp;TEXT(WeekEnd,"yyyymmdd"))</f>
        <v/>
      </c>
      <c r="B131" s="58" t="str">
        <f aca="false">IF(M131="","",WeekEnd)</f>
        <v/>
      </c>
      <c r="C131" s="52" t="str">
        <f aca="false">IF(M131="","",125)</f>
        <v/>
      </c>
      <c r="D131" s="26" t="str">
        <f aca="false">IF(M131="","",IF(M131="S",IF(INDEX(acc_SumAcct,N131)=MileGL,"Mileage summary","Expense summary"),"Caregiver payable"))</f>
        <v/>
      </c>
      <c r="E131" s="40" t="str">
        <f aca="false">IF(M131="","",IF(M131="S",INDEX(acc_SumAcct,N131),APGL))</f>
        <v/>
      </c>
      <c r="F131" s="26" t="str">
        <f aca="false">IF(M131="","",IF(M131="S",INDEX(acc_SumName,N131),APGLName))</f>
        <v/>
      </c>
      <c r="G131" s="59" t="str">
        <f aca="false">IF(M131="","",IF(M131="S",INDEX(acc_SumAmt,N131),0))</f>
        <v/>
      </c>
      <c r="H131" s="59" t="str">
        <f aca="false">IF(M131="","",IF(M131="S",0,INDEX(in_Payable,N131)))</f>
        <v/>
      </c>
      <c r="I131" s="40" t="str">
        <f aca="false">IF(M131&lt;&gt;"P","",IFERROR(INDEX(cg_Vendor,MATCH(INDEX(in_CGID,N131),cg_ID,0)),""))</f>
        <v/>
      </c>
      <c r="J131" s="26" t="str">
        <f aca="false">IF(M131&lt;&gt;"P","",INDEX(in_CGName,N131))</f>
        <v/>
      </c>
      <c r="K131" s="26" t="str">
        <f aca="false">IF(M131&lt;&gt;"P","",IFERROR(INDEX(cl_Payer,MATCH(INDEX(in_ClientID,N131),cl_ID,0)),"Unassigned"))</f>
        <v/>
      </c>
      <c r="L131" s="26" t="str">
        <f aca="false">IF(M131="","",IF(M131="S","Weekly caregiver pay, week ending "&amp;TEXT(WeekEnd,"m/d/yyyy"),INDEX(in_Svc,N131)&amp;" "&amp;INDEX(in_ClientID,N131)&amp;", "&amp;INDEX(in_Units,N131)&amp;" units"&amp;IF(N(INDEX(in_Miles,N131))&gt;0,", "&amp;INDEX(in_Miles,N131)&amp;" miles","")))</f>
        <v/>
      </c>
      <c r="M131" s="60" t="str">
        <f aca="false">IF(125&gt;acc_TotalLines,"",IF(125&lt;=acc_SumLines,"S","P"))</f>
        <v/>
      </c>
      <c r="N131" s="42" t="str">
        <f aca="false">IF(M131="","",IF(M131="S",MATCH(125,acc_SumSeq,0),MATCH(125-acc_SumLines,in_Seq,0)))</f>
        <v/>
      </c>
    </row>
    <row r="132" customFormat="false" ht="15" hidden="false" customHeight="false" outlineLevel="0" collapsed="false">
      <c r="A132" s="26" t="str">
        <f aca="false">IF(M132="","",JrnPrefix&amp;"-"&amp;TEXT(WeekEnd,"yyyymmdd"))</f>
        <v/>
      </c>
      <c r="B132" s="58" t="str">
        <f aca="false">IF(M132="","",WeekEnd)</f>
        <v/>
      </c>
      <c r="C132" s="52" t="str">
        <f aca="false">IF(M132="","",126)</f>
        <v/>
      </c>
      <c r="D132" s="26" t="str">
        <f aca="false">IF(M132="","",IF(M132="S",IF(INDEX(acc_SumAcct,N132)=MileGL,"Mileage summary","Expense summary"),"Caregiver payable"))</f>
        <v/>
      </c>
      <c r="E132" s="40" t="str">
        <f aca="false">IF(M132="","",IF(M132="S",INDEX(acc_SumAcct,N132),APGL))</f>
        <v/>
      </c>
      <c r="F132" s="26" t="str">
        <f aca="false">IF(M132="","",IF(M132="S",INDEX(acc_SumName,N132),APGLName))</f>
        <v/>
      </c>
      <c r="G132" s="59" t="str">
        <f aca="false">IF(M132="","",IF(M132="S",INDEX(acc_SumAmt,N132),0))</f>
        <v/>
      </c>
      <c r="H132" s="59" t="str">
        <f aca="false">IF(M132="","",IF(M132="S",0,INDEX(in_Payable,N132)))</f>
        <v/>
      </c>
      <c r="I132" s="40" t="str">
        <f aca="false">IF(M132&lt;&gt;"P","",IFERROR(INDEX(cg_Vendor,MATCH(INDEX(in_CGID,N132),cg_ID,0)),""))</f>
        <v/>
      </c>
      <c r="J132" s="26" t="str">
        <f aca="false">IF(M132&lt;&gt;"P","",INDEX(in_CGName,N132))</f>
        <v/>
      </c>
      <c r="K132" s="26" t="str">
        <f aca="false">IF(M132&lt;&gt;"P","",IFERROR(INDEX(cl_Payer,MATCH(INDEX(in_ClientID,N132),cl_ID,0)),"Unassigned"))</f>
        <v/>
      </c>
      <c r="L132" s="26" t="str">
        <f aca="false">IF(M132="","",IF(M132="S","Weekly caregiver pay, week ending "&amp;TEXT(WeekEnd,"m/d/yyyy"),INDEX(in_Svc,N132)&amp;" "&amp;INDEX(in_ClientID,N132)&amp;", "&amp;INDEX(in_Units,N132)&amp;" units"&amp;IF(N(INDEX(in_Miles,N132))&gt;0,", "&amp;INDEX(in_Miles,N132)&amp;" miles","")))</f>
        <v/>
      </c>
      <c r="M132" s="60" t="str">
        <f aca="false">IF(126&gt;acc_TotalLines,"",IF(126&lt;=acc_SumLines,"S","P"))</f>
        <v/>
      </c>
      <c r="N132" s="42" t="str">
        <f aca="false">IF(M132="","",IF(M132="S",MATCH(126,acc_SumSeq,0),MATCH(126-acc_SumLines,in_Seq,0)))</f>
        <v/>
      </c>
    </row>
    <row r="133" customFormat="false" ht="15" hidden="false" customHeight="false" outlineLevel="0" collapsed="false">
      <c r="A133" s="26" t="str">
        <f aca="false">IF(M133="","",JrnPrefix&amp;"-"&amp;TEXT(WeekEnd,"yyyymmdd"))</f>
        <v/>
      </c>
      <c r="B133" s="58" t="str">
        <f aca="false">IF(M133="","",WeekEnd)</f>
        <v/>
      </c>
      <c r="C133" s="52" t="str">
        <f aca="false">IF(M133="","",127)</f>
        <v/>
      </c>
      <c r="D133" s="26" t="str">
        <f aca="false">IF(M133="","",IF(M133="S",IF(INDEX(acc_SumAcct,N133)=MileGL,"Mileage summary","Expense summary"),"Caregiver payable"))</f>
        <v/>
      </c>
      <c r="E133" s="40" t="str">
        <f aca="false">IF(M133="","",IF(M133="S",INDEX(acc_SumAcct,N133),APGL))</f>
        <v/>
      </c>
      <c r="F133" s="26" t="str">
        <f aca="false">IF(M133="","",IF(M133="S",INDEX(acc_SumName,N133),APGLName))</f>
        <v/>
      </c>
      <c r="G133" s="59" t="str">
        <f aca="false">IF(M133="","",IF(M133="S",INDEX(acc_SumAmt,N133),0))</f>
        <v/>
      </c>
      <c r="H133" s="59" t="str">
        <f aca="false">IF(M133="","",IF(M133="S",0,INDEX(in_Payable,N133)))</f>
        <v/>
      </c>
      <c r="I133" s="40" t="str">
        <f aca="false">IF(M133&lt;&gt;"P","",IFERROR(INDEX(cg_Vendor,MATCH(INDEX(in_CGID,N133),cg_ID,0)),""))</f>
        <v/>
      </c>
      <c r="J133" s="26" t="str">
        <f aca="false">IF(M133&lt;&gt;"P","",INDEX(in_CGName,N133))</f>
        <v/>
      </c>
      <c r="K133" s="26" t="str">
        <f aca="false">IF(M133&lt;&gt;"P","",IFERROR(INDEX(cl_Payer,MATCH(INDEX(in_ClientID,N133),cl_ID,0)),"Unassigned"))</f>
        <v/>
      </c>
      <c r="L133" s="26" t="str">
        <f aca="false">IF(M133="","",IF(M133="S","Weekly caregiver pay, week ending "&amp;TEXT(WeekEnd,"m/d/yyyy"),INDEX(in_Svc,N133)&amp;" "&amp;INDEX(in_ClientID,N133)&amp;", "&amp;INDEX(in_Units,N133)&amp;" units"&amp;IF(N(INDEX(in_Miles,N133))&gt;0,", "&amp;INDEX(in_Miles,N133)&amp;" miles","")))</f>
        <v/>
      </c>
      <c r="M133" s="60" t="str">
        <f aca="false">IF(127&gt;acc_TotalLines,"",IF(127&lt;=acc_SumLines,"S","P"))</f>
        <v/>
      </c>
      <c r="N133" s="42" t="str">
        <f aca="false">IF(M133="","",IF(M133="S",MATCH(127,acc_SumSeq,0),MATCH(127-acc_SumLines,in_Seq,0)))</f>
        <v/>
      </c>
    </row>
    <row r="134" customFormat="false" ht="15" hidden="false" customHeight="false" outlineLevel="0" collapsed="false">
      <c r="A134" s="26" t="str">
        <f aca="false">IF(M134="","",JrnPrefix&amp;"-"&amp;TEXT(WeekEnd,"yyyymmdd"))</f>
        <v/>
      </c>
      <c r="B134" s="58" t="str">
        <f aca="false">IF(M134="","",WeekEnd)</f>
        <v/>
      </c>
      <c r="C134" s="52" t="str">
        <f aca="false">IF(M134="","",128)</f>
        <v/>
      </c>
      <c r="D134" s="26" t="str">
        <f aca="false">IF(M134="","",IF(M134="S",IF(INDEX(acc_SumAcct,N134)=MileGL,"Mileage summary","Expense summary"),"Caregiver payable"))</f>
        <v/>
      </c>
      <c r="E134" s="40" t="str">
        <f aca="false">IF(M134="","",IF(M134="S",INDEX(acc_SumAcct,N134),APGL))</f>
        <v/>
      </c>
      <c r="F134" s="26" t="str">
        <f aca="false">IF(M134="","",IF(M134="S",INDEX(acc_SumName,N134),APGLName))</f>
        <v/>
      </c>
      <c r="G134" s="59" t="str">
        <f aca="false">IF(M134="","",IF(M134="S",INDEX(acc_SumAmt,N134),0))</f>
        <v/>
      </c>
      <c r="H134" s="59" t="str">
        <f aca="false">IF(M134="","",IF(M134="S",0,INDEX(in_Payable,N134)))</f>
        <v/>
      </c>
      <c r="I134" s="40" t="str">
        <f aca="false">IF(M134&lt;&gt;"P","",IFERROR(INDEX(cg_Vendor,MATCH(INDEX(in_CGID,N134),cg_ID,0)),""))</f>
        <v/>
      </c>
      <c r="J134" s="26" t="str">
        <f aca="false">IF(M134&lt;&gt;"P","",INDEX(in_CGName,N134))</f>
        <v/>
      </c>
      <c r="K134" s="26" t="str">
        <f aca="false">IF(M134&lt;&gt;"P","",IFERROR(INDEX(cl_Payer,MATCH(INDEX(in_ClientID,N134),cl_ID,0)),"Unassigned"))</f>
        <v/>
      </c>
      <c r="L134" s="26" t="str">
        <f aca="false">IF(M134="","",IF(M134="S","Weekly caregiver pay, week ending "&amp;TEXT(WeekEnd,"m/d/yyyy"),INDEX(in_Svc,N134)&amp;" "&amp;INDEX(in_ClientID,N134)&amp;", "&amp;INDEX(in_Units,N134)&amp;" units"&amp;IF(N(INDEX(in_Miles,N134))&gt;0,", "&amp;INDEX(in_Miles,N134)&amp;" miles","")))</f>
        <v/>
      </c>
      <c r="M134" s="60" t="str">
        <f aca="false">IF(128&gt;acc_TotalLines,"",IF(128&lt;=acc_SumLines,"S","P"))</f>
        <v/>
      </c>
      <c r="N134" s="42" t="str">
        <f aca="false">IF(M134="","",IF(M134="S",MATCH(128,acc_SumSeq,0),MATCH(128-acc_SumLines,in_Seq,0)))</f>
        <v/>
      </c>
    </row>
    <row r="135" customFormat="false" ht="15" hidden="false" customHeight="false" outlineLevel="0" collapsed="false">
      <c r="A135" s="26" t="str">
        <f aca="false">IF(M135="","",JrnPrefix&amp;"-"&amp;TEXT(WeekEnd,"yyyymmdd"))</f>
        <v/>
      </c>
      <c r="B135" s="58" t="str">
        <f aca="false">IF(M135="","",WeekEnd)</f>
        <v/>
      </c>
      <c r="C135" s="52" t="str">
        <f aca="false">IF(M135="","",129)</f>
        <v/>
      </c>
      <c r="D135" s="26" t="str">
        <f aca="false">IF(M135="","",IF(M135="S",IF(INDEX(acc_SumAcct,N135)=MileGL,"Mileage summary","Expense summary"),"Caregiver payable"))</f>
        <v/>
      </c>
      <c r="E135" s="40" t="str">
        <f aca="false">IF(M135="","",IF(M135="S",INDEX(acc_SumAcct,N135),APGL))</f>
        <v/>
      </c>
      <c r="F135" s="26" t="str">
        <f aca="false">IF(M135="","",IF(M135="S",INDEX(acc_SumName,N135),APGLName))</f>
        <v/>
      </c>
      <c r="G135" s="59" t="str">
        <f aca="false">IF(M135="","",IF(M135="S",INDEX(acc_SumAmt,N135),0))</f>
        <v/>
      </c>
      <c r="H135" s="59" t="str">
        <f aca="false">IF(M135="","",IF(M135="S",0,INDEX(in_Payable,N135)))</f>
        <v/>
      </c>
      <c r="I135" s="40" t="str">
        <f aca="false">IF(M135&lt;&gt;"P","",IFERROR(INDEX(cg_Vendor,MATCH(INDEX(in_CGID,N135),cg_ID,0)),""))</f>
        <v/>
      </c>
      <c r="J135" s="26" t="str">
        <f aca="false">IF(M135&lt;&gt;"P","",INDEX(in_CGName,N135))</f>
        <v/>
      </c>
      <c r="K135" s="26" t="str">
        <f aca="false">IF(M135&lt;&gt;"P","",IFERROR(INDEX(cl_Payer,MATCH(INDEX(in_ClientID,N135),cl_ID,0)),"Unassigned"))</f>
        <v/>
      </c>
      <c r="L135" s="26" t="str">
        <f aca="false">IF(M135="","",IF(M135="S","Weekly caregiver pay, week ending "&amp;TEXT(WeekEnd,"m/d/yyyy"),INDEX(in_Svc,N135)&amp;" "&amp;INDEX(in_ClientID,N135)&amp;", "&amp;INDEX(in_Units,N135)&amp;" units"&amp;IF(N(INDEX(in_Miles,N135))&gt;0,", "&amp;INDEX(in_Miles,N135)&amp;" miles","")))</f>
        <v/>
      </c>
      <c r="M135" s="60" t="str">
        <f aca="false">IF(129&gt;acc_TotalLines,"",IF(129&lt;=acc_SumLines,"S","P"))</f>
        <v/>
      </c>
      <c r="N135" s="42" t="str">
        <f aca="false">IF(M135="","",IF(M135="S",MATCH(129,acc_SumSeq,0),MATCH(129-acc_SumLines,in_Seq,0)))</f>
        <v/>
      </c>
    </row>
    <row r="136" customFormat="false" ht="15" hidden="false" customHeight="false" outlineLevel="0" collapsed="false">
      <c r="A136" s="26" t="str">
        <f aca="false">IF(M136="","",JrnPrefix&amp;"-"&amp;TEXT(WeekEnd,"yyyymmdd"))</f>
        <v/>
      </c>
      <c r="B136" s="58" t="str">
        <f aca="false">IF(M136="","",WeekEnd)</f>
        <v/>
      </c>
      <c r="C136" s="52" t="str">
        <f aca="false">IF(M136="","",130)</f>
        <v/>
      </c>
      <c r="D136" s="26" t="str">
        <f aca="false">IF(M136="","",IF(M136="S",IF(INDEX(acc_SumAcct,N136)=MileGL,"Mileage summary","Expense summary"),"Caregiver payable"))</f>
        <v/>
      </c>
      <c r="E136" s="40" t="str">
        <f aca="false">IF(M136="","",IF(M136="S",INDEX(acc_SumAcct,N136),APGL))</f>
        <v/>
      </c>
      <c r="F136" s="26" t="str">
        <f aca="false">IF(M136="","",IF(M136="S",INDEX(acc_SumName,N136),APGLName))</f>
        <v/>
      </c>
      <c r="G136" s="59" t="str">
        <f aca="false">IF(M136="","",IF(M136="S",INDEX(acc_SumAmt,N136),0))</f>
        <v/>
      </c>
      <c r="H136" s="59" t="str">
        <f aca="false">IF(M136="","",IF(M136="S",0,INDEX(in_Payable,N136)))</f>
        <v/>
      </c>
      <c r="I136" s="40" t="str">
        <f aca="false">IF(M136&lt;&gt;"P","",IFERROR(INDEX(cg_Vendor,MATCH(INDEX(in_CGID,N136),cg_ID,0)),""))</f>
        <v/>
      </c>
      <c r="J136" s="26" t="str">
        <f aca="false">IF(M136&lt;&gt;"P","",INDEX(in_CGName,N136))</f>
        <v/>
      </c>
      <c r="K136" s="26" t="str">
        <f aca="false">IF(M136&lt;&gt;"P","",IFERROR(INDEX(cl_Payer,MATCH(INDEX(in_ClientID,N136),cl_ID,0)),"Unassigned"))</f>
        <v/>
      </c>
      <c r="L136" s="26" t="str">
        <f aca="false">IF(M136="","",IF(M136="S","Weekly caregiver pay, week ending "&amp;TEXT(WeekEnd,"m/d/yyyy"),INDEX(in_Svc,N136)&amp;" "&amp;INDEX(in_ClientID,N136)&amp;", "&amp;INDEX(in_Units,N136)&amp;" units"&amp;IF(N(INDEX(in_Miles,N136))&gt;0,", "&amp;INDEX(in_Miles,N136)&amp;" miles","")))</f>
        <v/>
      </c>
      <c r="M136" s="60" t="str">
        <f aca="false">IF(130&gt;acc_TotalLines,"",IF(130&lt;=acc_SumLines,"S","P"))</f>
        <v/>
      </c>
      <c r="N136" s="42" t="str">
        <f aca="false">IF(M136="","",IF(M136="S",MATCH(130,acc_SumSeq,0),MATCH(130-acc_SumLines,in_Seq,0)))</f>
        <v/>
      </c>
    </row>
    <row r="137" customFormat="false" ht="15" hidden="false" customHeight="false" outlineLevel="0" collapsed="false">
      <c r="A137" s="26" t="str">
        <f aca="false">IF(M137="","",JrnPrefix&amp;"-"&amp;TEXT(WeekEnd,"yyyymmdd"))</f>
        <v/>
      </c>
      <c r="B137" s="58" t="str">
        <f aca="false">IF(M137="","",WeekEnd)</f>
        <v/>
      </c>
      <c r="C137" s="52" t="str">
        <f aca="false">IF(M137="","",131)</f>
        <v/>
      </c>
      <c r="D137" s="26" t="str">
        <f aca="false">IF(M137="","",IF(M137="S",IF(INDEX(acc_SumAcct,N137)=MileGL,"Mileage summary","Expense summary"),"Caregiver payable"))</f>
        <v/>
      </c>
      <c r="E137" s="40" t="str">
        <f aca="false">IF(M137="","",IF(M137="S",INDEX(acc_SumAcct,N137),APGL))</f>
        <v/>
      </c>
      <c r="F137" s="26" t="str">
        <f aca="false">IF(M137="","",IF(M137="S",INDEX(acc_SumName,N137),APGLName))</f>
        <v/>
      </c>
      <c r="G137" s="59" t="str">
        <f aca="false">IF(M137="","",IF(M137="S",INDEX(acc_SumAmt,N137),0))</f>
        <v/>
      </c>
      <c r="H137" s="59" t="str">
        <f aca="false">IF(M137="","",IF(M137="S",0,INDEX(in_Payable,N137)))</f>
        <v/>
      </c>
      <c r="I137" s="40" t="str">
        <f aca="false">IF(M137&lt;&gt;"P","",IFERROR(INDEX(cg_Vendor,MATCH(INDEX(in_CGID,N137),cg_ID,0)),""))</f>
        <v/>
      </c>
      <c r="J137" s="26" t="str">
        <f aca="false">IF(M137&lt;&gt;"P","",INDEX(in_CGName,N137))</f>
        <v/>
      </c>
      <c r="K137" s="26" t="str">
        <f aca="false">IF(M137&lt;&gt;"P","",IFERROR(INDEX(cl_Payer,MATCH(INDEX(in_ClientID,N137),cl_ID,0)),"Unassigned"))</f>
        <v/>
      </c>
      <c r="L137" s="26" t="str">
        <f aca="false">IF(M137="","",IF(M137="S","Weekly caregiver pay, week ending "&amp;TEXT(WeekEnd,"m/d/yyyy"),INDEX(in_Svc,N137)&amp;" "&amp;INDEX(in_ClientID,N137)&amp;", "&amp;INDEX(in_Units,N137)&amp;" units"&amp;IF(N(INDEX(in_Miles,N137))&gt;0,", "&amp;INDEX(in_Miles,N137)&amp;" miles","")))</f>
        <v/>
      </c>
      <c r="M137" s="60" t="str">
        <f aca="false">IF(131&gt;acc_TotalLines,"",IF(131&lt;=acc_SumLines,"S","P"))</f>
        <v/>
      </c>
      <c r="N137" s="42" t="str">
        <f aca="false">IF(M137="","",IF(M137="S",MATCH(131,acc_SumSeq,0),MATCH(131-acc_SumLines,in_Seq,0)))</f>
        <v/>
      </c>
    </row>
    <row r="138" customFormat="false" ht="15" hidden="false" customHeight="false" outlineLevel="0" collapsed="false">
      <c r="A138" s="26" t="str">
        <f aca="false">IF(M138="","",JrnPrefix&amp;"-"&amp;TEXT(WeekEnd,"yyyymmdd"))</f>
        <v/>
      </c>
      <c r="B138" s="58" t="str">
        <f aca="false">IF(M138="","",WeekEnd)</f>
        <v/>
      </c>
      <c r="C138" s="52" t="str">
        <f aca="false">IF(M138="","",132)</f>
        <v/>
      </c>
      <c r="D138" s="26" t="str">
        <f aca="false">IF(M138="","",IF(M138="S",IF(INDEX(acc_SumAcct,N138)=MileGL,"Mileage summary","Expense summary"),"Caregiver payable"))</f>
        <v/>
      </c>
      <c r="E138" s="40" t="str">
        <f aca="false">IF(M138="","",IF(M138="S",INDEX(acc_SumAcct,N138),APGL))</f>
        <v/>
      </c>
      <c r="F138" s="26" t="str">
        <f aca="false">IF(M138="","",IF(M138="S",INDEX(acc_SumName,N138),APGLName))</f>
        <v/>
      </c>
      <c r="G138" s="59" t="str">
        <f aca="false">IF(M138="","",IF(M138="S",INDEX(acc_SumAmt,N138),0))</f>
        <v/>
      </c>
      <c r="H138" s="59" t="str">
        <f aca="false">IF(M138="","",IF(M138="S",0,INDEX(in_Payable,N138)))</f>
        <v/>
      </c>
      <c r="I138" s="40" t="str">
        <f aca="false">IF(M138&lt;&gt;"P","",IFERROR(INDEX(cg_Vendor,MATCH(INDEX(in_CGID,N138),cg_ID,0)),""))</f>
        <v/>
      </c>
      <c r="J138" s="26" t="str">
        <f aca="false">IF(M138&lt;&gt;"P","",INDEX(in_CGName,N138))</f>
        <v/>
      </c>
      <c r="K138" s="26" t="str">
        <f aca="false">IF(M138&lt;&gt;"P","",IFERROR(INDEX(cl_Payer,MATCH(INDEX(in_ClientID,N138),cl_ID,0)),"Unassigned"))</f>
        <v/>
      </c>
      <c r="L138" s="26" t="str">
        <f aca="false">IF(M138="","",IF(M138="S","Weekly caregiver pay, week ending "&amp;TEXT(WeekEnd,"m/d/yyyy"),INDEX(in_Svc,N138)&amp;" "&amp;INDEX(in_ClientID,N138)&amp;", "&amp;INDEX(in_Units,N138)&amp;" units"&amp;IF(N(INDEX(in_Miles,N138))&gt;0,", "&amp;INDEX(in_Miles,N138)&amp;" miles","")))</f>
        <v/>
      </c>
      <c r="M138" s="60" t="str">
        <f aca="false">IF(132&gt;acc_TotalLines,"",IF(132&lt;=acc_SumLines,"S","P"))</f>
        <v/>
      </c>
      <c r="N138" s="42" t="str">
        <f aca="false">IF(M138="","",IF(M138="S",MATCH(132,acc_SumSeq,0),MATCH(132-acc_SumLines,in_Seq,0)))</f>
        <v/>
      </c>
    </row>
    <row r="139" customFormat="false" ht="15" hidden="false" customHeight="false" outlineLevel="0" collapsed="false">
      <c r="A139" s="26" t="str">
        <f aca="false">IF(M139="","",JrnPrefix&amp;"-"&amp;TEXT(WeekEnd,"yyyymmdd"))</f>
        <v/>
      </c>
      <c r="B139" s="58" t="str">
        <f aca="false">IF(M139="","",WeekEnd)</f>
        <v/>
      </c>
      <c r="C139" s="52" t="str">
        <f aca="false">IF(M139="","",133)</f>
        <v/>
      </c>
      <c r="D139" s="26" t="str">
        <f aca="false">IF(M139="","",IF(M139="S",IF(INDEX(acc_SumAcct,N139)=MileGL,"Mileage summary","Expense summary"),"Caregiver payable"))</f>
        <v/>
      </c>
      <c r="E139" s="40" t="str">
        <f aca="false">IF(M139="","",IF(M139="S",INDEX(acc_SumAcct,N139),APGL))</f>
        <v/>
      </c>
      <c r="F139" s="26" t="str">
        <f aca="false">IF(M139="","",IF(M139="S",INDEX(acc_SumName,N139),APGLName))</f>
        <v/>
      </c>
      <c r="G139" s="59" t="str">
        <f aca="false">IF(M139="","",IF(M139="S",INDEX(acc_SumAmt,N139),0))</f>
        <v/>
      </c>
      <c r="H139" s="59" t="str">
        <f aca="false">IF(M139="","",IF(M139="S",0,INDEX(in_Payable,N139)))</f>
        <v/>
      </c>
      <c r="I139" s="40" t="str">
        <f aca="false">IF(M139&lt;&gt;"P","",IFERROR(INDEX(cg_Vendor,MATCH(INDEX(in_CGID,N139),cg_ID,0)),""))</f>
        <v/>
      </c>
      <c r="J139" s="26" t="str">
        <f aca="false">IF(M139&lt;&gt;"P","",INDEX(in_CGName,N139))</f>
        <v/>
      </c>
      <c r="K139" s="26" t="str">
        <f aca="false">IF(M139&lt;&gt;"P","",IFERROR(INDEX(cl_Payer,MATCH(INDEX(in_ClientID,N139),cl_ID,0)),"Unassigned"))</f>
        <v/>
      </c>
      <c r="L139" s="26" t="str">
        <f aca="false">IF(M139="","",IF(M139="S","Weekly caregiver pay, week ending "&amp;TEXT(WeekEnd,"m/d/yyyy"),INDEX(in_Svc,N139)&amp;" "&amp;INDEX(in_ClientID,N139)&amp;", "&amp;INDEX(in_Units,N139)&amp;" units"&amp;IF(N(INDEX(in_Miles,N139))&gt;0,", "&amp;INDEX(in_Miles,N139)&amp;" miles","")))</f>
        <v/>
      </c>
      <c r="M139" s="60" t="str">
        <f aca="false">IF(133&gt;acc_TotalLines,"",IF(133&lt;=acc_SumLines,"S","P"))</f>
        <v/>
      </c>
      <c r="N139" s="42" t="str">
        <f aca="false">IF(M139="","",IF(M139="S",MATCH(133,acc_SumSeq,0),MATCH(133-acc_SumLines,in_Seq,0)))</f>
        <v/>
      </c>
    </row>
    <row r="140" customFormat="false" ht="15" hidden="false" customHeight="false" outlineLevel="0" collapsed="false">
      <c r="A140" s="26" t="str">
        <f aca="false">IF(M140="","",JrnPrefix&amp;"-"&amp;TEXT(WeekEnd,"yyyymmdd"))</f>
        <v/>
      </c>
      <c r="B140" s="58" t="str">
        <f aca="false">IF(M140="","",WeekEnd)</f>
        <v/>
      </c>
      <c r="C140" s="52" t="str">
        <f aca="false">IF(M140="","",134)</f>
        <v/>
      </c>
      <c r="D140" s="26" t="str">
        <f aca="false">IF(M140="","",IF(M140="S",IF(INDEX(acc_SumAcct,N140)=MileGL,"Mileage summary","Expense summary"),"Caregiver payable"))</f>
        <v/>
      </c>
      <c r="E140" s="40" t="str">
        <f aca="false">IF(M140="","",IF(M140="S",INDEX(acc_SumAcct,N140),APGL))</f>
        <v/>
      </c>
      <c r="F140" s="26" t="str">
        <f aca="false">IF(M140="","",IF(M140="S",INDEX(acc_SumName,N140),APGLName))</f>
        <v/>
      </c>
      <c r="G140" s="59" t="str">
        <f aca="false">IF(M140="","",IF(M140="S",INDEX(acc_SumAmt,N140),0))</f>
        <v/>
      </c>
      <c r="H140" s="59" t="str">
        <f aca="false">IF(M140="","",IF(M140="S",0,INDEX(in_Payable,N140)))</f>
        <v/>
      </c>
      <c r="I140" s="40" t="str">
        <f aca="false">IF(M140&lt;&gt;"P","",IFERROR(INDEX(cg_Vendor,MATCH(INDEX(in_CGID,N140),cg_ID,0)),""))</f>
        <v/>
      </c>
      <c r="J140" s="26" t="str">
        <f aca="false">IF(M140&lt;&gt;"P","",INDEX(in_CGName,N140))</f>
        <v/>
      </c>
      <c r="K140" s="26" t="str">
        <f aca="false">IF(M140&lt;&gt;"P","",IFERROR(INDEX(cl_Payer,MATCH(INDEX(in_ClientID,N140),cl_ID,0)),"Unassigned"))</f>
        <v/>
      </c>
      <c r="L140" s="26" t="str">
        <f aca="false">IF(M140="","",IF(M140="S","Weekly caregiver pay, week ending "&amp;TEXT(WeekEnd,"m/d/yyyy"),INDEX(in_Svc,N140)&amp;" "&amp;INDEX(in_ClientID,N140)&amp;", "&amp;INDEX(in_Units,N140)&amp;" units"&amp;IF(N(INDEX(in_Miles,N140))&gt;0,", "&amp;INDEX(in_Miles,N140)&amp;" miles","")))</f>
        <v/>
      </c>
      <c r="M140" s="60" t="str">
        <f aca="false">IF(134&gt;acc_TotalLines,"",IF(134&lt;=acc_SumLines,"S","P"))</f>
        <v/>
      </c>
      <c r="N140" s="42" t="str">
        <f aca="false">IF(M140="","",IF(M140="S",MATCH(134,acc_SumSeq,0),MATCH(134-acc_SumLines,in_Seq,0)))</f>
        <v/>
      </c>
    </row>
    <row r="141" customFormat="false" ht="15" hidden="false" customHeight="false" outlineLevel="0" collapsed="false">
      <c r="A141" s="26" t="str">
        <f aca="false">IF(M141="","",JrnPrefix&amp;"-"&amp;TEXT(WeekEnd,"yyyymmdd"))</f>
        <v/>
      </c>
      <c r="B141" s="58" t="str">
        <f aca="false">IF(M141="","",WeekEnd)</f>
        <v/>
      </c>
      <c r="C141" s="52" t="str">
        <f aca="false">IF(M141="","",135)</f>
        <v/>
      </c>
      <c r="D141" s="26" t="str">
        <f aca="false">IF(M141="","",IF(M141="S",IF(INDEX(acc_SumAcct,N141)=MileGL,"Mileage summary","Expense summary"),"Caregiver payable"))</f>
        <v/>
      </c>
      <c r="E141" s="40" t="str">
        <f aca="false">IF(M141="","",IF(M141="S",INDEX(acc_SumAcct,N141),APGL))</f>
        <v/>
      </c>
      <c r="F141" s="26" t="str">
        <f aca="false">IF(M141="","",IF(M141="S",INDEX(acc_SumName,N141),APGLName))</f>
        <v/>
      </c>
      <c r="G141" s="59" t="str">
        <f aca="false">IF(M141="","",IF(M141="S",INDEX(acc_SumAmt,N141),0))</f>
        <v/>
      </c>
      <c r="H141" s="59" t="str">
        <f aca="false">IF(M141="","",IF(M141="S",0,INDEX(in_Payable,N141)))</f>
        <v/>
      </c>
      <c r="I141" s="40" t="str">
        <f aca="false">IF(M141&lt;&gt;"P","",IFERROR(INDEX(cg_Vendor,MATCH(INDEX(in_CGID,N141),cg_ID,0)),""))</f>
        <v/>
      </c>
      <c r="J141" s="26" t="str">
        <f aca="false">IF(M141&lt;&gt;"P","",INDEX(in_CGName,N141))</f>
        <v/>
      </c>
      <c r="K141" s="26" t="str">
        <f aca="false">IF(M141&lt;&gt;"P","",IFERROR(INDEX(cl_Payer,MATCH(INDEX(in_ClientID,N141),cl_ID,0)),"Unassigned"))</f>
        <v/>
      </c>
      <c r="L141" s="26" t="str">
        <f aca="false">IF(M141="","",IF(M141="S","Weekly caregiver pay, week ending "&amp;TEXT(WeekEnd,"m/d/yyyy"),INDEX(in_Svc,N141)&amp;" "&amp;INDEX(in_ClientID,N141)&amp;", "&amp;INDEX(in_Units,N141)&amp;" units"&amp;IF(N(INDEX(in_Miles,N141))&gt;0,", "&amp;INDEX(in_Miles,N141)&amp;" miles","")))</f>
        <v/>
      </c>
      <c r="M141" s="60" t="str">
        <f aca="false">IF(135&gt;acc_TotalLines,"",IF(135&lt;=acc_SumLines,"S","P"))</f>
        <v/>
      </c>
      <c r="N141" s="42" t="str">
        <f aca="false">IF(M141="","",IF(M141="S",MATCH(135,acc_SumSeq,0),MATCH(135-acc_SumLines,in_Seq,0)))</f>
        <v/>
      </c>
    </row>
    <row r="142" customFormat="false" ht="15" hidden="false" customHeight="false" outlineLevel="0" collapsed="false">
      <c r="A142" s="26" t="str">
        <f aca="false">IF(M142="","",JrnPrefix&amp;"-"&amp;TEXT(WeekEnd,"yyyymmdd"))</f>
        <v/>
      </c>
      <c r="B142" s="58" t="str">
        <f aca="false">IF(M142="","",WeekEnd)</f>
        <v/>
      </c>
      <c r="C142" s="52" t="str">
        <f aca="false">IF(M142="","",136)</f>
        <v/>
      </c>
      <c r="D142" s="26" t="str">
        <f aca="false">IF(M142="","",IF(M142="S",IF(INDEX(acc_SumAcct,N142)=MileGL,"Mileage summary","Expense summary"),"Caregiver payable"))</f>
        <v/>
      </c>
      <c r="E142" s="40" t="str">
        <f aca="false">IF(M142="","",IF(M142="S",INDEX(acc_SumAcct,N142),APGL))</f>
        <v/>
      </c>
      <c r="F142" s="26" t="str">
        <f aca="false">IF(M142="","",IF(M142="S",INDEX(acc_SumName,N142),APGLName))</f>
        <v/>
      </c>
      <c r="G142" s="59" t="str">
        <f aca="false">IF(M142="","",IF(M142="S",INDEX(acc_SumAmt,N142),0))</f>
        <v/>
      </c>
      <c r="H142" s="59" t="str">
        <f aca="false">IF(M142="","",IF(M142="S",0,INDEX(in_Payable,N142)))</f>
        <v/>
      </c>
      <c r="I142" s="40" t="str">
        <f aca="false">IF(M142&lt;&gt;"P","",IFERROR(INDEX(cg_Vendor,MATCH(INDEX(in_CGID,N142),cg_ID,0)),""))</f>
        <v/>
      </c>
      <c r="J142" s="26" t="str">
        <f aca="false">IF(M142&lt;&gt;"P","",INDEX(in_CGName,N142))</f>
        <v/>
      </c>
      <c r="K142" s="26" t="str">
        <f aca="false">IF(M142&lt;&gt;"P","",IFERROR(INDEX(cl_Payer,MATCH(INDEX(in_ClientID,N142),cl_ID,0)),"Unassigned"))</f>
        <v/>
      </c>
      <c r="L142" s="26" t="str">
        <f aca="false">IF(M142="","",IF(M142="S","Weekly caregiver pay, week ending "&amp;TEXT(WeekEnd,"m/d/yyyy"),INDEX(in_Svc,N142)&amp;" "&amp;INDEX(in_ClientID,N142)&amp;", "&amp;INDEX(in_Units,N142)&amp;" units"&amp;IF(N(INDEX(in_Miles,N142))&gt;0,", "&amp;INDEX(in_Miles,N142)&amp;" miles","")))</f>
        <v/>
      </c>
      <c r="M142" s="60" t="str">
        <f aca="false">IF(136&gt;acc_TotalLines,"",IF(136&lt;=acc_SumLines,"S","P"))</f>
        <v/>
      </c>
      <c r="N142" s="42" t="str">
        <f aca="false">IF(M142="","",IF(M142="S",MATCH(136,acc_SumSeq,0),MATCH(136-acc_SumLines,in_Seq,0)))</f>
        <v/>
      </c>
    </row>
    <row r="143" customFormat="false" ht="15" hidden="false" customHeight="false" outlineLevel="0" collapsed="false">
      <c r="A143" s="26" t="str">
        <f aca="false">IF(M143="","",JrnPrefix&amp;"-"&amp;TEXT(WeekEnd,"yyyymmdd"))</f>
        <v/>
      </c>
      <c r="B143" s="58" t="str">
        <f aca="false">IF(M143="","",WeekEnd)</f>
        <v/>
      </c>
      <c r="C143" s="52" t="str">
        <f aca="false">IF(M143="","",137)</f>
        <v/>
      </c>
      <c r="D143" s="26" t="str">
        <f aca="false">IF(M143="","",IF(M143="S",IF(INDEX(acc_SumAcct,N143)=MileGL,"Mileage summary","Expense summary"),"Caregiver payable"))</f>
        <v/>
      </c>
      <c r="E143" s="40" t="str">
        <f aca="false">IF(M143="","",IF(M143="S",INDEX(acc_SumAcct,N143),APGL))</f>
        <v/>
      </c>
      <c r="F143" s="26" t="str">
        <f aca="false">IF(M143="","",IF(M143="S",INDEX(acc_SumName,N143),APGLName))</f>
        <v/>
      </c>
      <c r="G143" s="59" t="str">
        <f aca="false">IF(M143="","",IF(M143="S",INDEX(acc_SumAmt,N143),0))</f>
        <v/>
      </c>
      <c r="H143" s="59" t="str">
        <f aca="false">IF(M143="","",IF(M143="S",0,INDEX(in_Payable,N143)))</f>
        <v/>
      </c>
      <c r="I143" s="40" t="str">
        <f aca="false">IF(M143&lt;&gt;"P","",IFERROR(INDEX(cg_Vendor,MATCH(INDEX(in_CGID,N143),cg_ID,0)),""))</f>
        <v/>
      </c>
      <c r="J143" s="26" t="str">
        <f aca="false">IF(M143&lt;&gt;"P","",INDEX(in_CGName,N143))</f>
        <v/>
      </c>
      <c r="K143" s="26" t="str">
        <f aca="false">IF(M143&lt;&gt;"P","",IFERROR(INDEX(cl_Payer,MATCH(INDEX(in_ClientID,N143),cl_ID,0)),"Unassigned"))</f>
        <v/>
      </c>
      <c r="L143" s="26" t="str">
        <f aca="false">IF(M143="","",IF(M143="S","Weekly caregiver pay, week ending "&amp;TEXT(WeekEnd,"m/d/yyyy"),INDEX(in_Svc,N143)&amp;" "&amp;INDEX(in_ClientID,N143)&amp;", "&amp;INDEX(in_Units,N143)&amp;" units"&amp;IF(N(INDEX(in_Miles,N143))&gt;0,", "&amp;INDEX(in_Miles,N143)&amp;" miles","")))</f>
        <v/>
      </c>
      <c r="M143" s="60" t="str">
        <f aca="false">IF(137&gt;acc_TotalLines,"",IF(137&lt;=acc_SumLines,"S","P"))</f>
        <v/>
      </c>
      <c r="N143" s="42" t="str">
        <f aca="false">IF(M143="","",IF(M143="S",MATCH(137,acc_SumSeq,0),MATCH(137-acc_SumLines,in_Seq,0)))</f>
        <v/>
      </c>
    </row>
    <row r="144" customFormat="false" ht="15" hidden="false" customHeight="false" outlineLevel="0" collapsed="false">
      <c r="A144" s="26" t="str">
        <f aca="false">IF(M144="","",JrnPrefix&amp;"-"&amp;TEXT(WeekEnd,"yyyymmdd"))</f>
        <v/>
      </c>
      <c r="B144" s="58" t="str">
        <f aca="false">IF(M144="","",WeekEnd)</f>
        <v/>
      </c>
      <c r="C144" s="52" t="str">
        <f aca="false">IF(M144="","",138)</f>
        <v/>
      </c>
      <c r="D144" s="26" t="str">
        <f aca="false">IF(M144="","",IF(M144="S",IF(INDEX(acc_SumAcct,N144)=MileGL,"Mileage summary","Expense summary"),"Caregiver payable"))</f>
        <v/>
      </c>
      <c r="E144" s="40" t="str">
        <f aca="false">IF(M144="","",IF(M144="S",INDEX(acc_SumAcct,N144),APGL))</f>
        <v/>
      </c>
      <c r="F144" s="26" t="str">
        <f aca="false">IF(M144="","",IF(M144="S",INDEX(acc_SumName,N144),APGLName))</f>
        <v/>
      </c>
      <c r="G144" s="59" t="str">
        <f aca="false">IF(M144="","",IF(M144="S",INDEX(acc_SumAmt,N144),0))</f>
        <v/>
      </c>
      <c r="H144" s="59" t="str">
        <f aca="false">IF(M144="","",IF(M144="S",0,INDEX(in_Payable,N144)))</f>
        <v/>
      </c>
      <c r="I144" s="40" t="str">
        <f aca="false">IF(M144&lt;&gt;"P","",IFERROR(INDEX(cg_Vendor,MATCH(INDEX(in_CGID,N144),cg_ID,0)),""))</f>
        <v/>
      </c>
      <c r="J144" s="26" t="str">
        <f aca="false">IF(M144&lt;&gt;"P","",INDEX(in_CGName,N144))</f>
        <v/>
      </c>
      <c r="K144" s="26" t="str">
        <f aca="false">IF(M144&lt;&gt;"P","",IFERROR(INDEX(cl_Payer,MATCH(INDEX(in_ClientID,N144),cl_ID,0)),"Unassigned"))</f>
        <v/>
      </c>
      <c r="L144" s="26" t="str">
        <f aca="false">IF(M144="","",IF(M144="S","Weekly caregiver pay, week ending "&amp;TEXT(WeekEnd,"m/d/yyyy"),INDEX(in_Svc,N144)&amp;" "&amp;INDEX(in_ClientID,N144)&amp;", "&amp;INDEX(in_Units,N144)&amp;" units"&amp;IF(N(INDEX(in_Miles,N144))&gt;0,", "&amp;INDEX(in_Miles,N144)&amp;" miles","")))</f>
        <v/>
      </c>
      <c r="M144" s="60" t="str">
        <f aca="false">IF(138&gt;acc_TotalLines,"",IF(138&lt;=acc_SumLines,"S","P"))</f>
        <v/>
      </c>
      <c r="N144" s="42" t="str">
        <f aca="false">IF(M144="","",IF(M144="S",MATCH(138,acc_SumSeq,0),MATCH(138-acc_SumLines,in_Seq,0)))</f>
        <v/>
      </c>
    </row>
    <row r="145" customFormat="false" ht="15" hidden="false" customHeight="false" outlineLevel="0" collapsed="false">
      <c r="A145" s="26" t="str">
        <f aca="false">IF(M145="","",JrnPrefix&amp;"-"&amp;TEXT(WeekEnd,"yyyymmdd"))</f>
        <v/>
      </c>
      <c r="B145" s="58" t="str">
        <f aca="false">IF(M145="","",WeekEnd)</f>
        <v/>
      </c>
      <c r="C145" s="52" t="str">
        <f aca="false">IF(M145="","",139)</f>
        <v/>
      </c>
      <c r="D145" s="26" t="str">
        <f aca="false">IF(M145="","",IF(M145="S",IF(INDEX(acc_SumAcct,N145)=MileGL,"Mileage summary","Expense summary"),"Caregiver payable"))</f>
        <v/>
      </c>
      <c r="E145" s="40" t="str">
        <f aca="false">IF(M145="","",IF(M145="S",INDEX(acc_SumAcct,N145),APGL))</f>
        <v/>
      </c>
      <c r="F145" s="26" t="str">
        <f aca="false">IF(M145="","",IF(M145="S",INDEX(acc_SumName,N145),APGLName))</f>
        <v/>
      </c>
      <c r="G145" s="59" t="str">
        <f aca="false">IF(M145="","",IF(M145="S",INDEX(acc_SumAmt,N145),0))</f>
        <v/>
      </c>
      <c r="H145" s="59" t="str">
        <f aca="false">IF(M145="","",IF(M145="S",0,INDEX(in_Payable,N145)))</f>
        <v/>
      </c>
      <c r="I145" s="40" t="str">
        <f aca="false">IF(M145&lt;&gt;"P","",IFERROR(INDEX(cg_Vendor,MATCH(INDEX(in_CGID,N145),cg_ID,0)),""))</f>
        <v/>
      </c>
      <c r="J145" s="26" t="str">
        <f aca="false">IF(M145&lt;&gt;"P","",INDEX(in_CGName,N145))</f>
        <v/>
      </c>
      <c r="K145" s="26" t="str">
        <f aca="false">IF(M145&lt;&gt;"P","",IFERROR(INDEX(cl_Payer,MATCH(INDEX(in_ClientID,N145),cl_ID,0)),"Unassigned"))</f>
        <v/>
      </c>
      <c r="L145" s="26" t="str">
        <f aca="false">IF(M145="","",IF(M145="S","Weekly caregiver pay, week ending "&amp;TEXT(WeekEnd,"m/d/yyyy"),INDEX(in_Svc,N145)&amp;" "&amp;INDEX(in_ClientID,N145)&amp;", "&amp;INDEX(in_Units,N145)&amp;" units"&amp;IF(N(INDEX(in_Miles,N145))&gt;0,", "&amp;INDEX(in_Miles,N145)&amp;" miles","")))</f>
        <v/>
      </c>
      <c r="M145" s="60" t="str">
        <f aca="false">IF(139&gt;acc_TotalLines,"",IF(139&lt;=acc_SumLines,"S","P"))</f>
        <v/>
      </c>
      <c r="N145" s="42" t="str">
        <f aca="false">IF(M145="","",IF(M145="S",MATCH(139,acc_SumSeq,0),MATCH(139-acc_SumLines,in_Seq,0)))</f>
        <v/>
      </c>
    </row>
    <row r="146" customFormat="false" ht="15" hidden="false" customHeight="false" outlineLevel="0" collapsed="false">
      <c r="A146" s="26" t="str">
        <f aca="false">IF(M146="","",JrnPrefix&amp;"-"&amp;TEXT(WeekEnd,"yyyymmdd"))</f>
        <v/>
      </c>
      <c r="B146" s="58" t="str">
        <f aca="false">IF(M146="","",WeekEnd)</f>
        <v/>
      </c>
      <c r="C146" s="52" t="str">
        <f aca="false">IF(M146="","",140)</f>
        <v/>
      </c>
      <c r="D146" s="26" t="str">
        <f aca="false">IF(M146="","",IF(M146="S",IF(INDEX(acc_SumAcct,N146)=MileGL,"Mileage summary","Expense summary"),"Caregiver payable"))</f>
        <v/>
      </c>
      <c r="E146" s="40" t="str">
        <f aca="false">IF(M146="","",IF(M146="S",INDEX(acc_SumAcct,N146),APGL))</f>
        <v/>
      </c>
      <c r="F146" s="26" t="str">
        <f aca="false">IF(M146="","",IF(M146="S",INDEX(acc_SumName,N146),APGLName))</f>
        <v/>
      </c>
      <c r="G146" s="59" t="str">
        <f aca="false">IF(M146="","",IF(M146="S",INDEX(acc_SumAmt,N146),0))</f>
        <v/>
      </c>
      <c r="H146" s="59" t="str">
        <f aca="false">IF(M146="","",IF(M146="S",0,INDEX(in_Payable,N146)))</f>
        <v/>
      </c>
      <c r="I146" s="40" t="str">
        <f aca="false">IF(M146&lt;&gt;"P","",IFERROR(INDEX(cg_Vendor,MATCH(INDEX(in_CGID,N146),cg_ID,0)),""))</f>
        <v/>
      </c>
      <c r="J146" s="26" t="str">
        <f aca="false">IF(M146&lt;&gt;"P","",INDEX(in_CGName,N146))</f>
        <v/>
      </c>
      <c r="K146" s="26" t="str">
        <f aca="false">IF(M146&lt;&gt;"P","",IFERROR(INDEX(cl_Payer,MATCH(INDEX(in_ClientID,N146),cl_ID,0)),"Unassigned"))</f>
        <v/>
      </c>
      <c r="L146" s="26" t="str">
        <f aca="false">IF(M146="","",IF(M146="S","Weekly caregiver pay, week ending "&amp;TEXT(WeekEnd,"m/d/yyyy"),INDEX(in_Svc,N146)&amp;" "&amp;INDEX(in_ClientID,N146)&amp;", "&amp;INDEX(in_Units,N146)&amp;" units"&amp;IF(N(INDEX(in_Miles,N146))&gt;0,", "&amp;INDEX(in_Miles,N146)&amp;" miles","")))</f>
        <v/>
      </c>
      <c r="M146" s="60" t="str">
        <f aca="false">IF(140&gt;acc_TotalLines,"",IF(140&lt;=acc_SumLines,"S","P"))</f>
        <v/>
      </c>
      <c r="N146" s="42" t="str">
        <f aca="false">IF(M146="","",IF(M146="S",MATCH(140,acc_SumSeq,0),MATCH(140-acc_SumLines,in_Seq,0)))</f>
        <v/>
      </c>
    </row>
    <row r="147" customFormat="false" ht="15" hidden="false" customHeight="false" outlineLevel="0" collapsed="false">
      <c r="A147" s="26" t="str">
        <f aca="false">IF(M147="","",JrnPrefix&amp;"-"&amp;TEXT(WeekEnd,"yyyymmdd"))</f>
        <v/>
      </c>
      <c r="B147" s="58" t="str">
        <f aca="false">IF(M147="","",WeekEnd)</f>
        <v/>
      </c>
      <c r="C147" s="52" t="str">
        <f aca="false">IF(M147="","",141)</f>
        <v/>
      </c>
      <c r="D147" s="26" t="str">
        <f aca="false">IF(M147="","",IF(M147="S",IF(INDEX(acc_SumAcct,N147)=MileGL,"Mileage summary","Expense summary"),"Caregiver payable"))</f>
        <v/>
      </c>
      <c r="E147" s="40" t="str">
        <f aca="false">IF(M147="","",IF(M147="S",INDEX(acc_SumAcct,N147),APGL))</f>
        <v/>
      </c>
      <c r="F147" s="26" t="str">
        <f aca="false">IF(M147="","",IF(M147="S",INDEX(acc_SumName,N147),APGLName))</f>
        <v/>
      </c>
      <c r="G147" s="59" t="str">
        <f aca="false">IF(M147="","",IF(M147="S",INDEX(acc_SumAmt,N147),0))</f>
        <v/>
      </c>
      <c r="H147" s="59" t="str">
        <f aca="false">IF(M147="","",IF(M147="S",0,INDEX(in_Payable,N147)))</f>
        <v/>
      </c>
      <c r="I147" s="40" t="str">
        <f aca="false">IF(M147&lt;&gt;"P","",IFERROR(INDEX(cg_Vendor,MATCH(INDEX(in_CGID,N147),cg_ID,0)),""))</f>
        <v/>
      </c>
      <c r="J147" s="26" t="str">
        <f aca="false">IF(M147&lt;&gt;"P","",INDEX(in_CGName,N147))</f>
        <v/>
      </c>
      <c r="K147" s="26" t="str">
        <f aca="false">IF(M147&lt;&gt;"P","",IFERROR(INDEX(cl_Payer,MATCH(INDEX(in_ClientID,N147),cl_ID,0)),"Unassigned"))</f>
        <v/>
      </c>
      <c r="L147" s="26" t="str">
        <f aca="false">IF(M147="","",IF(M147="S","Weekly caregiver pay, week ending "&amp;TEXT(WeekEnd,"m/d/yyyy"),INDEX(in_Svc,N147)&amp;" "&amp;INDEX(in_ClientID,N147)&amp;", "&amp;INDEX(in_Units,N147)&amp;" units"&amp;IF(N(INDEX(in_Miles,N147))&gt;0,", "&amp;INDEX(in_Miles,N147)&amp;" miles","")))</f>
        <v/>
      </c>
      <c r="M147" s="60" t="str">
        <f aca="false">IF(141&gt;acc_TotalLines,"",IF(141&lt;=acc_SumLines,"S","P"))</f>
        <v/>
      </c>
      <c r="N147" s="42" t="str">
        <f aca="false">IF(M147="","",IF(M147="S",MATCH(141,acc_SumSeq,0),MATCH(141-acc_SumLines,in_Seq,0)))</f>
        <v/>
      </c>
    </row>
    <row r="148" customFormat="false" ht="15" hidden="false" customHeight="false" outlineLevel="0" collapsed="false">
      <c r="A148" s="26" t="str">
        <f aca="false">IF(M148="","",JrnPrefix&amp;"-"&amp;TEXT(WeekEnd,"yyyymmdd"))</f>
        <v/>
      </c>
      <c r="B148" s="58" t="str">
        <f aca="false">IF(M148="","",WeekEnd)</f>
        <v/>
      </c>
      <c r="C148" s="52" t="str">
        <f aca="false">IF(M148="","",142)</f>
        <v/>
      </c>
      <c r="D148" s="26" t="str">
        <f aca="false">IF(M148="","",IF(M148="S",IF(INDEX(acc_SumAcct,N148)=MileGL,"Mileage summary","Expense summary"),"Caregiver payable"))</f>
        <v/>
      </c>
      <c r="E148" s="40" t="str">
        <f aca="false">IF(M148="","",IF(M148="S",INDEX(acc_SumAcct,N148),APGL))</f>
        <v/>
      </c>
      <c r="F148" s="26" t="str">
        <f aca="false">IF(M148="","",IF(M148="S",INDEX(acc_SumName,N148),APGLName))</f>
        <v/>
      </c>
      <c r="G148" s="59" t="str">
        <f aca="false">IF(M148="","",IF(M148="S",INDEX(acc_SumAmt,N148),0))</f>
        <v/>
      </c>
      <c r="H148" s="59" t="str">
        <f aca="false">IF(M148="","",IF(M148="S",0,INDEX(in_Payable,N148)))</f>
        <v/>
      </c>
      <c r="I148" s="40" t="str">
        <f aca="false">IF(M148&lt;&gt;"P","",IFERROR(INDEX(cg_Vendor,MATCH(INDEX(in_CGID,N148),cg_ID,0)),""))</f>
        <v/>
      </c>
      <c r="J148" s="26" t="str">
        <f aca="false">IF(M148&lt;&gt;"P","",INDEX(in_CGName,N148))</f>
        <v/>
      </c>
      <c r="K148" s="26" t="str">
        <f aca="false">IF(M148&lt;&gt;"P","",IFERROR(INDEX(cl_Payer,MATCH(INDEX(in_ClientID,N148),cl_ID,0)),"Unassigned"))</f>
        <v/>
      </c>
      <c r="L148" s="26" t="str">
        <f aca="false">IF(M148="","",IF(M148="S","Weekly caregiver pay, week ending "&amp;TEXT(WeekEnd,"m/d/yyyy"),INDEX(in_Svc,N148)&amp;" "&amp;INDEX(in_ClientID,N148)&amp;", "&amp;INDEX(in_Units,N148)&amp;" units"&amp;IF(N(INDEX(in_Miles,N148))&gt;0,", "&amp;INDEX(in_Miles,N148)&amp;" miles","")))</f>
        <v/>
      </c>
      <c r="M148" s="60" t="str">
        <f aca="false">IF(142&gt;acc_TotalLines,"",IF(142&lt;=acc_SumLines,"S","P"))</f>
        <v/>
      </c>
      <c r="N148" s="42" t="str">
        <f aca="false">IF(M148="","",IF(M148="S",MATCH(142,acc_SumSeq,0),MATCH(142-acc_SumLines,in_Seq,0)))</f>
        <v/>
      </c>
    </row>
    <row r="149" customFormat="false" ht="15" hidden="false" customHeight="false" outlineLevel="0" collapsed="false">
      <c r="A149" s="26" t="str">
        <f aca="false">IF(M149="","",JrnPrefix&amp;"-"&amp;TEXT(WeekEnd,"yyyymmdd"))</f>
        <v/>
      </c>
      <c r="B149" s="58" t="str">
        <f aca="false">IF(M149="","",WeekEnd)</f>
        <v/>
      </c>
      <c r="C149" s="52" t="str">
        <f aca="false">IF(M149="","",143)</f>
        <v/>
      </c>
      <c r="D149" s="26" t="str">
        <f aca="false">IF(M149="","",IF(M149="S",IF(INDEX(acc_SumAcct,N149)=MileGL,"Mileage summary","Expense summary"),"Caregiver payable"))</f>
        <v/>
      </c>
      <c r="E149" s="40" t="str">
        <f aca="false">IF(M149="","",IF(M149="S",INDEX(acc_SumAcct,N149),APGL))</f>
        <v/>
      </c>
      <c r="F149" s="26" t="str">
        <f aca="false">IF(M149="","",IF(M149="S",INDEX(acc_SumName,N149),APGLName))</f>
        <v/>
      </c>
      <c r="G149" s="59" t="str">
        <f aca="false">IF(M149="","",IF(M149="S",INDEX(acc_SumAmt,N149),0))</f>
        <v/>
      </c>
      <c r="H149" s="59" t="str">
        <f aca="false">IF(M149="","",IF(M149="S",0,INDEX(in_Payable,N149)))</f>
        <v/>
      </c>
      <c r="I149" s="40" t="str">
        <f aca="false">IF(M149&lt;&gt;"P","",IFERROR(INDEX(cg_Vendor,MATCH(INDEX(in_CGID,N149),cg_ID,0)),""))</f>
        <v/>
      </c>
      <c r="J149" s="26" t="str">
        <f aca="false">IF(M149&lt;&gt;"P","",INDEX(in_CGName,N149))</f>
        <v/>
      </c>
      <c r="K149" s="26" t="str">
        <f aca="false">IF(M149&lt;&gt;"P","",IFERROR(INDEX(cl_Payer,MATCH(INDEX(in_ClientID,N149),cl_ID,0)),"Unassigned"))</f>
        <v/>
      </c>
      <c r="L149" s="26" t="str">
        <f aca="false">IF(M149="","",IF(M149="S","Weekly caregiver pay, week ending "&amp;TEXT(WeekEnd,"m/d/yyyy"),INDEX(in_Svc,N149)&amp;" "&amp;INDEX(in_ClientID,N149)&amp;", "&amp;INDEX(in_Units,N149)&amp;" units"&amp;IF(N(INDEX(in_Miles,N149))&gt;0,", "&amp;INDEX(in_Miles,N149)&amp;" miles","")))</f>
        <v/>
      </c>
      <c r="M149" s="60" t="str">
        <f aca="false">IF(143&gt;acc_TotalLines,"",IF(143&lt;=acc_SumLines,"S","P"))</f>
        <v/>
      </c>
      <c r="N149" s="42" t="str">
        <f aca="false">IF(M149="","",IF(M149="S",MATCH(143,acc_SumSeq,0),MATCH(143-acc_SumLines,in_Seq,0)))</f>
        <v/>
      </c>
    </row>
    <row r="150" customFormat="false" ht="15" hidden="false" customHeight="false" outlineLevel="0" collapsed="false">
      <c r="A150" s="26" t="str">
        <f aca="false">IF(M150="","",JrnPrefix&amp;"-"&amp;TEXT(WeekEnd,"yyyymmdd"))</f>
        <v/>
      </c>
      <c r="B150" s="58" t="str">
        <f aca="false">IF(M150="","",WeekEnd)</f>
        <v/>
      </c>
      <c r="C150" s="52" t="str">
        <f aca="false">IF(M150="","",144)</f>
        <v/>
      </c>
      <c r="D150" s="26" t="str">
        <f aca="false">IF(M150="","",IF(M150="S",IF(INDEX(acc_SumAcct,N150)=MileGL,"Mileage summary","Expense summary"),"Caregiver payable"))</f>
        <v/>
      </c>
      <c r="E150" s="40" t="str">
        <f aca="false">IF(M150="","",IF(M150="S",INDEX(acc_SumAcct,N150),APGL))</f>
        <v/>
      </c>
      <c r="F150" s="26" t="str">
        <f aca="false">IF(M150="","",IF(M150="S",INDEX(acc_SumName,N150),APGLName))</f>
        <v/>
      </c>
      <c r="G150" s="59" t="str">
        <f aca="false">IF(M150="","",IF(M150="S",INDEX(acc_SumAmt,N150),0))</f>
        <v/>
      </c>
      <c r="H150" s="59" t="str">
        <f aca="false">IF(M150="","",IF(M150="S",0,INDEX(in_Payable,N150)))</f>
        <v/>
      </c>
      <c r="I150" s="40" t="str">
        <f aca="false">IF(M150&lt;&gt;"P","",IFERROR(INDEX(cg_Vendor,MATCH(INDEX(in_CGID,N150),cg_ID,0)),""))</f>
        <v/>
      </c>
      <c r="J150" s="26" t="str">
        <f aca="false">IF(M150&lt;&gt;"P","",INDEX(in_CGName,N150))</f>
        <v/>
      </c>
      <c r="K150" s="26" t="str">
        <f aca="false">IF(M150&lt;&gt;"P","",IFERROR(INDEX(cl_Payer,MATCH(INDEX(in_ClientID,N150),cl_ID,0)),"Unassigned"))</f>
        <v/>
      </c>
      <c r="L150" s="26" t="str">
        <f aca="false">IF(M150="","",IF(M150="S","Weekly caregiver pay, week ending "&amp;TEXT(WeekEnd,"m/d/yyyy"),INDEX(in_Svc,N150)&amp;" "&amp;INDEX(in_ClientID,N150)&amp;", "&amp;INDEX(in_Units,N150)&amp;" units"&amp;IF(N(INDEX(in_Miles,N150))&gt;0,", "&amp;INDEX(in_Miles,N150)&amp;" miles","")))</f>
        <v/>
      </c>
      <c r="M150" s="60" t="str">
        <f aca="false">IF(144&gt;acc_TotalLines,"",IF(144&lt;=acc_SumLines,"S","P"))</f>
        <v/>
      </c>
      <c r="N150" s="42" t="str">
        <f aca="false">IF(M150="","",IF(M150="S",MATCH(144,acc_SumSeq,0),MATCH(144-acc_SumLines,in_Seq,0)))</f>
        <v/>
      </c>
    </row>
    <row r="151" customFormat="false" ht="15" hidden="false" customHeight="false" outlineLevel="0" collapsed="false">
      <c r="A151" s="26" t="str">
        <f aca="false">IF(M151="","",JrnPrefix&amp;"-"&amp;TEXT(WeekEnd,"yyyymmdd"))</f>
        <v/>
      </c>
      <c r="B151" s="58" t="str">
        <f aca="false">IF(M151="","",WeekEnd)</f>
        <v/>
      </c>
      <c r="C151" s="52" t="str">
        <f aca="false">IF(M151="","",145)</f>
        <v/>
      </c>
      <c r="D151" s="26" t="str">
        <f aca="false">IF(M151="","",IF(M151="S",IF(INDEX(acc_SumAcct,N151)=MileGL,"Mileage summary","Expense summary"),"Caregiver payable"))</f>
        <v/>
      </c>
      <c r="E151" s="40" t="str">
        <f aca="false">IF(M151="","",IF(M151="S",INDEX(acc_SumAcct,N151),APGL))</f>
        <v/>
      </c>
      <c r="F151" s="26" t="str">
        <f aca="false">IF(M151="","",IF(M151="S",INDEX(acc_SumName,N151),APGLName))</f>
        <v/>
      </c>
      <c r="G151" s="59" t="str">
        <f aca="false">IF(M151="","",IF(M151="S",INDEX(acc_SumAmt,N151),0))</f>
        <v/>
      </c>
      <c r="H151" s="59" t="str">
        <f aca="false">IF(M151="","",IF(M151="S",0,INDEX(in_Payable,N151)))</f>
        <v/>
      </c>
      <c r="I151" s="40" t="str">
        <f aca="false">IF(M151&lt;&gt;"P","",IFERROR(INDEX(cg_Vendor,MATCH(INDEX(in_CGID,N151),cg_ID,0)),""))</f>
        <v/>
      </c>
      <c r="J151" s="26" t="str">
        <f aca="false">IF(M151&lt;&gt;"P","",INDEX(in_CGName,N151))</f>
        <v/>
      </c>
      <c r="K151" s="26" t="str">
        <f aca="false">IF(M151&lt;&gt;"P","",IFERROR(INDEX(cl_Payer,MATCH(INDEX(in_ClientID,N151),cl_ID,0)),"Unassigned"))</f>
        <v/>
      </c>
      <c r="L151" s="26" t="str">
        <f aca="false">IF(M151="","",IF(M151="S","Weekly caregiver pay, week ending "&amp;TEXT(WeekEnd,"m/d/yyyy"),INDEX(in_Svc,N151)&amp;" "&amp;INDEX(in_ClientID,N151)&amp;", "&amp;INDEX(in_Units,N151)&amp;" units"&amp;IF(N(INDEX(in_Miles,N151))&gt;0,", "&amp;INDEX(in_Miles,N151)&amp;" miles","")))</f>
        <v/>
      </c>
      <c r="M151" s="60" t="str">
        <f aca="false">IF(145&gt;acc_TotalLines,"",IF(145&lt;=acc_SumLines,"S","P"))</f>
        <v/>
      </c>
      <c r="N151" s="42" t="str">
        <f aca="false">IF(M151="","",IF(M151="S",MATCH(145,acc_SumSeq,0),MATCH(145-acc_SumLines,in_Seq,0)))</f>
        <v/>
      </c>
    </row>
    <row r="152" customFormat="false" ht="15" hidden="false" customHeight="false" outlineLevel="0" collapsed="false">
      <c r="A152" s="26" t="str">
        <f aca="false">IF(M152="","",JrnPrefix&amp;"-"&amp;TEXT(WeekEnd,"yyyymmdd"))</f>
        <v/>
      </c>
      <c r="B152" s="58" t="str">
        <f aca="false">IF(M152="","",WeekEnd)</f>
        <v/>
      </c>
      <c r="C152" s="52" t="str">
        <f aca="false">IF(M152="","",146)</f>
        <v/>
      </c>
      <c r="D152" s="26" t="str">
        <f aca="false">IF(M152="","",IF(M152="S",IF(INDEX(acc_SumAcct,N152)=MileGL,"Mileage summary","Expense summary"),"Caregiver payable"))</f>
        <v/>
      </c>
      <c r="E152" s="40" t="str">
        <f aca="false">IF(M152="","",IF(M152="S",INDEX(acc_SumAcct,N152),APGL))</f>
        <v/>
      </c>
      <c r="F152" s="26" t="str">
        <f aca="false">IF(M152="","",IF(M152="S",INDEX(acc_SumName,N152),APGLName))</f>
        <v/>
      </c>
      <c r="G152" s="59" t="str">
        <f aca="false">IF(M152="","",IF(M152="S",INDEX(acc_SumAmt,N152),0))</f>
        <v/>
      </c>
      <c r="H152" s="59" t="str">
        <f aca="false">IF(M152="","",IF(M152="S",0,INDEX(in_Payable,N152)))</f>
        <v/>
      </c>
      <c r="I152" s="40" t="str">
        <f aca="false">IF(M152&lt;&gt;"P","",IFERROR(INDEX(cg_Vendor,MATCH(INDEX(in_CGID,N152),cg_ID,0)),""))</f>
        <v/>
      </c>
      <c r="J152" s="26" t="str">
        <f aca="false">IF(M152&lt;&gt;"P","",INDEX(in_CGName,N152))</f>
        <v/>
      </c>
      <c r="K152" s="26" t="str">
        <f aca="false">IF(M152&lt;&gt;"P","",IFERROR(INDEX(cl_Payer,MATCH(INDEX(in_ClientID,N152),cl_ID,0)),"Unassigned"))</f>
        <v/>
      </c>
      <c r="L152" s="26" t="str">
        <f aca="false">IF(M152="","",IF(M152="S","Weekly caregiver pay, week ending "&amp;TEXT(WeekEnd,"m/d/yyyy"),INDEX(in_Svc,N152)&amp;" "&amp;INDEX(in_ClientID,N152)&amp;", "&amp;INDEX(in_Units,N152)&amp;" units"&amp;IF(N(INDEX(in_Miles,N152))&gt;0,", "&amp;INDEX(in_Miles,N152)&amp;" miles","")))</f>
        <v/>
      </c>
      <c r="M152" s="60" t="str">
        <f aca="false">IF(146&gt;acc_TotalLines,"",IF(146&lt;=acc_SumLines,"S","P"))</f>
        <v/>
      </c>
      <c r="N152" s="42" t="str">
        <f aca="false">IF(M152="","",IF(M152="S",MATCH(146,acc_SumSeq,0),MATCH(146-acc_SumLines,in_Seq,0)))</f>
        <v/>
      </c>
    </row>
    <row r="153" customFormat="false" ht="15" hidden="false" customHeight="false" outlineLevel="0" collapsed="false">
      <c r="A153" s="26" t="str">
        <f aca="false">IF(M153="","",JrnPrefix&amp;"-"&amp;TEXT(WeekEnd,"yyyymmdd"))</f>
        <v/>
      </c>
      <c r="B153" s="58" t="str">
        <f aca="false">IF(M153="","",WeekEnd)</f>
        <v/>
      </c>
      <c r="C153" s="52" t="str">
        <f aca="false">IF(M153="","",147)</f>
        <v/>
      </c>
      <c r="D153" s="26" t="str">
        <f aca="false">IF(M153="","",IF(M153="S",IF(INDEX(acc_SumAcct,N153)=MileGL,"Mileage summary","Expense summary"),"Caregiver payable"))</f>
        <v/>
      </c>
      <c r="E153" s="40" t="str">
        <f aca="false">IF(M153="","",IF(M153="S",INDEX(acc_SumAcct,N153),APGL))</f>
        <v/>
      </c>
      <c r="F153" s="26" t="str">
        <f aca="false">IF(M153="","",IF(M153="S",INDEX(acc_SumName,N153),APGLName))</f>
        <v/>
      </c>
      <c r="G153" s="59" t="str">
        <f aca="false">IF(M153="","",IF(M153="S",INDEX(acc_SumAmt,N153),0))</f>
        <v/>
      </c>
      <c r="H153" s="59" t="str">
        <f aca="false">IF(M153="","",IF(M153="S",0,INDEX(in_Payable,N153)))</f>
        <v/>
      </c>
      <c r="I153" s="40" t="str">
        <f aca="false">IF(M153&lt;&gt;"P","",IFERROR(INDEX(cg_Vendor,MATCH(INDEX(in_CGID,N153),cg_ID,0)),""))</f>
        <v/>
      </c>
      <c r="J153" s="26" t="str">
        <f aca="false">IF(M153&lt;&gt;"P","",INDEX(in_CGName,N153))</f>
        <v/>
      </c>
      <c r="K153" s="26" t="str">
        <f aca="false">IF(M153&lt;&gt;"P","",IFERROR(INDEX(cl_Payer,MATCH(INDEX(in_ClientID,N153),cl_ID,0)),"Unassigned"))</f>
        <v/>
      </c>
      <c r="L153" s="26" t="str">
        <f aca="false">IF(M153="","",IF(M153="S","Weekly caregiver pay, week ending "&amp;TEXT(WeekEnd,"m/d/yyyy"),INDEX(in_Svc,N153)&amp;" "&amp;INDEX(in_ClientID,N153)&amp;", "&amp;INDEX(in_Units,N153)&amp;" units"&amp;IF(N(INDEX(in_Miles,N153))&gt;0,", "&amp;INDEX(in_Miles,N153)&amp;" miles","")))</f>
        <v/>
      </c>
      <c r="M153" s="60" t="str">
        <f aca="false">IF(147&gt;acc_TotalLines,"",IF(147&lt;=acc_SumLines,"S","P"))</f>
        <v/>
      </c>
      <c r="N153" s="42" t="str">
        <f aca="false">IF(M153="","",IF(M153="S",MATCH(147,acc_SumSeq,0),MATCH(147-acc_SumLines,in_Seq,0)))</f>
        <v/>
      </c>
    </row>
    <row r="154" customFormat="false" ht="15" hidden="false" customHeight="false" outlineLevel="0" collapsed="false">
      <c r="A154" s="26" t="str">
        <f aca="false">IF(M154="","",JrnPrefix&amp;"-"&amp;TEXT(WeekEnd,"yyyymmdd"))</f>
        <v/>
      </c>
      <c r="B154" s="58" t="str">
        <f aca="false">IF(M154="","",WeekEnd)</f>
        <v/>
      </c>
      <c r="C154" s="52" t="str">
        <f aca="false">IF(M154="","",148)</f>
        <v/>
      </c>
      <c r="D154" s="26" t="str">
        <f aca="false">IF(M154="","",IF(M154="S",IF(INDEX(acc_SumAcct,N154)=MileGL,"Mileage summary","Expense summary"),"Caregiver payable"))</f>
        <v/>
      </c>
      <c r="E154" s="40" t="str">
        <f aca="false">IF(M154="","",IF(M154="S",INDEX(acc_SumAcct,N154),APGL))</f>
        <v/>
      </c>
      <c r="F154" s="26" t="str">
        <f aca="false">IF(M154="","",IF(M154="S",INDEX(acc_SumName,N154),APGLName))</f>
        <v/>
      </c>
      <c r="G154" s="59" t="str">
        <f aca="false">IF(M154="","",IF(M154="S",INDEX(acc_SumAmt,N154),0))</f>
        <v/>
      </c>
      <c r="H154" s="59" t="str">
        <f aca="false">IF(M154="","",IF(M154="S",0,INDEX(in_Payable,N154)))</f>
        <v/>
      </c>
      <c r="I154" s="40" t="str">
        <f aca="false">IF(M154&lt;&gt;"P","",IFERROR(INDEX(cg_Vendor,MATCH(INDEX(in_CGID,N154),cg_ID,0)),""))</f>
        <v/>
      </c>
      <c r="J154" s="26" t="str">
        <f aca="false">IF(M154&lt;&gt;"P","",INDEX(in_CGName,N154))</f>
        <v/>
      </c>
      <c r="K154" s="26" t="str">
        <f aca="false">IF(M154&lt;&gt;"P","",IFERROR(INDEX(cl_Payer,MATCH(INDEX(in_ClientID,N154),cl_ID,0)),"Unassigned"))</f>
        <v/>
      </c>
      <c r="L154" s="26" t="str">
        <f aca="false">IF(M154="","",IF(M154="S","Weekly caregiver pay, week ending "&amp;TEXT(WeekEnd,"m/d/yyyy"),INDEX(in_Svc,N154)&amp;" "&amp;INDEX(in_ClientID,N154)&amp;", "&amp;INDEX(in_Units,N154)&amp;" units"&amp;IF(N(INDEX(in_Miles,N154))&gt;0,", "&amp;INDEX(in_Miles,N154)&amp;" miles","")))</f>
        <v/>
      </c>
      <c r="M154" s="60" t="str">
        <f aca="false">IF(148&gt;acc_TotalLines,"",IF(148&lt;=acc_SumLines,"S","P"))</f>
        <v/>
      </c>
      <c r="N154" s="42" t="str">
        <f aca="false">IF(M154="","",IF(M154="S",MATCH(148,acc_SumSeq,0),MATCH(148-acc_SumLines,in_Seq,0)))</f>
        <v/>
      </c>
    </row>
    <row r="155" customFormat="false" ht="15" hidden="false" customHeight="false" outlineLevel="0" collapsed="false">
      <c r="A155" s="26" t="str">
        <f aca="false">IF(M155="","",JrnPrefix&amp;"-"&amp;TEXT(WeekEnd,"yyyymmdd"))</f>
        <v/>
      </c>
      <c r="B155" s="58" t="str">
        <f aca="false">IF(M155="","",WeekEnd)</f>
        <v/>
      </c>
      <c r="C155" s="52" t="str">
        <f aca="false">IF(M155="","",149)</f>
        <v/>
      </c>
      <c r="D155" s="26" t="str">
        <f aca="false">IF(M155="","",IF(M155="S",IF(INDEX(acc_SumAcct,N155)=MileGL,"Mileage summary","Expense summary"),"Caregiver payable"))</f>
        <v/>
      </c>
      <c r="E155" s="40" t="str">
        <f aca="false">IF(M155="","",IF(M155="S",INDEX(acc_SumAcct,N155),APGL))</f>
        <v/>
      </c>
      <c r="F155" s="26" t="str">
        <f aca="false">IF(M155="","",IF(M155="S",INDEX(acc_SumName,N155),APGLName))</f>
        <v/>
      </c>
      <c r="G155" s="59" t="str">
        <f aca="false">IF(M155="","",IF(M155="S",INDEX(acc_SumAmt,N155),0))</f>
        <v/>
      </c>
      <c r="H155" s="59" t="str">
        <f aca="false">IF(M155="","",IF(M155="S",0,INDEX(in_Payable,N155)))</f>
        <v/>
      </c>
      <c r="I155" s="40" t="str">
        <f aca="false">IF(M155&lt;&gt;"P","",IFERROR(INDEX(cg_Vendor,MATCH(INDEX(in_CGID,N155),cg_ID,0)),""))</f>
        <v/>
      </c>
      <c r="J155" s="26" t="str">
        <f aca="false">IF(M155&lt;&gt;"P","",INDEX(in_CGName,N155))</f>
        <v/>
      </c>
      <c r="K155" s="26" t="str">
        <f aca="false">IF(M155&lt;&gt;"P","",IFERROR(INDEX(cl_Payer,MATCH(INDEX(in_ClientID,N155),cl_ID,0)),"Unassigned"))</f>
        <v/>
      </c>
      <c r="L155" s="26" t="str">
        <f aca="false">IF(M155="","",IF(M155="S","Weekly caregiver pay, week ending "&amp;TEXT(WeekEnd,"m/d/yyyy"),INDEX(in_Svc,N155)&amp;" "&amp;INDEX(in_ClientID,N155)&amp;", "&amp;INDEX(in_Units,N155)&amp;" units"&amp;IF(N(INDEX(in_Miles,N155))&gt;0,", "&amp;INDEX(in_Miles,N155)&amp;" miles","")))</f>
        <v/>
      </c>
      <c r="M155" s="60" t="str">
        <f aca="false">IF(149&gt;acc_TotalLines,"",IF(149&lt;=acc_SumLines,"S","P"))</f>
        <v/>
      </c>
      <c r="N155" s="42" t="str">
        <f aca="false">IF(M155="","",IF(M155="S",MATCH(149,acc_SumSeq,0),MATCH(149-acc_SumLines,in_Seq,0)))</f>
        <v/>
      </c>
    </row>
    <row r="156" customFormat="false" ht="15" hidden="false" customHeight="false" outlineLevel="0" collapsed="false">
      <c r="A156" s="26" t="str">
        <f aca="false">IF(M156="","",JrnPrefix&amp;"-"&amp;TEXT(WeekEnd,"yyyymmdd"))</f>
        <v/>
      </c>
      <c r="B156" s="58" t="str">
        <f aca="false">IF(M156="","",WeekEnd)</f>
        <v/>
      </c>
      <c r="C156" s="52" t="str">
        <f aca="false">IF(M156="","",150)</f>
        <v/>
      </c>
      <c r="D156" s="26" t="str">
        <f aca="false">IF(M156="","",IF(M156="S",IF(INDEX(acc_SumAcct,N156)=MileGL,"Mileage summary","Expense summary"),"Caregiver payable"))</f>
        <v/>
      </c>
      <c r="E156" s="40" t="str">
        <f aca="false">IF(M156="","",IF(M156="S",INDEX(acc_SumAcct,N156),APGL))</f>
        <v/>
      </c>
      <c r="F156" s="26" t="str">
        <f aca="false">IF(M156="","",IF(M156="S",INDEX(acc_SumName,N156),APGLName))</f>
        <v/>
      </c>
      <c r="G156" s="59" t="str">
        <f aca="false">IF(M156="","",IF(M156="S",INDEX(acc_SumAmt,N156),0))</f>
        <v/>
      </c>
      <c r="H156" s="59" t="str">
        <f aca="false">IF(M156="","",IF(M156="S",0,INDEX(in_Payable,N156)))</f>
        <v/>
      </c>
      <c r="I156" s="40" t="str">
        <f aca="false">IF(M156&lt;&gt;"P","",IFERROR(INDEX(cg_Vendor,MATCH(INDEX(in_CGID,N156),cg_ID,0)),""))</f>
        <v/>
      </c>
      <c r="J156" s="26" t="str">
        <f aca="false">IF(M156&lt;&gt;"P","",INDEX(in_CGName,N156))</f>
        <v/>
      </c>
      <c r="K156" s="26" t="str">
        <f aca="false">IF(M156&lt;&gt;"P","",IFERROR(INDEX(cl_Payer,MATCH(INDEX(in_ClientID,N156),cl_ID,0)),"Unassigned"))</f>
        <v/>
      </c>
      <c r="L156" s="26" t="str">
        <f aca="false">IF(M156="","",IF(M156="S","Weekly caregiver pay, week ending "&amp;TEXT(WeekEnd,"m/d/yyyy"),INDEX(in_Svc,N156)&amp;" "&amp;INDEX(in_ClientID,N156)&amp;", "&amp;INDEX(in_Units,N156)&amp;" units"&amp;IF(N(INDEX(in_Miles,N156))&gt;0,", "&amp;INDEX(in_Miles,N156)&amp;" miles","")))</f>
        <v/>
      </c>
      <c r="M156" s="60" t="str">
        <f aca="false">IF(150&gt;acc_TotalLines,"",IF(150&lt;=acc_SumLines,"S","P"))</f>
        <v/>
      </c>
      <c r="N156" s="42" t="str">
        <f aca="false">IF(M156="","",IF(M156="S",MATCH(150,acc_SumSeq,0),MATCH(150-acc_SumLines,in_Seq,0)))</f>
        <v/>
      </c>
    </row>
    <row r="157" customFormat="false" ht="15" hidden="false" customHeight="false" outlineLevel="0" collapsed="false">
      <c r="A157" s="26" t="str">
        <f aca="false">IF(M157="","",JrnPrefix&amp;"-"&amp;TEXT(WeekEnd,"yyyymmdd"))</f>
        <v/>
      </c>
      <c r="B157" s="58" t="str">
        <f aca="false">IF(M157="","",WeekEnd)</f>
        <v/>
      </c>
      <c r="C157" s="52" t="str">
        <f aca="false">IF(M157="","",151)</f>
        <v/>
      </c>
      <c r="D157" s="26" t="str">
        <f aca="false">IF(M157="","",IF(M157="S",IF(INDEX(acc_SumAcct,N157)=MileGL,"Mileage summary","Expense summary"),"Caregiver payable"))</f>
        <v/>
      </c>
      <c r="E157" s="40" t="str">
        <f aca="false">IF(M157="","",IF(M157="S",INDEX(acc_SumAcct,N157),APGL))</f>
        <v/>
      </c>
      <c r="F157" s="26" t="str">
        <f aca="false">IF(M157="","",IF(M157="S",INDEX(acc_SumName,N157),APGLName))</f>
        <v/>
      </c>
      <c r="G157" s="59" t="str">
        <f aca="false">IF(M157="","",IF(M157="S",INDEX(acc_SumAmt,N157),0))</f>
        <v/>
      </c>
      <c r="H157" s="59" t="str">
        <f aca="false">IF(M157="","",IF(M157="S",0,INDEX(in_Payable,N157)))</f>
        <v/>
      </c>
      <c r="I157" s="40" t="str">
        <f aca="false">IF(M157&lt;&gt;"P","",IFERROR(INDEX(cg_Vendor,MATCH(INDEX(in_CGID,N157),cg_ID,0)),""))</f>
        <v/>
      </c>
      <c r="J157" s="26" t="str">
        <f aca="false">IF(M157&lt;&gt;"P","",INDEX(in_CGName,N157))</f>
        <v/>
      </c>
      <c r="K157" s="26" t="str">
        <f aca="false">IF(M157&lt;&gt;"P","",IFERROR(INDEX(cl_Payer,MATCH(INDEX(in_ClientID,N157),cl_ID,0)),"Unassigned"))</f>
        <v/>
      </c>
      <c r="L157" s="26" t="str">
        <f aca="false">IF(M157="","",IF(M157="S","Weekly caregiver pay, week ending "&amp;TEXT(WeekEnd,"m/d/yyyy"),INDEX(in_Svc,N157)&amp;" "&amp;INDEX(in_ClientID,N157)&amp;", "&amp;INDEX(in_Units,N157)&amp;" units"&amp;IF(N(INDEX(in_Miles,N157))&gt;0,", "&amp;INDEX(in_Miles,N157)&amp;" miles","")))</f>
        <v/>
      </c>
      <c r="M157" s="60" t="str">
        <f aca="false">IF(151&gt;acc_TotalLines,"",IF(151&lt;=acc_SumLines,"S","P"))</f>
        <v/>
      </c>
      <c r="N157" s="42" t="str">
        <f aca="false">IF(M157="","",IF(M157="S",MATCH(151,acc_SumSeq,0),MATCH(151-acc_SumLines,in_Seq,0)))</f>
        <v/>
      </c>
    </row>
    <row r="158" customFormat="false" ht="15" hidden="false" customHeight="false" outlineLevel="0" collapsed="false">
      <c r="A158" s="26" t="str">
        <f aca="false">IF(M158="","",JrnPrefix&amp;"-"&amp;TEXT(WeekEnd,"yyyymmdd"))</f>
        <v/>
      </c>
      <c r="B158" s="58" t="str">
        <f aca="false">IF(M158="","",WeekEnd)</f>
        <v/>
      </c>
      <c r="C158" s="52" t="str">
        <f aca="false">IF(M158="","",152)</f>
        <v/>
      </c>
      <c r="D158" s="26" t="str">
        <f aca="false">IF(M158="","",IF(M158="S",IF(INDEX(acc_SumAcct,N158)=MileGL,"Mileage summary","Expense summary"),"Caregiver payable"))</f>
        <v/>
      </c>
      <c r="E158" s="40" t="str">
        <f aca="false">IF(M158="","",IF(M158="S",INDEX(acc_SumAcct,N158),APGL))</f>
        <v/>
      </c>
      <c r="F158" s="26" t="str">
        <f aca="false">IF(M158="","",IF(M158="S",INDEX(acc_SumName,N158),APGLName))</f>
        <v/>
      </c>
      <c r="G158" s="59" t="str">
        <f aca="false">IF(M158="","",IF(M158="S",INDEX(acc_SumAmt,N158),0))</f>
        <v/>
      </c>
      <c r="H158" s="59" t="str">
        <f aca="false">IF(M158="","",IF(M158="S",0,INDEX(in_Payable,N158)))</f>
        <v/>
      </c>
      <c r="I158" s="40" t="str">
        <f aca="false">IF(M158&lt;&gt;"P","",IFERROR(INDEX(cg_Vendor,MATCH(INDEX(in_CGID,N158),cg_ID,0)),""))</f>
        <v/>
      </c>
      <c r="J158" s="26" t="str">
        <f aca="false">IF(M158&lt;&gt;"P","",INDEX(in_CGName,N158))</f>
        <v/>
      </c>
      <c r="K158" s="26" t="str">
        <f aca="false">IF(M158&lt;&gt;"P","",IFERROR(INDEX(cl_Payer,MATCH(INDEX(in_ClientID,N158),cl_ID,0)),"Unassigned"))</f>
        <v/>
      </c>
      <c r="L158" s="26" t="str">
        <f aca="false">IF(M158="","",IF(M158="S","Weekly caregiver pay, week ending "&amp;TEXT(WeekEnd,"m/d/yyyy"),INDEX(in_Svc,N158)&amp;" "&amp;INDEX(in_ClientID,N158)&amp;", "&amp;INDEX(in_Units,N158)&amp;" units"&amp;IF(N(INDEX(in_Miles,N158))&gt;0,", "&amp;INDEX(in_Miles,N158)&amp;" miles","")))</f>
        <v/>
      </c>
      <c r="M158" s="60" t="str">
        <f aca="false">IF(152&gt;acc_TotalLines,"",IF(152&lt;=acc_SumLines,"S","P"))</f>
        <v/>
      </c>
      <c r="N158" s="42" t="str">
        <f aca="false">IF(M158="","",IF(M158="S",MATCH(152,acc_SumSeq,0),MATCH(152-acc_SumLines,in_Seq,0)))</f>
        <v/>
      </c>
    </row>
    <row r="159" customFormat="false" ht="15" hidden="false" customHeight="false" outlineLevel="0" collapsed="false">
      <c r="A159" s="26" t="str">
        <f aca="false">IF(M159="","",JrnPrefix&amp;"-"&amp;TEXT(WeekEnd,"yyyymmdd"))</f>
        <v/>
      </c>
      <c r="B159" s="58" t="str">
        <f aca="false">IF(M159="","",WeekEnd)</f>
        <v/>
      </c>
      <c r="C159" s="52" t="str">
        <f aca="false">IF(M159="","",153)</f>
        <v/>
      </c>
      <c r="D159" s="26" t="str">
        <f aca="false">IF(M159="","",IF(M159="S",IF(INDEX(acc_SumAcct,N159)=MileGL,"Mileage summary","Expense summary"),"Caregiver payable"))</f>
        <v/>
      </c>
      <c r="E159" s="40" t="str">
        <f aca="false">IF(M159="","",IF(M159="S",INDEX(acc_SumAcct,N159),APGL))</f>
        <v/>
      </c>
      <c r="F159" s="26" t="str">
        <f aca="false">IF(M159="","",IF(M159="S",INDEX(acc_SumName,N159),APGLName))</f>
        <v/>
      </c>
      <c r="G159" s="59" t="str">
        <f aca="false">IF(M159="","",IF(M159="S",INDEX(acc_SumAmt,N159),0))</f>
        <v/>
      </c>
      <c r="H159" s="59" t="str">
        <f aca="false">IF(M159="","",IF(M159="S",0,INDEX(in_Payable,N159)))</f>
        <v/>
      </c>
      <c r="I159" s="40" t="str">
        <f aca="false">IF(M159&lt;&gt;"P","",IFERROR(INDEX(cg_Vendor,MATCH(INDEX(in_CGID,N159),cg_ID,0)),""))</f>
        <v/>
      </c>
      <c r="J159" s="26" t="str">
        <f aca="false">IF(M159&lt;&gt;"P","",INDEX(in_CGName,N159))</f>
        <v/>
      </c>
      <c r="K159" s="26" t="str">
        <f aca="false">IF(M159&lt;&gt;"P","",IFERROR(INDEX(cl_Payer,MATCH(INDEX(in_ClientID,N159),cl_ID,0)),"Unassigned"))</f>
        <v/>
      </c>
      <c r="L159" s="26" t="str">
        <f aca="false">IF(M159="","",IF(M159="S","Weekly caregiver pay, week ending "&amp;TEXT(WeekEnd,"m/d/yyyy"),INDEX(in_Svc,N159)&amp;" "&amp;INDEX(in_ClientID,N159)&amp;", "&amp;INDEX(in_Units,N159)&amp;" units"&amp;IF(N(INDEX(in_Miles,N159))&gt;0,", "&amp;INDEX(in_Miles,N159)&amp;" miles","")))</f>
        <v/>
      </c>
      <c r="M159" s="60" t="str">
        <f aca="false">IF(153&gt;acc_TotalLines,"",IF(153&lt;=acc_SumLines,"S","P"))</f>
        <v/>
      </c>
      <c r="N159" s="42" t="str">
        <f aca="false">IF(M159="","",IF(M159="S",MATCH(153,acc_SumSeq,0),MATCH(153-acc_SumLines,in_Seq,0)))</f>
        <v/>
      </c>
    </row>
    <row r="160" customFormat="false" ht="15" hidden="false" customHeight="false" outlineLevel="0" collapsed="false">
      <c r="A160" s="26" t="str">
        <f aca="false">IF(M160="","",JrnPrefix&amp;"-"&amp;TEXT(WeekEnd,"yyyymmdd"))</f>
        <v/>
      </c>
      <c r="B160" s="58" t="str">
        <f aca="false">IF(M160="","",WeekEnd)</f>
        <v/>
      </c>
      <c r="C160" s="52" t="str">
        <f aca="false">IF(M160="","",154)</f>
        <v/>
      </c>
      <c r="D160" s="26" t="str">
        <f aca="false">IF(M160="","",IF(M160="S",IF(INDEX(acc_SumAcct,N160)=MileGL,"Mileage summary","Expense summary"),"Caregiver payable"))</f>
        <v/>
      </c>
      <c r="E160" s="40" t="str">
        <f aca="false">IF(M160="","",IF(M160="S",INDEX(acc_SumAcct,N160),APGL))</f>
        <v/>
      </c>
      <c r="F160" s="26" t="str">
        <f aca="false">IF(M160="","",IF(M160="S",INDEX(acc_SumName,N160),APGLName))</f>
        <v/>
      </c>
      <c r="G160" s="59" t="str">
        <f aca="false">IF(M160="","",IF(M160="S",INDEX(acc_SumAmt,N160),0))</f>
        <v/>
      </c>
      <c r="H160" s="59" t="str">
        <f aca="false">IF(M160="","",IF(M160="S",0,INDEX(in_Payable,N160)))</f>
        <v/>
      </c>
      <c r="I160" s="40" t="str">
        <f aca="false">IF(M160&lt;&gt;"P","",IFERROR(INDEX(cg_Vendor,MATCH(INDEX(in_CGID,N160),cg_ID,0)),""))</f>
        <v/>
      </c>
      <c r="J160" s="26" t="str">
        <f aca="false">IF(M160&lt;&gt;"P","",INDEX(in_CGName,N160))</f>
        <v/>
      </c>
      <c r="K160" s="26" t="str">
        <f aca="false">IF(M160&lt;&gt;"P","",IFERROR(INDEX(cl_Payer,MATCH(INDEX(in_ClientID,N160),cl_ID,0)),"Unassigned"))</f>
        <v/>
      </c>
      <c r="L160" s="26" t="str">
        <f aca="false">IF(M160="","",IF(M160="S","Weekly caregiver pay, week ending "&amp;TEXT(WeekEnd,"m/d/yyyy"),INDEX(in_Svc,N160)&amp;" "&amp;INDEX(in_ClientID,N160)&amp;", "&amp;INDEX(in_Units,N160)&amp;" units"&amp;IF(N(INDEX(in_Miles,N160))&gt;0,", "&amp;INDEX(in_Miles,N160)&amp;" miles","")))</f>
        <v/>
      </c>
      <c r="M160" s="60" t="str">
        <f aca="false">IF(154&gt;acc_TotalLines,"",IF(154&lt;=acc_SumLines,"S","P"))</f>
        <v/>
      </c>
      <c r="N160" s="42" t="str">
        <f aca="false">IF(M160="","",IF(M160="S",MATCH(154,acc_SumSeq,0),MATCH(154-acc_SumLines,in_Seq,0)))</f>
        <v/>
      </c>
    </row>
    <row r="161" customFormat="false" ht="15" hidden="false" customHeight="false" outlineLevel="0" collapsed="false">
      <c r="A161" s="26" t="str">
        <f aca="false">IF(M161="","",JrnPrefix&amp;"-"&amp;TEXT(WeekEnd,"yyyymmdd"))</f>
        <v/>
      </c>
      <c r="B161" s="58" t="str">
        <f aca="false">IF(M161="","",WeekEnd)</f>
        <v/>
      </c>
      <c r="C161" s="52" t="str">
        <f aca="false">IF(M161="","",155)</f>
        <v/>
      </c>
      <c r="D161" s="26" t="str">
        <f aca="false">IF(M161="","",IF(M161="S",IF(INDEX(acc_SumAcct,N161)=MileGL,"Mileage summary","Expense summary"),"Caregiver payable"))</f>
        <v/>
      </c>
      <c r="E161" s="40" t="str">
        <f aca="false">IF(M161="","",IF(M161="S",INDEX(acc_SumAcct,N161),APGL))</f>
        <v/>
      </c>
      <c r="F161" s="26" t="str">
        <f aca="false">IF(M161="","",IF(M161="S",INDEX(acc_SumName,N161),APGLName))</f>
        <v/>
      </c>
      <c r="G161" s="59" t="str">
        <f aca="false">IF(M161="","",IF(M161="S",INDEX(acc_SumAmt,N161),0))</f>
        <v/>
      </c>
      <c r="H161" s="59" t="str">
        <f aca="false">IF(M161="","",IF(M161="S",0,INDEX(in_Payable,N161)))</f>
        <v/>
      </c>
      <c r="I161" s="40" t="str">
        <f aca="false">IF(M161&lt;&gt;"P","",IFERROR(INDEX(cg_Vendor,MATCH(INDEX(in_CGID,N161),cg_ID,0)),""))</f>
        <v/>
      </c>
      <c r="J161" s="26" t="str">
        <f aca="false">IF(M161&lt;&gt;"P","",INDEX(in_CGName,N161))</f>
        <v/>
      </c>
      <c r="K161" s="26" t="str">
        <f aca="false">IF(M161&lt;&gt;"P","",IFERROR(INDEX(cl_Payer,MATCH(INDEX(in_ClientID,N161),cl_ID,0)),"Unassigned"))</f>
        <v/>
      </c>
      <c r="L161" s="26" t="str">
        <f aca="false">IF(M161="","",IF(M161="S","Weekly caregiver pay, week ending "&amp;TEXT(WeekEnd,"m/d/yyyy"),INDEX(in_Svc,N161)&amp;" "&amp;INDEX(in_ClientID,N161)&amp;", "&amp;INDEX(in_Units,N161)&amp;" units"&amp;IF(N(INDEX(in_Miles,N161))&gt;0,", "&amp;INDEX(in_Miles,N161)&amp;" miles","")))</f>
        <v/>
      </c>
      <c r="M161" s="60" t="str">
        <f aca="false">IF(155&gt;acc_TotalLines,"",IF(155&lt;=acc_SumLines,"S","P"))</f>
        <v/>
      </c>
      <c r="N161" s="42" t="str">
        <f aca="false">IF(M161="","",IF(M161="S",MATCH(155,acc_SumSeq,0),MATCH(155-acc_SumLines,in_Seq,0)))</f>
        <v/>
      </c>
    </row>
    <row r="162" customFormat="false" ht="15" hidden="false" customHeight="false" outlineLevel="0" collapsed="false">
      <c r="A162" s="26" t="str">
        <f aca="false">IF(M162="","",JrnPrefix&amp;"-"&amp;TEXT(WeekEnd,"yyyymmdd"))</f>
        <v/>
      </c>
      <c r="B162" s="58" t="str">
        <f aca="false">IF(M162="","",WeekEnd)</f>
        <v/>
      </c>
      <c r="C162" s="52" t="str">
        <f aca="false">IF(M162="","",156)</f>
        <v/>
      </c>
      <c r="D162" s="26" t="str">
        <f aca="false">IF(M162="","",IF(M162="S",IF(INDEX(acc_SumAcct,N162)=MileGL,"Mileage summary","Expense summary"),"Caregiver payable"))</f>
        <v/>
      </c>
      <c r="E162" s="40" t="str">
        <f aca="false">IF(M162="","",IF(M162="S",INDEX(acc_SumAcct,N162),APGL))</f>
        <v/>
      </c>
      <c r="F162" s="26" t="str">
        <f aca="false">IF(M162="","",IF(M162="S",INDEX(acc_SumName,N162),APGLName))</f>
        <v/>
      </c>
      <c r="G162" s="59" t="str">
        <f aca="false">IF(M162="","",IF(M162="S",INDEX(acc_SumAmt,N162),0))</f>
        <v/>
      </c>
      <c r="H162" s="59" t="str">
        <f aca="false">IF(M162="","",IF(M162="S",0,INDEX(in_Payable,N162)))</f>
        <v/>
      </c>
      <c r="I162" s="40" t="str">
        <f aca="false">IF(M162&lt;&gt;"P","",IFERROR(INDEX(cg_Vendor,MATCH(INDEX(in_CGID,N162),cg_ID,0)),""))</f>
        <v/>
      </c>
      <c r="J162" s="26" t="str">
        <f aca="false">IF(M162&lt;&gt;"P","",INDEX(in_CGName,N162))</f>
        <v/>
      </c>
      <c r="K162" s="26" t="str">
        <f aca="false">IF(M162&lt;&gt;"P","",IFERROR(INDEX(cl_Payer,MATCH(INDEX(in_ClientID,N162),cl_ID,0)),"Unassigned"))</f>
        <v/>
      </c>
      <c r="L162" s="26" t="str">
        <f aca="false">IF(M162="","",IF(M162="S","Weekly caregiver pay, week ending "&amp;TEXT(WeekEnd,"m/d/yyyy"),INDEX(in_Svc,N162)&amp;" "&amp;INDEX(in_ClientID,N162)&amp;", "&amp;INDEX(in_Units,N162)&amp;" units"&amp;IF(N(INDEX(in_Miles,N162))&gt;0,", "&amp;INDEX(in_Miles,N162)&amp;" miles","")))</f>
        <v/>
      </c>
      <c r="M162" s="60" t="str">
        <f aca="false">IF(156&gt;acc_TotalLines,"",IF(156&lt;=acc_SumLines,"S","P"))</f>
        <v/>
      </c>
      <c r="N162" s="42" t="str">
        <f aca="false">IF(M162="","",IF(M162="S",MATCH(156,acc_SumSeq,0),MATCH(156-acc_SumLines,in_Seq,0)))</f>
        <v/>
      </c>
    </row>
    <row r="163" customFormat="false" ht="15" hidden="false" customHeight="false" outlineLevel="0" collapsed="false">
      <c r="A163" s="26" t="str">
        <f aca="false">IF(M163="","",JrnPrefix&amp;"-"&amp;TEXT(WeekEnd,"yyyymmdd"))</f>
        <v/>
      </c>
      <c r="B163" s="58" t="str">
        <f aca="false">IF(M163="","",WeekEnd)</f>
        <v/>
      </c>
      <c r="C163" s="52" t="str">
        <f aca="false">IF(M163="","",157)</f>
        <v/>
      </c>
      <c r="D163" s="26" t="str">
        <f aca="false">IF(M163="","",IF(M163="S",IF(INDEX(acc_SumAcct,N163)=MileGL,"Mileage summary","Expense summary"),"Caregiver payable"))</f>
        <v/>
      </c>
      <c r="E163" s="40" t="str">
        <f aca="false">IF(M163="","",IF(M163="S",INDEX(acc_SumAcct,N163),APGL))</f>
        <v/>
      </c>
      <c r="F163" s="26" t="str">
        <f aca="false">IF(M163="","",IF(M163="S",INDEX(acc_SumName,N163),APGLName))</f>
        <v/>
      </c>
      <c r="G163" s="59" t="str">
        <f aca="false">IF(M163="","",IF(M163="S",INDEX(acc_SumAmt,N163),0))</f>
        <v/>
      </c>
      <c r="H163" s="59" t="str">
        <f aca="false">IF(M163="","",IF(M163="S",0,INDEX(in_Payable,N163)))</f>
        <v/>
      </c>
      <c r="I163" s="40" t="str">
        <f aca="false">IF(M163&lt;&gt;"P","",IFERROR(INDEX(cg_Vendor,MATCH(INDEX(in_CGID,N163),cg_ID,0)),""))</f>
        <v/>
      </c>
      <c r="J163" s="26" t="str">
        <f aca="false">IF(M163&lt;&gt;"P","",INDEX(in_CGName,N163))</f>
        <v/>
      </c>
      <c r="K163" s="26" t="str">
        <f aca="false">IF(M163&lt;&gt;"P","",IFERROR(INDEX(cl_Payer,MATCH(INDEX(in_ClientID,N163),cl_ID,0)),"Unassigned"))</f>
        <v/>
      </c>
      <c r="L163" s="26" t="str">
        <f aca="false">IF(M163="","",IF(M163="S","Weekly caregiver pay, week ending "&amp;TEXT(WeekEnd,"m/d/yyyy"),INDEX(in_Svc,N163)&amp;" "&amp;INDEX(in_ClientID,N163)&amp;", "&amp;INDEX(in_Units,N163)&amp;" units"&amp;IF(N(INDEX(in_Miles,N163))&gt;0,", "&amp;INDEX(in_Miles,N163)&amp;" miles","")))</f>
        <v/>
      </c>
      <c r="M163" s="60" t="str">
        <f aca="false">IF(157&gt;acc_TotalLines,"",IF(157&lt;=acc_SumLines,"S","P"))</f>
        <v/>
      </c>
      <c r="N163" s="42" t="str">
        <f aca="false">IF(M163="","",IF(M163="S",MATCH(157,acc_SumSeq,0),MATCH(157-acc_SumLines,in_Seq,0)))</f>
        <v/>
      </c>
    </row>
    <row r="164" customFormat="false" ht="15" hidden="false" customHeight="false" outlineLevel="0" collapsed="false">
      <c r="A164" s="26" t="str">
        <f aca="false">IF(M164="","",JrnPrefix&amp;"-"&amp;TEXT(WeekEnd,"yyyymmdd"))</f>
        <v/>
      </c>
      <c r="B164" s="58" t="str">
        <f aca="false">IF(M164="","",WeekEnd)</f>
        <v/>
      </c>
      <c r="C164" s="52" t="str">
        <f aca="false">IF(M164="","",158)</f>
        <v/>
      </c>
      <c r="D164" s="26" t="str">
        <f aca="false">IF(M164="","",IF(M164="S",IF(INDEX(acc_SumAcct,N164)=MileGL,"Mileage summary","Expense summary"),"Caregiver payable"))</f>
        <v/>
      </c>
      <c r="E164" s="40" t="str">
        <f aca="false">IF(M164="","",IF(M164="S",INDEX(acc_SumAcct,N164),APGL))</f>
        <v/>
      </c>
      <c r="F164" s="26" t="str">
        <f aca="false">IF(M164="","",IF(M164="S",INDEX(acc_SumName,N164),APGLName))</f>
        <v/>
      </c>
      <c r="G164" s="59" t="str">
        <f aca="false">IF(M164="","",IF(M164="S",INDEX(acc_SumAmt,N164),0))</f>
        <v/>
      </c>
      <c r="H164" s="59" t="str">
        <f aca="false">IF(M164="","",IF(M164="S",0,INDEX(in_Payable,N164)))</f>
        <v/>
      </c>
      <c r="I164" s="40" t="str">
        <f aca="false">IF(M164&lt;&gt;"P","",IFERROR(INDEX(cg_Vendor,MATCH(INDEX(in_CGID,N164),cg_ID,0)),""))</f>
        <v/>
      </c>
      <c r="J164" s="26" t="str">
        <f aca="false">IF(M164&lt;&gt;"P","",INDEX(in_CGName,N164))</f>
        <v/>
      </c>
      <c r="K164" s="26" t="str">
        <f aca="false">IF(M164&lt;&gt;"P","",IFERROR(INDEX(cl_Payer,MATCH(INDEX(in_ClientID,N164),cl_ID,0)),"Unassigned"))</f>
        <v/>
      </c>
      <c r="L164" s="26" t="str">
        <f aca="false">IF(M164="","",IF(M164="S","Weekly caregiver pay, week ending "&amp;TEXT(WeekEnd,"m/d/yyyy"),INDEX(in_Svc,N164)&amp;" "&amp;INDEX(in_ClientID,N164)&amp;", "&amp;INDEX(in_Units,N164)&amp;" units"&amp;IF(N(INDEX(in_Miles,N164))&gt;0,", "&amp;INDEX(in_Miles,N164)&amp;" miles","")))</f>
        <v/>
      </c>
      <c r="M164" s="60" t="str">
        <f aca="false">IF(158&gt;acc_TotalLines,"",IF(158&lt;=acc_SumLines,"S","P"))</f>
        <v/>
      </c>
      <c r="N164" s="42" t="str">
        <f aca="false">IF(M164="","",IF(M164="S",MATCH(158,acc_SumSeq,0),MATCH(158-acc_SumLines,in_Seq,0)))</f>
        <v/>
      </c>
    </row>
    <row r="165" customFormat="false" ht="15" hidden="false" customHeight="false" outlineLevel="0" collapsed="false">
      <c r="A165" s="26" t="str">
        <f aca="false">IF(M165="","",JrnPrefix&amp;"-"&amp;TEXT(WeekEnd,"yyyymmdd"))</f>
        <v/>
      </c>
      <c r="B165" s="58" t="str">
        <f aca="false">IF(M165="","",WeekEnd)</f>
        <v/>
      </c>
      <c r="C165" s="52" t="str">
        <f aca="false">IF(M165="","",159)</f>
        <v/>
      </c>
      <c r="D165" s="26" t="str">
        <f aca="false">IF(M165="","",IF(M165="S",IF(INDEX(acc_SumAcct,N165)=MileGL,"Mileage summary","Expense summary"),"Caregiver payable"))</f>
        <v/>
      </c>
      <c r="E165" s="40" t="str">
        <f aca="false">IF(M165="","",IF(M165="S",INDEX(acc_SumAcct,N165),APGL))</f>
        <v/>
      </c>
      <c r="F165" s="26" t="str">
        <f aca="false">IF(M165="","",IF(M165="S",INDEX(acc_SumName,N165),APGLName))</f>
        <v/>
      </c>
      <c r="G165" s="59" t="str">
        <f aca="false">IF(M165="","",IF(M165="S",INDEX(acc_SumAmt,N165),0))</f>
        <v/>
      </c>
      <c r="H165" s="59" t="str">
        <f aca="false">IF(M165="","",IF(M165="S",0,INDEX(in_Payable,N165)))</f>
        <v/>
      </c>
      <c r="I165" s="40" t="str">
        <f aca="false">IF(M165&lt;&gt;"P","",IFERROR(INDEX(cg_Vendor,MATCH(INDEX(in_CGID,N165),cg_ID,0)),""))</f>
        <v/>
      </c>
      <c r="J165" s="26" t="str">
        <f aca="false">IF(M165&lt;&gt;"P","",INDEX(in_CGName,N165))</f>
        <v/>
      </c>
      <c r="K165" s="26" t="str">
        <f aca="false">IF(M165&lt;&gt;"P","",IFERROR(INDEX(cl_Payer,MATCH(INDEX(in_ClientID,N165),cl_ID,0)),"Unassigned"))</f>
        <v/>
      </c>
      <c r="L165" s="26" t="str">
        <f aca="false">IF(M165="","",IF(M165="S","Weekly caregiver pay, week ending "&amp;TEXT(WeekEnd,"m/d/yyyy"),INDEX(in_Svc,N165)&amp;" "&amp;INDEX(in_ClientID,N165)&amp;", "&amp;INDEX(in_Units,N165)&amp;" units"&amp;IF(N(INDEX(in_Miles,N165))&gt;0,", "&amp;INDEX(in_Miles,N165)&amp;" miles","")))</f>
        <v/>
      </c>
      <c r="M165" s="60" t="str">
        <f aca="false">IF(159&gt;acc_TotalLines,"",IF(159&lt;=acc_SumLines,"S","P"))</f>
        <v/>
      </c>
      <c r="N165" s="42" t="str">
        <f aca="false">IF(M165="","",IF(M165="S",MATCH(159,acc_SumSeq,0),MATCH(159-acc_SumLines,in_Seq,0)))</f>
        <v/>
      </c>
    </row>
    <row r="166" customFormat="false" ht="15" hidden="false" customHeight="false" outlineLevel="0" collapsed="false">
      <c r="A166" s="26" t="str">
        <f aca="false">IF(M166="","",JrnPrefix&amp;"-"&amp;TEXT(WeekEnd,"yyyymmdd"))</f>
        <v/>
      </c>
      <c r="B166" s="58" t="str">
        <f aca="false">IF(M166="","",WeekEnd)</f>
        <v/>
      </c>
      <c r="C166" s="52" t="str">
        <f aca="false">IF(M166="","",160)</f>
        <v/>
      </c>
      <c r="D166" s="26" t="str">
        <f aca="false">IF(M166="","",IF(M166="S",IF(INDEX(acc_SumAcct,N166)=MileGL,"Mileage summary","Expense summary"),"Caregiver payable"))</f>
        <v/>
      </c>
      <c r="E166" s="40" t="str">
        <f aca="false">IF(M166="","",IF(M166="S",INDEX(acc_SumAcct,N166),APGL))</f>
        <v/>
      </c>
      <c r="F166" s="26" t="str">
        <f aca="false">IF(M166="","",IF(M166="S",INDEX(acc_SumName,N166),APGLName))</f>
        <v/>
      </c>
      <c r="G166" s="59" t="str">
        <f aca="false">IF(M166="","",IF(M166="S",INDEX(acc_SumAmt,N166),0))</f>
        <v/>
      </c>
      <c r="H166" s="59" t="str">
        <f aca="false">IF(M166="","",IF(M166="S",0,INDEX(in_Payable,N166)))</f>
        <v/>
      </c>
      <c r="I166" s="40" t="str">
        <f aca="false">IF(M166&lt;&gt;"P","",IFERROR(INDEX(cg_Vendor,MATCH(INDEX(in_CGID,N166),cg_ID,0)),""))</f>
        <v/>
      </c>
      <c r="J166" s="26" t="str">
        <f aca="false">IF(M166&lt;&gt;"P","",INDEX(in_CGName,N166))</f>
        <v/>
      </c>
      <c r="K166" s="26" t="str">
        <f aca="false">IF(M166&lt;&gt;"P","",IFERROR(INDEX(cl_Payer,MATCH(INDEX(in_ClientID,N166),cl_ID,0)),"Unassigned"))</f>
        <v/>
      </c>
      <c r="L166" s="26" t="str">
        <f aca="false">IF(M166="","",IF(M166="S","Weekly caregiver pay, week ending "&amp;TEXT(WeekEnd,"m/d/yyyy"),INDEX(in_Svc,N166)&amp;" "&amp;INDEX(in_ClientID,N166)&amp;", "&amp;INDEX(in_Units,N166)&amp;" units"&amp;IF(N(INDEX(in_Miles,N166))&gt;0,", "&amp;INDEX(in_Miles,N166)&amp;" miles","")))</f>
        <v/>
      </c>
      <c r="M166" s="60" t="str">
        <f aca="false">IF(160&gt;acc_TotalLines,"",IF(160&lt;=acc_SumLines,"S","P"))</f>
        <v/>
      </c>
      <c r="N166" s="42" t="str">
        <f aca="false">IF(M166="","",IF(M166="S",MATCH(160,acc_SumSeq,0),MATCH(160-acc_SumLines,in_Seq,0)))</f>
        <v/>
      </c>
    </row>
    <row r="167" customFormat="false" ht="15" hidden="false" customHeight="false" outlineLevel="0" collapsed="false">
      <c r="A167" s="26" t="str">
        <f aca="false">IF(M167="","",JrnPrefix&amp;"-"&amp;TEXT(WeekEnd,"yyyymmdd"))</f>
        <v/>
      </c>
      <c r="B167" s="58" t="str">
        <f aca="false">IF(M167="","",WeekEnd)</f>
        <v/>
      </c>
      <c r="C167" s="52" t="str">
        <f aca="false">IF(M167="","",161)</f>
        <v/>
      </c>
      <c r="D167" s="26" t="str">
        <f aca="false">IF(M167="","",IF(M167="S",IF(INDEX(acc_SumAcct,N167)=MileGL,"Mileage summary","Expense summary"),"Caregiver payable"))</f>
        <v/>
      </c>
      <c r="E167" s="40" t="str">
        <f aca="false">IF(M167="","",IF(M167="S",INDEX(acc_SumAcct,N167),APGL))</f>
        <v/>
      </c>
      <c r="F167" s="26" t="str">
        <f aca="false">IF(M167="","",IF(M167="S",INDEX(acc_SumName,N167),APGLName))</f>
        <v/>
      </c>
      <c r="G167" s="59" t="str">
        <f aca="false">IF(M167="","",IF(M167="S",INDEX(acc_SumAmt,N167),0))</f>
        <v/>
      </c>
      <c r="H167" s="59" t="str">
        <f aca="false">IF(M167="","",IF(M167="S",0,INDEX(in_Payable,N167)))</f>
        <v/>
      </c>
      <c r="I167" s="40" t="str">
        <f aca="false">IF(M167&lt;&gt;"P","",IFERROR(INDEX(cg_Vendor,MATCH(INDEX(in_CGID,N167),cg_ID,0)),""))</f>
        <v/>
      </c>
      <c r="J167" s="26" t="str">
        <f aca="false">IF(M167&lt;&gt;"P","",INDEX(in_CGName,N167))</f>
        <v/>
      </c>
      <c r="K167" s="26" t="str">
        <f aca="false">IF(M167&lt;&gt;"P","",IFERROR(INDEX(cl_Payer,MATCH(INDEX(in_ClientID,N167),cl_ID,0)),"Unassigned"))</f>
        <v/>
      </c>
      <c r="L167" s="26" t="str">
        <f aca="false">IF(M167="","",IF(M167="S","Weekly caregiver pay, week ending "&amp;TEXT(WeekEnd,"m/d/yyyy"),INDEX(in_Svc,N167)&amp;" "&amp;INDEX(in_ClientID,N167)&amp;", "&amp;INDEX(in_Units,N167)&amp;" units"&amp;IF(N(INDEX(in_Miles,N167))&gt;0,", "&amp;INDEX(in_Miles,N167)&amp;" miles","")))</f>
        <v/>
      </c>
      <c r="M167" s="60" t="str">
        <f aca="false">IF(161&gt;acc_TotalLines,"",IF(161&lt;=acc_SumLines,"S","P"))</f>
        <v/>
      </c>
      <c r="N167" s="42" t="str">
        <f aca="false">IF(M167="","",IF(M167="S",MATCH(161,acc_SumSeq,0),MATCH(161-acc_SumLines,in_Seq,0)))</f>
        <v/>
      </c>
    </row>
    <row r="168" customFormat="false" ht="15" hidden="false" customHeight="false" outlineLevel="0" collapsed="false">
      <c r="A168" s="26" t="str">
        <f aca="false">IF(M168="","",JrnPrefix&amp;"-"&amp;TEXT(WeekEnd,"yyyymmdd"))</f>
        <v/>
      </c>
      <c r="B168" s="58" t="str">
        <f aca="false">IF(M168="","",WeekEnd)</f>
        <v/>
      </c>
      <c r="C168" s="52" t="str">
        <f aca="false">IF(M168="","",162)</f>
        <v/>
      </c>
      <c r="D168" s="26" t="str">
        <f aca="false">IF(M168="","",IF(M168="S",IF(INDEX(acc_SumAcct,N168)=MileGL,"Mileage summary","Expense summary"),"Caregiver payable"))</f>
        <v/>
      </c>
      <c r="E168" s="40" t="str">
        <f aca="false">IF(M168="","",IF(M168="S",INDEX(acc_SumAcct,N168),APGL))</f>
        <v/>
      </c>
      <c r="F168" s="26" t="str">
        <f aca="false">IF(M168="","",IF(M168="S",INDEX(acc_SumName,N168),APGLName))</f>
        <v/>
      </c>
      <c r="G168" s="59" t="str">
        <f aca="false">IF(M168="","",IF(M168="S",INDEX(acc_SumAmt,N168),0))</f>
        <v/>
      </c>
      <c r="H168" s="59" t="str">
        <f aca="false">IF(M168="","",IF(M168="S",0,INDEX(in_Payable,N168)))</f>
        <v/>
      </c>
      <c r="I168" s="40" t="str">
        <f aca="false">IF(M168&lt;&gt;"P","",IFERROR(INDEX(cg_Vendor,MATCH(INDEX(in_CGID,N168),cg_ID,0)),""))</f>
        <v/>
      </c>
      <c r="J168" s="26" t="str">
        <f aca="false">IF(M168&lt;&gt;"P","",INDEX(in_CGName,N168))</f>
        <v/>
      </c>
      <c r="K168" s="26" t="str">
        <f aca="false">IF(M168&lt;&gt;"P","",IFERROR(INDEX(cl_Payer,MATCH(INDEX(in_ClientID,N168),cl_ID,0)),"Unassigned"))</f>
        <v/>
      </c>
      <c r="L168" s="26" t="str">
        <f aca="false">IF(M168="","",IF(M168="S","Weekly caregiver pay, week ending "&amp;TEXT(WeekEnd,"m/d/yyyy"),INDEX(in_Svc,N168)&amp;" "&amp;INDEX(in_ClientID,N168)&amp;", "&amp;INDEX(in_Units,N168)&amp;" units"&amp;IF(N(INDEX(in_Miles,N168))&gt;0,", "&amp;INDEX(in_Miles,N168)&amp;" miles","")))</f>
        <v/>
      </c>
      <c r="M168" s="60" t="str">
        <f aca="false">IF(162&gt;acc_TotalLines,"",IF(162&lt;=acc_SumLines,"S","P"))</f>
        <v/>
      </c>
      <c r="N168" s="42" t="str">
        <f aca="false">IF(M168="","",IF(M168="S",MATCH(162,acc_SumSeq,0),MATCH(162-acc_SumLines,in_Seq,0)))</f>
        <v/>
      </c>
    </row>
    <row r="169" customFormat="false" ht="15" hidden="false" customHeight="false" outlineLevel="0" collapsed="false">
      <c r="A169" s="26" t="str">
        <f aca="false">IF(M169="","",JrnPrefix&amp;"-"&amp;TEXT(WeekEnd,"yyyymmdd"))</f>
        <v/>
      </c>
      <c r="B169" s="58" t="str">
        <f aca="false">IF(M169="","",WeekEnd)</f>
        <v/>
      </c>
      <c r="C169" s="52" t="str">
        <f aca="false">IF(M169="","",163)</f>
        <v/>
      </c>
      <c r="D169" s="26" t="str">
        <f aca="false">IF(M169="","",IF(M169="S",IF(INDEX(acc_SumAcct,N169)=MileGL,"Mileage summary","Expense summary"),"Caregiver payable"))</f>
        <v/>
      </c>
      <c r="E169" s="40" t="str">
        <f aca="false">IF(M169="","",IF(M169="S",INDEX(acc_SumAcct,N169),APGL))</f>
        <v/>
      </c>
      <c r="F169" s="26" t="str">
        <f aca="false">IF(M169="","",IF(M169="S",INDEX(acc_SumName,N169),APGLName))</f>
        <v/>
      </c>
      <c r="G169" s="59" t="str">
        <f aca="false">IF(M169="","",IF(M169="S",INDEX(acc_SumAmt,N169),0))</f>
        <v/>
      </c>
      <c r="H169" s="59" t="str">
        <f aca="false">IF(M169="","",IF(M169="S",0,INDEX(in_Payable,N169)))</f>
        <v/>
      </c>
      <c r="I169" s="40" t="str">
        <f aca="false">IF(M169&lt;&gt;"P","",IFERROR(INDEX(cg_Vendor,MATCH(INDEX(in_CGID,N169),cg_ID,0)),""))</f>
        <v/>
      </c>
      <c r="J169" s="26" t="str">
        <f aca="false">IF(M169&lt;&gt;"P","",INDEX(in_CGName,N169))</f>
        <v/>
      </c>
      <c r="K169" s="26" t="str">
        <f aca="false">IF(M169&lt;&gt;"P","",IFERROR(INDEX(cl_Payer,MATCH(INDEX(in_ClientID,N169),cl_ID,0)),"Unassigned"))</f>
        <v/>
      </c>
      <c r="L169" s="26" t="str">
        <f aca="false">IF(M169="","",IF(M169="S","Weekly caregiver pay, week ending "&amp;TEXT(WeekEnd,"m/d/yyyy"),INDEX(in_Svc,N169)&amp;" "&amp;INDEX(in_ClientID,N169)&amp;", "&amp;INDEX(in_Units,N169)&amp;" units"&amp;IF(N(INDEX(in_Miles,N169))&gt;0,", "&amp;INDEX(in_Miles,N169)&amp;" miles","")))</f>
        <v/>
      </c>
      <c r="M169" s="60" t="str">
        <f aca="false">IF(163&gt;acc_TotalLines,"",IF(163&lt;=acc_SumLines,"S","P"))</f>
        <v/>
      </c>
      <c r="N169" s="42" t="str">
        <f aca="false">IF(M169="","",IF(M169="S",MATCH(163,acc_SumSeq,0),MATCH(163-acc_SumLines,in_Seq,0)))</f>
        <v/>
      </c>
    </row>
    <row r="170" customFormat="false" ht="15" hidden="false" customHeight="false" outlineLevel="0" collapsed="false">
      <c r="A170" s="26" t="str">
        <f aca="false">IF(M170="","",JrnPrefix&amp;"-"&amp;TEXT(WeekEnd,"yyyymmdd"))</f>
        <v/>
      </c>
      <c r="B170" s="58" t="str">
        <f aca="false">IF(M170="","",WeekEnd)</f>
        <v/>
      </c>
      <c r="C170" s="52" t="str">
        <f aca="false">IF(M170="","",164)</f>
        <v/>
      </c>
      <c r="D170" s="26" t="str">
        <f aca="false">IF(M170="","",IF(M170="S",IF(INDEX(acc_SumAcct,N170)=MileGL,"Mileage summary","Expense summary"),"Caregiver payable"))</f>
        <v/>
      </c>
      <c r="E170" s="40" t="str">
        <f aca="false">IF(M170="","",IF(M170="S",INDEX(acc_SumAcct,N170),APGL))</f>
        <v/>
      </c>
      <c r="F170" s="26" t="str">
        <f aca="false">IF(M170="","",IF(M170="S",INDEX(acc_SumName,N170),APGLName))</f>
        <v/>
      </c>
      <c r="G170" s="59" t="str">
        <f aca="false">IF(M170="","",IF(M170="S",INDEX(acc_SumAmt,N170),0))</f>
        <v/>
      </c>
      <c r="H170" s="59" t="str">
        <f aca="false">IF(M170="","",IF(M170="S",0,INDEX(in_Payable,N170)))</f>
        <v/>
      </c>
      <c r="I170" s="40" t="str">
        <f aca="false">IF(M170&lt;&gt;"P","",IFERROR(INDEX(cg_Vendor,MATCH(INDEX(in_CGID,N170),cg_ID,0)),""))</f>
        <v/>
      </c>
      <c r="J170" s="26" t="str">
        <f aca="false">IF(M170&lt;&gt;"P","",INDEX(in_CGName,N170))</f>
        <v/>
      </c>
      <c r="K170" s="26" t="str">
        <f aca="false">IF(M170&lt;&gt;"P","",IFERROR(INDEX(cl_Payer,MATCH(INDEX(in_ClientID,N170),cl_ID,0)),"Unassigned"))</f>
        <v/>
      </c>
      <c r="L170" s="26" t="str">
        <f aca="false">IF(M170="","",IF(M170="S","Weekly caregiver pay, week ending "&amp;TEXT(WeekEnd,"m/d/yyyy"),INDEX(in_Svc,N170)&amp;" "&amp;INDEX(in_ClientID,N170)&amp;", "&amp;INDEX(in_Units,N170)&amp;" units"&amp;IF(N(INDEX(in_Miles,N170))&gt;0,", "&amp;INDEX(in_Miles,N170)&amp;" miles","")))</f>
        <v/>
      </c>
      <c r="M170" s="60" t="str">
        <f aca="false">IF(164&gt;acc_TotalLines,"",IF(164&lt;=acc_SumLines,"S","P"))</f>
        <v/>
      </c>
      <c r="N170" s="42" t="str">
        <f aca="false">IF(M170="","",IF(M170="S",MATCH(164,acc_SumSeq,0),MATCH(164-acc_SumLines,in_Seq,0)))</f>
        <v/>
      </c>
    </row>
    <row r="171" customFormat="false" ht="15" hidden="false" customHeight="false" outlineLevel="0" collapsed="false">
      <c r="A171" s="26" t="str">
        <f aca="false">IF(M171="","",JrnPrefix&amp;"-"&amp;TEXT(WeekEnd,"yyyymmdd"))</f>
        <v/>
      </c>
      <c r="B171" s="58" t="str">
        <f aca="false">IF(M171="","",WeekEnd)</f>
        <v/>
      </c>
      <c r="C171" s="52" t="str">
        <f aca="false">IF(M171="","",165)</f>
        <v/>
      </c>
      <c r="D171" s="26" t="str">
        <f aca="false">IF(M171="","",IF(M171="S",IF(INDEX(acc_SumAcct,N171)=MileGL,"Mileage summary","Expense summary"),"Caregiver payable"))</f>
        <v/>
      </c>
      <c r="E171" s="40" t="str">
        <f aca="false">IF(M171="","",IF(M171="S",INDEX(acc_SumAcct,N171),APGL))</f>
        <v/>
      </c>
      <c r="F171" s="26" t="str">
        <f aca="false">IF(M171="","",IF(M171="S",INDEX(acc_SumName,N171),APGLName))</f>
        <v/>
      </c>
      <c r="G171" s="59" t="str">
        <f aca="false">IF(M171="","",IF(M171="S",INDEX(acc_SumAmt,N171),0))</f>
        <v/>
      </c>
      <c r="H171" s="59" t="str">
        <f aca="false">IF(M171="","",IF(M171="S",0,INDEX(in_Payable,N171)))</f>
        <v/>
      </c>
      <c r="I171" s="40" t="str">
        <f aca="false">IF(M171&lt;&gt;"P","",IFERROR(INDEX(cg_Vendor,MATCH(INDEX(in_CGID,N171),cg_ID,0)),""))</f>
        <v/>
      </c>
      <c r="J171" s="26" t="str">
        <f aca="false">IF(M171&lt;&gt;"P","",INDEX(in_CGName,N171))</f>
        <v/>
      </c>
      <c r="K171" s="26" t="str">
        <f aca="false">IF(M171&lt;&gt;"P","",IFERROR(INDEX(cl_Payer,MATCH(INDEX(in_ClientID,N171),cl_ID,0)),"Unassigned"))</f>
        <v/>
      </c>
      <c r="L171" s="26" t="str">
        <f aca="false">IF(M171="","",IF(M171="S","Weekly caregiver pay, week ending "&amp;TEXT(WeekEnd,"m/d/yyyy"),INDEX(in_Svc,N171)&amp;" "&amp;INDEX(in_ClientID,N171)&amp;", "&amp;INDEX(in_Units,N171)&amp;" units"&amp;IF(N(INDEX(in_Miles,N171))&gt;0,", "&amp;INDEX(in_Miles,N171)&amp;" miles","")))</f>
        <v/>
      </c>
      <c r="M171" s="60" t="str">
        <f aca="false">IF(165&gt;acc_TotalLines,"",IF(165&lt;=acc_SumLines,"S","P"))</f>
        <v/>
      </c>
      <c r="N171" s="42" t="str">
        <f aca="false">IF(M171="","",IF(M171="S",MATCH(165,acc_SumSeq,0),MATCH(165-acc_SumLines,in_Seq,0)))</f>
        <v/>
      </c>
    </row>
    <row r="172" customFormat="false" ht="15" hidden="false" customHeight="false" outlineLevel="0" collapsed="false">
      <c r="A172" s="26" t="str">
        <f aca="false">IF(M172="","",JrnPrefix&amp;"-"&amp;TEXT(WeekEnd,"yyyymmdd"))</f>
        <v/>
      </c>
      <c r="B172" s="58" t="str">
        <f aca="false">IF(M172="","",WeekEnd)</f>
        <v/>
      </c>
      <c r="C172" s="52" t="str">
        <f aca="false">IF(M172="","",166)</f>
        <v/>
      </c>
      <c r="D172" s="26" t="str">
        <f aca="false">IF(M172="","",IF(M172="S",IF(INDEX(acc_SumAcct,N172)=MileGL,"Mileage summary","Expense summary"),"Caregiver payable"))</f>
        <v/>
      </c>
      <c r="E172" s="40" t="str">
        <f aca="false">IF(M172="","",IF(M172="S",INDEX(acc_SumAcct,N172),APGL))</f>
        <v/>
      </c>
      <c r="F172" s="26" t="str">
        <f aca="false">IF(M172="","",IF(M172="S",INDEX(acc_SumName,N172),APGLName))</f>
        <v/>
      </c>
      <c r="G172" s="59" t="str">
        <f aca="false">IF(M172="","",IF(M172="S",INDEX(acc_SumAmt,N172),0))</f>
        <v/>
      </c>
      <c r="H172" s="59" t="str">
        <f aca="false">IF(M172="","",IF(M172="S",0,INDEX(in_Payable,N172)))</f>
        <v/>
      </c>
      <c r="I172" s="40" t="str">
        <f aca="false">IF(M172&lt;&gt;"P","",IFERROR(INDEX(cg_Vendor,MATCH(INDEX(in_CGID,N172),cg_ID,0)),""))</f>
        <v/>
      </c>
      <c r="J172" s="26" t="str">
        <f aca="false">IF(M172&lt;&gt;"P","",INDEX(in_CGName,N172))</f>
        <v/>
      </c>
      <c r="K172" s="26" t="str">
        <f aca="false">IF(M172&lt;&gt;"P","",IFERROR(INDEX(cl_Payer,MATCH(INDEX(in_ClientID,N172),cl_ID,0)),"Unassigned"))</f>
        <v/>
      </c>
      <c r="L172" s="26" t="str">
        <f aca="false">IF(M172="","",IF(M172="S","Weekly caregiver pay, week ending "&amp;TEXT(WeekEnd,"m/d/yyyy"),INDEX(in_Svc,N172)&amp;" "&amp;INDEX(in_ClientID,N172)&amp;", "&amp;INDEX(in_Units,N172)&amp;" units"&amp;IF(N(INDEX(in_Miles,N172))&gt;0,", "&amp;INDEX(in_Miles,N172)&amp;" miles","")))</f>
        <v/>
      </c>
      <c r="M172" s="60" t="str">
        <f aca="false">IF(166&gt;acc_TotalLines,"",IF(166&lt;=acc_SumLines,"S","P"))</f>
        <v/>
      </c>
      <c r="N172" s="42" t="str">
        <f aca="false">IF(M172="","",IF(M172="S",MATCH(166,acc_SumSeq,0),MATCH(166-acc_SumLines,in_Seq,0)))</f>
        <v/>
      </c>
    </row>
    <row r="173" customFormat="false" ht="15" hidden="false" customHeight="false" outlineLevel="0" collapsed="false">
      <c r="A173" s="26" t="str">
        <f aca="false">IF(M173="","",JrnPrefix&amp;"-"&amp;TEXT(WeekEnd,"yyyymmdd"))</f>
        <v/>
      </c>
      <c r="B173" s="58" t="str">
        <f aca="false">IF(M173="","",WeekEnd)</f>
        <v/>
      </c>
      <c r="C173" s="52" t="str">
        <f aca="false">IF(M173="","",167)</f>
        <v/>
      </c>
      <c r="D173" s="26" t="str">
        <f aca="false">IF(M173="","",IF(M173="S",IF(INDEX(acc_SumAcct,N173)=MileGL,"Mileage summary","Expense summary"),"Caregiver payable"))</f>
        <v/>
      </c>
      <c r="E173" s="40" t="str">
        <f aca="false">IF(M173="","",IF(M173="S",INDEX(acc_SumAcct,N173),APGL))</f>
        <v/>
      </c>
      <c r="F173" s="26" t="str">
        <f aca="false">IF(M173="","",IF(M173="S",INDEX(acc_SumName,N173),APGLName))</f>
        <v/>
      </c>
      <c r="G173" s="59" t="str">
        <f aca="false">IF(M173="","",IF(M173="S",INDEX(acc_SumAmt,N173),0))</f>
        <v/>
      </c>
      <c r="H173" s="59" t="str">
        <f aca="false">IF(M173="","",IF(M173="S",0,INDEX(in_Payable,N173)))</f>
        <v/>
      </c>
      <c r="I173" s="40" t="str">
        <f aca="false">IF(M173&lt;&gt;"P","",IFERROR(INDEX(cg_Vendor,MATCH(INDEX(in_CGID,N173),cg_ID,0)),""))</f>
        <v/>
      </c>
      <c r="J173" s="26" t="str">
        <f aca="false">IF(M173&lt;&gt;"P","",INDEX(in_CGName,N173))</f>
        <v/>
      </c>
      <c r="K173" s="26" t="str">
        <f aca="false">IF(M173&lt;&gt;"P","",IFERROR(INDEX(cl_Payer,MATCH(INDEX(in_ClientID,N173),cl_ID,0)),"Unassigned"))</f>
        <v/>
      </c>
      <c r="L173" s="26" t="str">
        <f aca="false">IF(M173="","",IF(M173="S","Weekly caregiver pay, week ending "&amp;TEXT(WeekEnd,"m/d/yyyy"),INDEX(in_Svc,N173)&amp;" "&amp;INDEX(in_ClientID,N173)&amp;", "&amp;INDEX(in_Units,N173)&amp;" units"&amp;IF(N(INDEX(in_Miles,N173))&gt;0,", "&amp;INDEX(in_Miles,N173)&amp;" miles","")))</f>
        <v/>
      </c>
      <c r="M173" s="60" t="str">
        <f aca="false">IF(167&gt;acc_TotalLines,"",IF(167&lt;=acc_SumLines,"S","P"))</f>
        <v/>
      </c>
      <c r="N173" s="42" t="str">
        <f aca="false">IF(M173="","",IF(M173="S",MATCH(167,acc_SumSeq,0),MATCH(167-acc_SumLines,in_Seq,0)))</f>
        <v/>
      </c>
    </row>
    <row r="174" customFormat="false" ht="15" hidden="false" customHeight="false" outlineLevel="0" collapsed="false">
      <c r="A174" s="26" t="str">
        <f aca="false">IF(M174="","",JrnPrefix&amp;"-"&amp;TEXT(WeekEnd,"yyyymmdd"))</f>
        <v/>
      </c>
      <c r="B174" s="58" t="str">
        <f aca="false">IF(M174="","",WeekEnd)</f>
        <v/>
      </c>
      <c r="C174" s="52" t="str">
        <f aca="false">IF(M174="","",168)</f>
        <v/>
      </c>
      <c r="D174" s="26" t="str">
        <f aca="false">IF(M174="","",IF(M174="S",IF(INDEX(acc_SumAcct,N174)=MileGL,"Mileage summary","Expense summary"),"Caregiver payable"))</f>
        <v/>
      </c>
      <c r="E174" s="40" t="str">
        <f aca="false">IF(M174="","",IF(M174="S",INDEX(acc_SumAcct,N174),APGL))</f>
        <v/>
      </c>
      <c r="F174" s="26" t="str">
        <f aca="false">IF(M174="","",IF(M174="S",INDEX(acc_SumName,N174),APGLName))</f>
        <v/>
      </c>
      <c r="G174" s="59" t="str">
        <f aca="false">IF(M174="","",IF(M174="S",INDEX(acc_SumAmt,N174),0))</f>
        <v/>
      </c>
      <c r="H174" s="59" t="str">
        <f aca="false">IF(M174="","",IF(M174="S",0,INDEX(in_Payable,N174)))</f>
        <v/>
      </c>
      <c r="I174" s="40" t="str">
        <f aca="false">IF(M174&lt;&gt;"P","",IFERROR(INDEX(cg_Vendor,MATCH(INDEX(in_CGID,N174),cg_ID,0)),""))</f>
        <v/>
      </c>
      <c r="J174" s="26" t="str">
        <f aca="false">IF(M174&lt;&gt;"P","",INDEX(in_CGName,N174))</f>
        <v/>
      </c>
      <c r="K174" s="26" t="str">
        <f aca="false">IF(M174&lt;&gt;"P","",IFERROR(INDEX(cl_Payer,MATCH(INDEX(in_ClientID,N174),cl_ID,0)),"Unassigned"))</f>
        <v/>
      </c>
      <c r="L174" s="26" t="str">
        <f aca="false">IF(M174="","",IF(M174="S","Weekly caregiver pay, week ending "&amp;TEXT(WeekEnd,"m/d/yyyy"),INDEX(in_Svc,N174)&amp;" "&amp;INDEX(in_ClientID,N174)&amp;", "&amp;INDEX(in_Units,N174)&amp;" units"&amp;IF(N(INDEX(in_Miles,N174))&gt;0,", "&amp;INDEX(in_Miles,N174)&amp;" miles","")))</f>
        <v/>
      </c>
      <c r="M174" s="60" t="str">
        <f aca="false">IF(168&gt;acc_TotalLines,"",IF(168&lt;=acc_SumLines,"S","P"))</f>
        <v/>
      </c>
      <c r="N174" s="42" t="str">
        <f aca="false">IF(M174="","",IF(M174="S",MATCH(168,acc_SumSeq,0),MATCH(168-acc_SumLines,in_Seq,0)))</f>
        <v/>
      </c>
    </row>
    <row r="175" customFormat="false" ht="15" hidden="false" customHeight="false" outlineLevel="0" collapsed="false">
      <c r="A175" s="26" t="str">
        <f aca="false">IF(M175="","",JrnPrefix&amp;"-"&amp;TEXT(WeekEnd,"yyyymmdd"))</f>
        <v/>
      </c>
      <c r="B175" s="58" t="str">
        <f aca="false">IF(M175="","",WeekEnd)</f>
        <v/>
      </c>
      <c r="C175" s="52" t="str">
        <f aca="false">IF(M175="","",169)</f>
        <v/>
      </c>
      <c r="D175" s="26" t="str">
        <f aca="false">IF(M175="","",IF(M175="S",IF(INDEX(acc_SumAcct,N175)=MileGL,"Mileage summary","Expense summary"),"Caregiver payable"))</f>
        <v/>
      </c>
      <c r="E175" s="40" t="str">
        <f aca="false">IF(M175="","",IF(M175="S",INDEX(acc_SumAcct,N175),APGL))</f>
        <v/>
      </c>
      <c r="F175" s="26" t="str">
        <f aca="false">IF(M175="","",IF(M175="S",INDEX(acc_SumName,N175),APGLName))</f>
        <v/>
      </c>
      <c r="G175" s="59" t="str">
        <f aca="false">IF(M175="","",IF(M175="S",INDEX(acc_SumAmt,N175),0))</f>
        <v/>
      </c>
      <c r="H175" s="59" t="str">
        <f aca="false">IF(M175="","",IF(M175="S",0,INDEX(in_Payable,N175)))</f>
        <v/>
      </c>
      <c r="I175" s="40" t="str">
        <f aca="false">IF(M175&lt;&gt;"P","",IFERROR(INDEX(cg_Vendor,MATCH(INDEX(in_CGID,N175),cg_ID,0)),""))</f>
        <v/>
      </c>
      <c r="J175" s="26" t="str">
        <f aca="false">IF(M175&lt;&gt;"P","",INDEX(in_CGName,N175))</f>
        <v/>
      </c>
      <c r="K175" s="26" t="str">
        <f aca="false">IF(M175&lt;&gt;"P","",IFERROR(INDEX(cl_Payer,MATCH(INDEX(in_ClientID,N175),cl_ID,0)),"Unassigned"))</f>
        <v/>
      </c>
      <c r="L175" s="26" t="str">
        <f aca="false">IF(M175="","",IF(M175="S","Weekly caregiver pay, week ending "&amp;TEXT(WeekEnd,"m/d/yyyy"),INDEX(in_Svc,N175)&amp;" "&amp;INDEX(in_ClientID,N175)&amp;", "&amp;INDEX(in_Units,N175)&amp;" units"&amp;IF(N(INDEX(in_Miles,N175))&gt;0,", "&amp;INDEX(in_Miles,N175)&amp;" miles","")))</f>
        <v/>
      </c>
      <c r="M175" s="60" t="str">
        <f aca="false">IF(169&gt;acc_TotalLines,"",IF(169&lt;=acc_SumLines,"S","P"))</f>
        <v/>
      </c>
      <c r="N175" s="42" t="str">
        <f aca="false">IF(M175="","",IF(M175="S",MATCH(169,acc_SumSeq,0),MATCH(169-acc_SumLines,in_Seq,0)))</f>
        <v/>
      </c>
    </row>
    <row r="176" customFormat="false" ht="15" hidden="false" customHeight="false" outlineLevel="0" collapsed="false">
      <c r="A176" s="26" t="str">
        <f aca="false">IF(M176="","",JrnPrefix&amp;"-"&amp;TEXT(WeekEnd,"yyyymmdd"))</f>
        <v/>
      </c>
      <c r="B176" s="58" t="str">
        <f aca="false">IF(M176="","",WeekEnd)</f>
        <v/>
      </c>
      <c r="C176" s="52" t="str">
        <f aca="false">IF(M176="","",170)</f>
        <v/>
      </c>
      <c r="D176" s="26" t="str">
        <f aca="false">IF(M176="","",IF(M176="S",IF(INDEX(acc_SumAcct,N176)=MileGL,"Mileage summary","Expense summary"),"Caregiver payable"))</f>
        <v/>
      </c>
      <c r="E176" s="40" t="str">
        <f aca="false">IF(M176="","",IF(M176="S",INDEX(acc_SumAcct,N176),APGL))</f>
        <v/>
      </c>
      <c r="F176" s="26" t="str">
        <f aca="false">IF(M176="","",IF(M176="S",INDEX(acc_SumName,N176),APGLName))</f>
        <v/>
      </c>
      <c r="G176" s="59" t="str">
        <f aca="false">IF(M176="","",IF(M176="S",INDEX(acc_SumAmt,N176),0))</f>
        <v/>
      </c>
      <c r="H176" s="59" t="str">
        <f aca="false">IF(M176="","",IF(M176="S",0,INDEX(in_Payable,N176)))</f>
        <v/>
      </c>
      <c r="I176" s="40" t="str">
        <f aca="false">IF(M176&lt;&gt;"P","",IFERROR(INDEX(cg_Vendor,MATCH(INDEX(in_CGID,N176),cg_ID,0)),""))</f>
        <v/>
      </c>
      <c r="J176" s="26" t="str">
        <f aca="false">IF(M176&lt;&gt;"P","",INDEX(in_CGName,N176))</f>
        <v/>
      </c>
      <c r="K176" s="26" t="str">
        <f aca="false">IF(M176&lt;&gt;"P","",IFERROR(INDEX(cl_Payer,MATCH(INDEX(in_ClientID,N176),cl_ID,0)),"Unassigned"))</f>
        <v/>
      </c>
      <c r="L176" s="26" t="str">
        <f aca="false">IF(M176="","",IF(M176="S","Weekly caregiver pay, week ending "&amp;TEXT(WeekEnd,"m/d/yyyy"),INDEX(in_Svc,N176)&amp;" "&amp;INDEX(in_ClientID,N176)&amp;", "&amp;INDEX(in_Units,N176)&amp;" units"&amp;IF(N(INDEX(in_Miles,N176))&gt;0,", "&amp;INDEX(in_Miles,N176)&amp;" miles","")))</f>
        <v/>
      </c>
      <c r="M176" s="60" t="str">
        <f aca="false">IF(170&gt;acc_TotalLines,"",IF(170&lt;=acc_SumLines,"S","P"))</f>
        <v/>
      </c>
      <c r="N176" s="42" t="str">
        <f aca="false">IF(M176="","",IF(M176="S",MATCH(170,acc_SumSeq,0),MATCH(170-acc_SumLines,in_Seq,0)))</f>
        <v/>
      </c>
    </row>
    <row r="177" customFormat="false" ht="15" hidden="false" customHeight="false" outlineLevel="0" collapsed="false">
      <c r="A177" s="26" t="str">
        <f aca="false">IF(M177="","",JrnPrefix&amp;"-"&amp;TEXT(WeekEnd,"yyyymmdd"))</f>
        <v/>
      </c>
      <c r="B177" s="58" t="str">
        <f aca="false">IF(M177="","",WeekEnd)</f>
        <v/>
      </c>
      <c r="C177" s="52" t="str">
        <f aca="false">IF(M177="","",171)</f>
        <v/>
      </c>
      <c r="D177" s="26" t="str">
        <f aca="false">IF(M177="","",IF(M177="S",IF(INDEX(acc_SumAcct,N177)=MileGL,"Mileage summary","Expense summary"),"Caregiver payable"))</f>
        <v/>
      </c>
      <c r="E177" s="40" t="str">
        <f aca="false">IF(M177="","",IF(M177="S",INDEX(acc_SumAcct,N177),APGL))</f>
        <v/>
      </c>
      <c r="F177" s="26" t="str">
        <f aca="false">IF(M177="","",IF(M177="S",INDEX(acc_SumName,N177),APGLName))</f>
        <v/>
      </c>
      <c r="G177" s="59" t="str">
        <f aca="false">IF(M177="","",IF(M177="S",INDEX(acc_SumAmt,N177),0))</f>
        <v/>
      </c>
      <c r="H177" s="59" t="str">
        <f aca="false">IF(M177="","",IF(M177="S",0,INDEX(in_Payable,N177)))</f>
        <v/>
      </c>
      <c r="I177" s="40" t="str">
        <f aca="false">IF(M177&lt;&gt;"P","",IFERROR(INDEX(cg_Vendor,MATCH(INDEX(in_CGID,N177),cg_ID,0)),""))</f>
        <v/>
      </c>
      <c r="J177" s="26" t="str">
        <f aca="false">IF(M177&lt;&gt;"P","",INDEX(in_CGName,N177))</f>
        <v/>
      </c>
      <c r="K177" s="26" t="str">
        <f aca="false">IF(M177&lt;&gt;"P","",IFERROR(INDEX(cl_Payer,MATCH(INDEX(in_ClientID,N177),cl_ID,0)),"Unassigned"))</f>
        <v/>
      </c>
      <c r="L177" s="26" t="str">
        <f aca="false">IF(M177="","",IF(M177="S","Weekly caregiver pay, week ending "&amp;TEXT(WeekEnd,"m/d/yyyy"),INDEX(in_Svc,N177)&amp;" "&amp;INDEX(in_ClientID,N177)&amp;", "&amp;INDEX(in_Units,N177)&amp;" units"&amp;IF(N(INDEX(in_Miles,N177))&gt;0,", "&amp;INDEX(in_Miles,N177)&amp;" miles","")))</f>
        <v/>
      </c>
      <c r="M177" s="60" t="str">
        <f aca="false">IF(171&gt;acc_TotalLines,"",IF(171&lt;=acc_SumLines,"S","P"))</f>
        <v/>
      </c>
      <c r="N177" s="42" t="str">
        <f aca="false">IF(M177="","",IF(M177="S",MATCH(171,acc_SumSeq,0),MATCH(171-acc_SumLines,in_Seq,0)))</f>
        <v/>
      </c>
    </row>
    <row r="178" customFormat="false" ht="15" hidden="false" customHeight="false" outlineLevel="0" collapsed="false">
      <c r="A178" s="26" t="str">
        <f aca="false">IF(M178="","",JrnPrefix&amp;"-"&amp;TEXT(WeekEnd,"yyyymmdd"))</f>
        <v/>
      </c>
      <c r="B178" s="58" t="str">
        <f aca="false">IF(M178="","",WeekEnd)</f>
        <v/>
      </c>
      <c r="C178" s="52" t="str">
        <f aca="false">IF(M178="","",172)</f>
        <v/>
      </c>
      <c r="D178" s="26" t="str">
        <f aca="false">IF(M178="","",IF(M178="S",IF(INDEX(acc_SumAcct,N178)=MileGL,"Mileage summary","Expense summary"),"Caregiver payable"))</f>
        <v/>
      </c>
      <c r="E178" s="40" t="str">
        <f aca="false">IF(M178="","",IF(M178="S",INDEX(acc_SumAcct,N178),APGL))</f>
        <v/>
      </c>
      <c r="F178" s="26" t="str">
        <f aca="false">IF(M178="","",IF(M178="S",INDEX(acc_SumName,N178),APGLName))</f>
        <v/>
      </c>
      <c r="G178" s="59" t="str">
        <f aca="false">IF(M178="","",IF(M178="S",INDEX(acc_SumAmt,N178),0))</f>
        <v/>
      </c>
      <c r="H178" s="59" t="str">
        <f aca="false">IF(M178="","",IF(M178="S",0,INDEX(in_Payable,N178)))</f>
        <v/>
      </c>
      <c r="I178" s="40" t="str">
        <f aca="false">IF(M178&lt;&gt;"P","",IFERROR(INDEX(cg_Vendor,MATCH(INDEX(in_CGID,N178),cg_ID,0)),""))</f>
        <v/>
      </c>
      <c r="J178" s="26" t="str">
        <f aca="false">IF(M178&lt;&gt;"P","",INDEX(in_CGName,N178))</f>
        <v/>
      </c>
      <c r="K178" s="26" t="str">
        <f aca="false">IF(M178&lt;&gt;"P","",IFERROR(INDEX(cl_Payer,MATCH(INDEX(in_ClientID,N178),cl_ID,0)),"Unassigned"))</f>
        <v/>
      </c>
      <c r="L178" s="26" t="str">
        <f aca="false">IF(M178="","",IF(M178="S","Weekly caregiver pay, week ending "&amp;TEXT(WeekEnd,"m/d/yyyy"),INDEX(in_Svc,N178)&amp;" "&amp;INDEX(in_ClientID,N178)&amp;", "&amp;INDEX(in_Units,N178)&amp;" units"&amp;IF(N(INDEX(in_Miles,N178))&gt;0,", "&amp;INDEX(in_Miles,N178)&amp;" miles","")))</f>
        <v/>
      </c>
      <c r="M178" s="60" t="str">
        <f aca="false">IF(172&gt;acc_TotalLines,"",IF(172&lt;=acc_SumLines,"S","P"))</f>
        <v/>
      </c>
      <c r="N178" s="42" t="str">
        <f aca="false">IF(M178="","",IF(M178="S",MATCH(172,acc_SumSeq,0),MATCH(172-acc_SumLines,in_Seq,0)))</f>
        <v/>
      </c>
    </row>
    <row r="179" customFormat="false" ht="15" hidden="false" customHeight="false" outlineLevel="0" collapsed="false">
      <c r="A179" s="26" t="str">
        <f aca="false">IF(M179="","",JrnPrefix&amp;"-"&amp;TEXT(WeekEnd,"yyyymmdd"))</f>
        <v/>
      </c>
      <c r="B179" s="58" t="str">
        <f aca="false">IF(M179="","",WeekEnd)</f>
        <v/>
      </c>
      <c r="C179" s="52" t="str">
        <f aca="false">IF(M179="","",173)</f>
        <v/>
      </c>
      <c r="D179" s="26" t="str">
        <f aca="false">IF(M179="","",IF(M179="S",IF(INDEX(acc_SumAcct,N179)=MileGL,"Mileage summary","Expense summary"),"Caregiver payable"))</f>
        <v/>
      </c>
      <c r="E179" s="40" t="str">
        <f aca="false">IF(M179="","",IF(M179="S",INDEX(acc_SumAcct,N179),APGL))</f>
        <v/>
      </c>
      <c r="F179" s="26" t="str">
        <f aca="false">IF(M179="","",IF(M179="S",INDEX(acc_SumName,N179),APGLName))</f>
        <v/>
      </c>
      <c r="G179" s="59" t="str">
        <f aca="false">IF(M179="","",IF(M179="S",INDEX(acc_SumAmt,N179),0))</f>
        <v/>
      </c>
      <c r="H179" s="59" t="str">
        <f aca="false">IF(M179="","",IF(M179="S",0,INDEX(in_Payable,N179)))</f>
        <v/>
      </c>
      <c r="I179" s="40" t="str">
        <f aca="false">IF(M179&lt;&gt;"P","",IFERROR(INDEX(cg_Vendor,MATCH(INDEX(in_CGID,N179),cg_ID,0)),""))</f>
        <v/>
      </c>
      <c r="J179" s="26" t="str">
        <f aca="false">IF(M179&lt;&gt;"P","",INDEX(in_CGName,N179))</f>
        <v/>
      </c>
      <c r="K179" s="26" t="str">
        <f aca="false">IF(M179&lt;&gt;"P","",IFERROR(INDEX(cl_Payer,MATCH(INDEX(in_ClientID,N179),cl_ID,0)),"Unassigned"))</f>
        <v/>
      </c>
      <c r="L179" s="26" t="str">
        <f aca="false">IF(M179="","",IF(M179="S","Weekly caregiver pay, week ending "&amp;TEXT(WeekEnd,"m/d/yyyy"),INDEX(in_Svc,N179)&amp;" "&amp;INDEX(in_ClientID,N179)&amp;", "&amp;INDEX(in_Units,N179)&amp;" units"&amp;IF(N(INDEX(in_Miles,N179))&gt;0,", "&amp;INDEX(in_Miles,N179)&amp;" miles","")))</f>
        <v/>
      </c>
      <c r="M179" s="60" t="str">
        <f aca="false">IF(173&gt;acc_TotalLines,"",IF(173&lt;=acc_SumLines,"S","P"))</f>
        <v/>
      </c>
      <c r="N179" s="42" t="str">
        <f aca="false">IF(M179="","",IF(M179="S",MATCH(173,acc_SumSeq,0),MATCH(173-acc_SumLines,in_Seq,0)))</f>
        <v/>
      </c>
    </row>
    <row r="180" customFormat="false" ht="15" hidden="false" customHeight="false" outlineLevel="0" collapsed="false">
      <c r="A180" s="26" t="str">
        <f aca="false">IF(M180="","",JrnPrefix&amp;"-"&amp;TEXT(WeekEnd,"yyyymmdd"))</f>
        <v/>
      </c>
      <c r="B180" s="58" t="str">
        <f aca="false">IF(M180="","",WeekEnd)</f>
        <v/>
      </c>
      <c r="C180" s="52" t="str">
        <f aca="false">IF(M180="","",174)</f>
        <v/>
      </c>
      <c r="D180" s="26" t="str">
        <f aca="false">IF(M180="","",IF(M180="S",IF(INDEX(acc_SumAcct,N180)=MileGL,"Mileage summary","Expense summary"),"Caregiver payable"))</f>
        <v/>
      </c>
      <c r="E180" s="40" t="str">
        <f aca="false">IF(M180="","",IF(M180="S",INDEX(acc_SumAcct,N180),APGL))</f>
        <v/>
      </c>
      <c r="F180" s="26" t="str">
        <f aca="false">IF(M180="","",IF(M180="S",INDEX(acc_SumName,N180),APGLName))</f>
        <v/>
      </c>
      <c r="G180" s="59" t="str">
        <f aca="false">IF(M180="","",IF(M180="S",INDEX(acc_SumAmt,N180),0))</f>
        <v/>
      </c>
      <c r="H180" s="59" t="str">
        <f aca="false">IF(M180="","",IF(M180="S",0,INDEX(in_Payable,N180)))</f>
        <v/>
      </c>
      <c r="I180" s="40" t="str">
        <f aca="false">IF(M180&lt;&gt;"P","",IFERROR(INDEX(cg_Vendor,MATCH(INDEX(in_CGID,N180),cg_ID,0)),""))</f>
        <v/>
      </c>
      <c r="J180" s="26" t="str">
        <f aca="false">IF(M180&lt;&gt;"P","",INDEX(in_CGName,N180))</f>
        <v/>
      </c>
      <c r="K180" s="26" t="str">
        <f aca="false">IF(M180&lt;&gt;"P","",IFERROR(INDEX(cl_Payer,MATCH(INDEX(in_ClientID,N180),cl_ID,0)),"Unassigned"))</f>
        <v/>
      </c>
      <c r="L180" s="26" t="str">
        <f aca="false">IF(M180="","",IF(M180="S","Weekly caregiver pay, week ending "&amp;TEXT(WeekEnd,"m/d/yyyy"),INDEX(in_Svc,N180)&amp;" "&amp;INDEX(in_ClientID,N180)&amp;", "&amp;INDEX(in_Units,N180)&amp;" units"&amp;IF(N(INDEX(in_Miles,N180))&gt;0,", "&amp;INDEX(in_Miles,N180)&amp;" miles","")))</f>
        <v/>
      </c>
      <c r="M180" s="60" t="str">
        <f aca="false">IF(174&gt;acc_TotalLines,"",IF(174&lt;=acc_SumLines,"S","P"))</f>
        <v/>
      </c>
      <c r="N180" s="42" t="str">
        <f aca="false">IF(M180="","",IF(M180="S",MATCH(174,acc_SumSeq,0),MATCH(174-acc_SumLines,in_Seq,0)))</f>
        <v/>
      </c>
    </row>
    <row r="181" customFormat="false" ht="15" hidden="false" customHeight="false" outlineLevel="0" collapsed="false">
      <c r="A181" s="26" t="str">
        <f aca="false">IF(M181="","",JrnPrefix&amp;"-"&amp;TEXT(WeekEnd,"yyyymmdd"))</f>
        <v/>
      </c>
      <c r="B181" s="58" t="str">
        <f aca="false">IF(M181="","",WeekEnd)</f>
        <v/>
      </c>
      <c r="C181" s="52" t="str">
        <f aca="false">IF(M181="","",175)</f>
        <v/>
      </c>
      <c r="D181" s="26" t="str">
        <f aca="false">IF(M181="","",IF(M181="S",IF(INDEX(acc_SumAcct,N181)=MileGL,"Mileage summary","Expense summary"),"Caregiver payable"))</f>
        <v/>
      </c>
      <c r="E181" s="40" t="str">
        <f aca="false">IF(M181="","",IF(M181="S",INDEX(acc_SumAcct,N181),APGL))</f>
        <v/>
      </c>
      <c r="F181" s="26" t="str">
        <f aca="false">IF(M181="","",IF(M181="S",INDEX(acc_SumName,N181),APGLName))</f>
        <v/>
      </c>
      <c r="G181" s="59" t="str">
        <f aca="false">IF(M181="","",IF(M181="S",INDEX(acc_SumAmt,N181),0))</f>
        <v/>
      </c>
      <c r="H181" s="59" t="str">
        <f aca="false">IF(M181="","",IF(M181="S",0,INDEX(in_Payable,N181)))</f>
        <v/>
      </c>
      <c r="I181" s="40" t="str">
        <f aca="false">IF(M181&lt;&gt;"P","",IFERROR(INDEX(cg_Vendor,MATCH(INDEX(in_CGID,N181),cg_ID,0)),""))</f>
        <v/>
      </c>
      <c r="J181" s="26" t="str">
        <f aca="false">IF(M181&lt;&gt;"P","",INDEX(in_CGName,N181))</f>
        <v/>
      </c>
      <c r="K181" s="26" t="str">
        <f aca="false">IF(M181&lt;&gt;"P","",IFERROR(INDEX(cl_Payer,MATCH(INDEX(in_ClientID,N181),cl_ID,0)),"Unassigned"))</f>
        <v/>
      </c>
      <c r="L181" s="26" t="str">
        <f aca="false">IF(M181="","",IF(M181="S","Weekly caregiver pay, week ending "&amp;TEXT(WeekEnd,"m/d/yyyy"),INDEX(in_Svc,N181)&amp;" "&amp;INDEX(in_ClientID,N181)&amp;", "&amp;INDEX(in_Units,N181)&amp;" units"&amp;IF(N(INDEX(in_Miles,N181))&gt;0,", "&amp;INDEX(in_Miles,N181)&amp;" miles","")))</f>
        <v/>
      </c>
      <c r="M181" s="60" t="str">
        <f aca="false">IF(175&gt;acc_TotalLines,"",IF(175&lt;=acc_SumLines,"S","P"))</f>
        <v/>
      </c>
      <c r="N181" s="42" t="str">
        <f aca="false">IF(M181="","",IF(M181="S",MATCH(175,acc_SumSeq,0),MATCH(175-acc_SumLines,in_Seq,0)))</f>
        <v/>
      </c>
    </row>
    <row r="182" customFormat="false" ht="15" hidden="false" customHeight="false" outlineLevel="0" collapsed="false">
      <c r="A182" s="26" t="str">
        <f aca="false">IF(M182="","",JrnPrefix&amp;"-"&amp;TEXT(WeekEnd,"yyyymmdd"))</f>
        <v/>
      </c>
      <c r="B182" s="58" t="str">
        <f aca="false">IF(M182="","",WeekEnd)</f>
        <v/>
      </c>
      <c r="C182" s="52" t="str">
        <f aca="false">IF(M182="","",176)</f>
        <v/>
      </c>
      <c r="D182" s="26" t="str">
        <f aca="false">IF(M182="","",IF(M182="S",IF(INDEX(acc_SumAcct,N182)=MileGL,"Mileage summary","Expense summary"),"Caregiver payable"))</f>
        <v/>
      </c>
      <c r="E182" s="40" t="str">
        <f aca="false">IF(M182="","",IF(M182="S",INDEX(acc_SumAcct,N182),APGL))</f>
        <v/>
      </c>
      <c r="F182" s="26" t="str">
        <f aca="false">IF(M182="","",IF(M182="S",INDEX(acc_SumName,N182),APGLName))</f>
        <v/>
      </c>
      <c r="G182" s="59" t="str">
        <f aca="false">IF(M182="","",IF(M182="S",INDEX(acc_SumAmt,N182),0))</f>
        <v/>
      </c>
      <c r="H182" s="59" t="str">
        <f aca="false">IF(M182="","",IF(M182="S",0,INDEX(in_Payable,N182)))</f>
        <v/>
      </c>
      <c r="I182" s="40" t="str">
        <f aca="false">IF(M182&lt;&gt;"P","",IFERROR(INDEX(cg_Vendor,MATCH(INDEX(in_CGID,N182),cg_ID,0)),""))</f>
        <v/>
      </c>
      <c r="J182" s="26" t="str">
        <f aca="false">IF(M182&lt;&gt;"P","",INDEX(in_CGName,N182))</f>
        <v/>
      </c>
      <c r="K182" s="26" t="str">
        <f aca="false">IF(M182&lt;&gt;"P","",IFERROR(INDEX(cl_Payer,MATCH(INDEX(in_ClientID,N182),cl_ID,0)),"Unassigned"))</f>
        <v/>
      </c>
      <c r="L182" s="26" t="str">
        <f aca="false">IF(M182="","",IF(M182="S","Weekly caregiver pay, week ending "&amp;TEXT(WeekEnd,"m/d/yyyy"),INDEX(in_Svc,N182)&amp;" "&amp;INDEX(in_ClientID,N182)&amp;", "&amp;INDEX(in_Units,N182)&amp;" units"&amp;IF(N(INDEX(in_Miles,N182))&gt;0,", "&amp;INDEX(in_Miles,N182)&amp;" miles","")))</f>
        <v/>
      </c>
      <c r="M182" s="60" t="str">
        <f aca="false">IF(176&gt;acc_TotalLines,"",IF(176&lt;=acc_SumLines,"S","P"))</f>
        <v/>
      </c>
      <c r="N182" s="42" t="str">
        <f aca="false">IF(M182="","",IF(M182="S",MATCH(176,acc_SumSeq,0),MATCH(176-acc_SumLines,in_Seq,0)))</f>
        <v/>
      </c>
    </row>
    <row r="183" customFormat="false" ht="15" hidden="false" customHeight="false" outlineLevel="0" collapsed="false">
      <c r="A183" s="26" t="str">
        <f aca="false">IF(M183="","",JrnPrefix&amp;"-"&amp;TEXT(WeekEnd,"yyyymmdd"))</f>
        <v/>
      </c>
      <c r="B183" s="58" t="str">
        <f aca="false">IF(M183="","",WeekEnd)</f>
        <v/>
      </c>
      <c r="C183" s="52" t="str">
        <f aca="false">IF(M183="","",177)</f>
        <v/>
      </c>
      <c r="D183" s="26" t="str">
        <f aca="false">IF(M183="","",IF(M183="S",IF(INDEX(acc_SumAcct,N183)=MileGL,"Mileage summary","Expense summary"),"Caregiver payable"))</f>
        <v/>
      </c>
      <c r="E183" s="40" t="str">
        <f aca="false">IF(M183="","",IF(M183="S",INDEX(acc_SumAcct,N183),APGL))</f>
        <v/>
      </c>
      <c r="F183" s="26" t="str">
        <f aca="false">IF(M183="","",IF(M183="S",INDEX(acc_SumName,N183),APGLName))</f>
        <v/>
      </c>
      <c r="G183" s="59" t="str">
        <f aca="false">IF(M183="","",IF(M183="S",INDEX(acc_SumAmt,N183),0))</f>
        <v/>
      </c>
      <c r="H183" s="59" t="str">
        <f aca="false">IF(M183="","",IF(M183="S",0,INDEX(in_Payable,N183)))</f>
        <v/>
      </c>
      <c r="I183" s="40" t="str">
        <f aca="false">IF(M183&lt;&gt;"P","",IFERROR(INDEX(cg_Vendor,MATCH(INDEX(in_CGID,N183),cg_ID,0)),""))</f>
        <v/>
      </c>
      <c r="J183" s="26" t="str">
        <f aca="false">IF(M183&lt;&gt;"P","",INDEX(in_CGName,N183))</f>
        <v/>
      </c>
      <c r="K183" s="26" t="str">
        <f aca="false">IF(M183&lt;&gt;"P","",IFERROR(INDEX(cl_Payer,MATCH(INDEX(in_ClientID,N183),cl_ID,0)),"Unassigned"))</f>
        <v/>
      </c>
      <c r="L183" s="26" t="str">
        <f aca="false">IF(M183="","",IF(M183="S","Weekly caregiver pay, week ending "&amp;TEXT(WeekEnd,"m/d/yyyy"),INDEX(in_Svc,N183)&amp;" "&amp;INDEX(in_ClientID,N183)&amp;", "&amp;INDEX(in_Units,N183)&amp;" units"&amp;IF(N(INDEX(in_Miles,N183))&gt;0,", "&amp;INDEX(in_Miles,N183)&amp;" miles","")))</f>
        <v/>
      </c>
      <c r="M183" s="60" t="str">
        <f aca="false">IF(177&gt;acc_TotalLines,"",IF(177&lt;=acc_SumLines,"S","P"))</f>
        <v/>
      </c>
      <c r="N183" s="42" t="str">
        <f aca="false">IF(M183="","",IF(M183="S",MATCH(177,acc_SumSeq,0),MATCH(177-acc_SumLines,in_Seq,0)))</f>
        <v/>
      </c>
    </row>
    <row r="184" customFormat="false" ht="15" hidden="false" customHeight="false" outlineLevel="0" collapsed="false">
      <c r="A184" s="26" t="str">
        <f aca="false">IF(M184="","",JrnPrefix&amp;"-"&amp;TEXT(WeekEnd,"yyyymmdd"))</f>
        <v/>
      </c>
      <c r="B184" s="58" t="str">
        <f aca="false">IF(M184="","",WeekEnd)</f>
        <v/>
      </c>
      <c r="C184" s="52" t="str">
        <f aca="false">IF(M184="","",178)</f>
        <v/>
      </c>
      <c r="D184" s="26" t="str">
        <f aca="false">IF(M184="","",IF(M184="S",IF(INDEX(acc_SumAcct,N184)=MileGL,"Mileage summary","Expense summary"),"Caregiver payable"))</f>
        <v/>
      </c>
      <c r="E184" s="40" t="str">
        <f aca="false">IF(M184="","",IF(M184="S",INDEX(acc_SumAcct,N184),APGL))</f>
        <v/>
      </c>
      <c r="F184" s="26" t="str">
        <f aca="false">IF(M184="","",IF(M184="S",INDEX(acc_SumName,N184),APGLName))</f>
        <v/>
      </c>
      <c r="G184" s="59" t="str">
        <f aca="false">IF(M184="","",IF(M184="S",INDEX(acc_SumAmt,N184),0))</f>
        <v/>
      </c>
      <c r="H184" s="59" t="str">
        <f aca="false">IF(M184="","",IF(M184="S",0,INDEX(in_Payable,N184)))</f>
        <v/>
      </c>
      <c r="I184" s="40" t="str">
        <f aca="false">IF(M184&lt;&gt;"P","",IFERROR(INDEX(cg_Vendor,MATCH(INDEX(in_CGID,N184),cg_ID,0)),""))</f>
        <v/>
      </c>
      <c r="J184" s="26" t="str">
        <f aca="false">IF(M184&lt;&gt;"P","",INDEX(in_CGName,N184))</f>
        <v/>
      </c>
      <c r="K184" s="26" t="str">
        <f aca="false">IF(M184&lt;&gt;"P","",IFERROR(INDEX(cl_Payer,MATCH(INDEX(in_ClientID,N184),cl_ID,0)),"Unassigned"))</f>
        <v/>
      </c>
      <c r="L184" s="26" t="str">
        <f aca="false">IF(M184="","",IF(M184="S","Weekly caregiver pay, week ending "&amp;TEXT(WeekEnd,"m/d/yyyy"),INDEX(in_Svc,N184)&amp;" "&amp;INDEX(in_ClientID,N184)&amp;", "&amp;INDEX(in_Units,N184)&amp;" units"&amp;IF(N(INDEX(in_Miles,N184))&gt;0,", "&amp;INDEX(in_Miles,N184)&amp;" miles","")))</f>
        <v/>
      </c>
      <c r="M184" s="60" t="str">
        <f aca="false">IF(178&gt;acc_TotalLines,"",IF(178&lt;=acc_SumLines,"S","P"))</f>
        <v/>
      </c>
      <c r="N184" s="42" t="str">
        <f aca="false">IF(M184="","",IF(M184="S",MATCH(178,acc_SumSeq,0),MATCH(178-acc_SumLines,in_Seq,0)))</f>
        <v/>
      </c>
    </row>
    <row r="185" customFormat="false" ht="15" hidden="false" customHeight="false" outlineLevel="0" collapsed="false">
      <c r="A185" s="26" t="str">
        <f aca="false">IF(M185="","",JrnPrefix&amp;"-"&amp;TEXT(WeekEnd,"yyyymmdd"))</f>
        <v/>
      </c>
      <c r="B185" s="58" t="str">
        <f aca="false">IF(M185="","",WeekEnd)</f>
        <v/>
      </c>
      <c r="C185" s="52" t="str">
        <f aca="false">IF(M185="","",179)</f>
        <v/>
      </c>
      <c r="D185" s="26" t="str">
        <f aca="false">IF(M185="","",IF(M185="S",IF(INDEX(acc_SumAcct,N185)=MileGL,"Mileage summary","Expense summary"),"Caregiver payable"))</f>
        <v/>
      </c>
      <c r="E185" s="40" t="str">
        <f aca="false">IF(M185="","",IF(M185="S",INDEX(acc_SumAcct,N185),APGL))</f>
        <v/>
      </c>
      <c r="F185" s="26" t="str">
        <f aca="false">IF(M185="","",IF(M185="S",INDEX(acc_SumName,N185),APGLName))</f>
        <v/>
      </c>
      <c r="G185" s="59" t="str">
        <f aca="false">IF(M185="","",IF(M185="S",INDEX(acc_SumAmt,N185),0))</f>
        <v/>
      </c>
      <c r="H185" s="59" t="str">
        <f aca="false">IF(M185="","",IF(M185="S",0,INDEX(in_Payable,N185)))</f>
        <v/>
      </c>
      <c r="I185" s="40" t="str">
        <f aca="false">IF(M185&lt;&gt;"P","",IFERROR(INDEX(cg_Vendor,MATCH(INDEX(in_CGID,N185),cg_ID,0)),""))</f>
        <v/>
      </c>
      <c r="J185" s="26" t="str">
        <f aca="false">IF(M185&lt;&gt;"P","",INDEX(in_CGName,N185))</f>
        <v/>
      </c>
      <c r="K185" s="26" t="str">
        <f aca="false">IF(M185&lt;&gt;"P","",IFERROR(INDEX(cl_Payer,MATCH(INDEX(in_ClientID,N185),cl_ID,0)),"Unassigned"))</f>
        <v/>
      </c>
      <c r="L185" s="26" t="str">
        <f aca="false">IF(M185="","",IF(M185="S","Weekly caregiver pay, week ending "&amp;TEXT(WeekEnd,"m/d/yyyy"),INDEX(in_Svc,N185)&amp;" "&amp;INDEX(in_ClientID,N185)&amp;", "&amp;INDEX(in_Units,N185)&amp;" units"&amp;IF(N(INDEX(in_Miles,N185))&gt;0,", "&amp;INDEX(in_Miles,N185)&amp;" miles","")))</f>
        <v/>
      </c>
      <c r="M185" s="60" t="str">
        <f aca="false">IF(179&gt;acc_TotalLines,"",IF(179&lt;=acc_SumLines,"S","P"))</f>
        <v/>
      </c>
      <c r="N185" s="42" t="str">
        <f aca="false">IF(M185="","",IF(M185="S",MATCH(179,acc_SumSeq,0),MATCH(179-acc_SumLines,in_Seq,0)))</f>
        <v/>
      </c>
    </row>
    <row r="186" customFormat="false" ht="15" hidden="false" customHeight="false" outlineLevel="0" collapsed="false">
      <c r="A186" s="26" t="str">
        <f aca="false">IF(M186="","",JrnPrefix&amp;"-"&amp;TEXT(WeekEnd,"yyyymmdd"))</f>
        <v/>
      </c>
      <c r="B186" s="58" t="str">
        <f aca="false">IF(M186="","",WeekEnd)</f>
        <v/>
      </c>
      <c r="C186" s="52" t="str">
        <f aca="false">IF(M186="","",180)</f>
        <v/>
      </c>
      <c r="D186" s="26" t="str">
        <f aca="false">IF(M186="","",IF(M186="S",IF(INDEX(acc_SumAcct,N186)=MileGL,"Mileage summary","Expense summary"),"Caregiver payable"))</f>
        <v/>
      </c>
      <c r="E186" s="40" t="str">
        <f aca="false">IF(M186="","",IF(M186="S",INDEX(acc_SumAcct,N186),APGL))</f>
        <v/>
      </c>
      <c r="F186" s="26" t="str">
        <f aca="false">IF(M186="","",IF(M186="S",INDEX(acc_SumName,N186),APGLName))</f>
        <v/>
      </c>
      <c r="G186" s="59" t="str">
        <f aca="false">IF(M186="","",IF(M186="S",INDEX(acc_SumAmt,N186),0))</f>
        <v/>
      </c>
      <c r="H186" s="59" t="str">
        <f aca="false">IF(M186="","",IF(M186="S",0,INDEX(in_Payable,N186)))</f>
        <v/>
      </c>
      <c r="I186" s="40" t="str">
        <f aca="false">IF(M186&lt;&gt;"P","",IFERROR(INDEX(cg_Vendor,MATCH(INDEX(in_CGID,N186),cg_ID,0)),""))</f>
        <v/>
      </c>
      <c r="J186" s="26" t="str">
        <f aca="false">IF(M186&lt;&gt;"P","",INDEX(in_CGName,N186))</f>
        <v/>
      </c>
      <c r="K186" s="26" t="str">
        <f aca="false">IF(M186&lt;&gt;"P","",IFERROR(INDEX(cl_Payer,MATCH(INDEX(in_ClientID,N186),cl_ID,0)),"Unassigned"))</f>
        <v/>
      </c>
      <c r="L186" s="26" t="str">
        <f aca="false">IF(M186="","",IF(M186="S","Weekly caregiver pay, week ending "&amp;TEXT(WeekEnd,"m/d/yyyy"),INDEX(in_Svc,N186)&amp;" "&amp;INDEX(in_ClientID,N186)&amp;", "&amp;INDEX(in_Units,N186)&amp;" units"&amp;IF(N(INDEX(in_Miles,N186))&gt;0,", "&amp;INDEX(in_Miles,N186)&amp;" miles","")))</f>
        <v/>
      </c>
      <c r="M186" s="60" t="str">
        <f aca="false">IF(180&gt;acc_TotalLines,"",IF(180&lt;=acc_SumLines,"S","P"))</f>
        <v/>
      </c>
      <c r="N186" s="42" t="str">
        <f aca="false">IF(M186="","",IF(M186="S",MATCH(180,acc_SumSeq,0),MATCH(180-acc_SumLines,in_Seq,0)))</f>
        <v/>
      </c>
    </row>
    <row r="187" customFormat="false" ht="15" hidden="false" customHeight="false" outlineLevel="0" collapsed="false">
      <c r="A187" s="26" t="str">
        <f aca="false">IF(M187="","",JrnPrefix&amp;"-"&amp;TEXT(WeekEnd,"yyyymmdd"))</f>
        <v/>
      </c>
      <c r="B187" s="58" t="str">
        <f aca="false">IF(M187="","",WeekEnd)</f>
        <v/>
      </c>
      <c r="C187" s="52" t="str">
        <f aca="false">IF(M187="","",181)</f>
        <v/>
      </c>
      <c r="D187" s="26" t="str">
        <f aca="false">IF(M187="","",IF(M187="S",IF(INDEX(acc_SumAcct,N187)=MileGL,"Mileage summary","Expense summary"),"Caregiver payable"))</f>
        <v/>
      </c>
      <c r="E187" s="40" t="str">
        <f aca="false">IF(M187="","",IF(M187="S",INDEX(acc_SumAcct,N187),APGL))</f>
        <v/>
      </c>
      <c r="F187" s="26" t="str">
        <f aca="false">IF(M187="","",IF(M187="S",INDEX(acc_SumName,N187),APGLName))</f>
        <v/>
      </c>
      <c r="G187" s="59" t="str">
        <f aca="false">IF(M187="","",IF(M187="S",INDEX(acc_SumAmt,N187),0))</f>
        <v/>
      </c>
      <c r="H187" s="59" t="str">
        <f aca="false">IF(M187="","",IF(M187="S",0,INDEX(in_Payable,N187)))</f>
        <v/>
      </c>
      <c r="I187" s="40" t="str">
        <f aca="false">IF(M187&lt;&gt;"P","",IFERROR(INDEX(cg_Vendor,MATCH(INDEX(in_CGID,N187),cg_ID,0)),""))</f>
        <v/>
      </c>
      <c r="J187" s="26" t="str">
        <f aca="false">IF(M187&lt;&gt;"P","",INDEX(in_CGName,N187))</f>
        <v/>
      </c>
      <c r="K187" s="26" t="str">
        <f aca="false">IF(M187&lt;&gt;"P","",IFERROR(INDEX(cl_Payer,MATCH(INDEX(in_ClientID,N187),cl_ID,0)),"Unassigned"))</f>
        <v/>
      </c>
      <c r="L187" s="26" t="str">
        <f aca="false">IF(M187="","",IF(M187="S","Weekly caregiver pay, week ending "&amp;TEXT(WeekEnd,"m/d/yyyy"),INDEX(in_Svc,N187)&amp;" "&amp;INDEX(in_ClientID,N187)&amp;", "&amp;INDEX(in_Units,N187)&amp;" units"&amp;IF(N(INDEX(in_Miles,N187))&gt;0,", "&amp;INDEX(in_Miles,N187)&amp;" miles","")))</f>
        <v/>
      </c>
      <c r="M187" s="60" t="str">
        <f aca="false">IF(181&gt;acc_TotalLines,"",IF(181&lt;=acc_SumLines,"S","P"))</f>
        <v/>
      </c>
      <c r="N187" s="42" t="str">
        <f aca="false">IF(M187="","",IF(M187="S",MATCH(181,acc_SumSeq,0),MATCH(181-acc_SumLines,in_Seq,0)))</f>
        <v/>
      </c>
    </row>
    <row r="188" customFormat="false" ht="15" hidden="false" customHeight="false" outlineLevel="0" collapsed="false">
      <c r="A188" s="26" t="str">
        <f aca="false">IF(M188="","",JrnPrefix&amp;"-"&amp;TEXT(WeekEnd,"yyyymmdd"))</f>
        <v/>
      </c>
      <c r="B188" s="58" t="str">
        <f aca="false">IF(M188="","",WeekEnd)</f>
        <v/>
      </c>
      <c r="C188" s="52" t="str">
        <f aca="false">IF(M188="","",182)</f>
        <v/>
      </c>
      <c r="D188" s="26" t="str">
        <f aca="false">IF(M188="","",IF(M188="S",IF(INDEX(acc_SumAcct,N188)=MileGL,"Mileage summary","Expense summary"),"Caregiver payable"))</f>
        <v/>
      </c>
      <c r="E188" s="40" t="str">
        <f aca="false">IF(M188="","",IF(M188="S",INDEX(acc_SumAcct,N188),APGL))</f>
        <v/>
      </c>
      <c r="F188" s="26" t="str">
        <f aca="false">IF(M188="","",IF(M188="S",INDEX(acc_SumName,N188),APGLName))</f>
        <v/>
      </c>
      <c r="G188" s="59" t="str">
        <f aca="false">IF(M188="","",IF(M188="S",INDEX(acc_SumAmt,N188),0))</f>
        <v/>
      </c>
      <c r="H188" s="59" t="str">
        <f aca="false">IF(M188="","",IF(M188="S",0,INDEX(in_Payable,N188)))</f>
        <v/>
      </c>
      <c r="I188" s="40" t="str">
        <f aca="false">IF(M188&lt;&gt;"P","",IFERROR(INDEX(cg_Vendor,MATCH(INDEX(in_CGID,N188),cg_ID,0)),""))</f>
        <v/>
      </c>
      <c r="J188" s="26" t="str">
        <f aca="false">IF(M188&lt;&gt;"P","",INDEX(in_CGName,N188))</f>
        <v/>
      </c>
      <c r="K188" s="26" t="str">
        <f aca="false">IF(M188&lt;&gt;"P","",IFERROR(INDEX(cl_Payer,MATCH(INDEX(in_ClientID,N188),cl_ID,0)),"Unassigned"))</f>
        <v/>
      </c>
      <c r="L188" s="26" t="str">
        <f aca="false">IF(M188="","",IF(M188="S","Weekly caregiver pay, week ending "&amp;TEXT(WeekEnd,"m/d/yyyy"),INDEX(in_Svc,N188)&amp;" "&amp;INDEX(in_ClientID,N188)&amp;", "&amp;INDEX(in_Units,N188)&amp;" units"&amp;IF(N(INDEX(in_Miles,N188))&gt;0,", "&amp;INDEX(in_Miles,N188)&amp;" miles","")))</f>
        <v/>
      </c>
      <c r="M188" s="60" t="str">
        <f aca="false">IF(182&gt;acc_TotalLines,"",IF(182&lt;=acc_SumLines,"S","P"))</f>
        <v/>
      </c>
      <c r="N188" s="42" t="str">
        <f aca="false">IF(M188="","",IF(M188="S",MATCH(182,acc_SumSeq,0),MATCH(182-acc_SumLines,in_Seq,0)))</f>
        <v/>
      </c>
    </row>
    <row r="189" customFormat="false" ht="15" hidden="false" customHeight="false" outlineLevel="0" collapsed="false">
      <c r="A189" s="26" t="str">
        <f aca="false">IF(M189="","",JrnPrefix&amp;"-"&amp;TEXT(WeekEnd,"yyyymmdd"))</f>
        <v/>
      </c>
      <c r="B189" s="58" t="str">
        <f aca="false">IF(M189="","",WeekEnd)</f>
        <v/>
      </c>
      <c r="C189" s="52" t="str">
        <f aca="false">IF(M189="","",183)</f>
        <v/>
      </c>
      <c r="D189" s="26" t="str">
        <f aca="false">IF(M189="","",IF(M189="S",IF(INDEX(acc_SumAcct,N189)=MileGL,"Mileage summary","Expense summary"),"Caregiver payable"))</f>
        <v/>
      </c>
      <c r="E189" s="40" t="str">
        <f aca="false">IF(M189="","",IF(M189="S",INDEX(acc_SumAcct,N189),APGL))</f>
        <v/>
      </c>
      <c r="F189" s="26" t="str">
        <f aca="false">IF(M189="","",IF(M189="S",INDEX(acc_SumName,N189),APGLName))</f>
        <v/>
      </c>
      <c r="G189" s="59" t="str">
        <f aca="false">IF(M189="","",IF(M189="S",INDEX(acc_SumAmt,N189),0))</f>
        <v/>
      </c>
      <c r="H189" s="59" t="str">
        <f aca="false">IF(M189="","",IF(M189="S",0,INDEX(in_Payable,N189)))</f>
        <v/>
      </c>
      <c r="I189" s="40" t="str">
        <f aca="false">IF(M189&lt;&gt;"P","",IFERROR(INDEX(cg_Vendor,MATCH(INDEX(in_CGID,N189),cg_ID,0)),""))</f>
        <v/>
      </c>
      <c r="J189" s="26" t="str">
        <f aca="false">IF(M189&lt;&gt;"P","",INDEX(in_CGName,N189))</f>
        <v/>
      </c>
      <c r="K189" s="26" t="str">
        <f aca="false">IF(M189&lt;&gt;"P","",IFERROR(INDEX(cl_Payer,MATCH(INDEX(in_ClientID,N189),cl_ID,0)),"Unassigned"))</f>
        <v/>
      </c>
      <c r="L189" s="26" t="str">
        <f aca="false">IF(M189="","",IF(M189="S","Weekly caregiver pay, week ending "&amp;TEXT(WeekEnd,"m/d/yyyy"),INDEX(in_Svc,N189)&amp;" "&amp;INDEX(in_ClientID,N189)&amp;", "&amp;INDEX(in_Units,N189)&amp;" units"&amp;IF(N(INDEX(in_Miles,N189))&gt;0,", "&amp;INDEX(in_Miles,N189)&amp;" miles","")))</f>
        <v/>
      </c>
      <c r="M189" s="60" t="str">
        <f aca="false">IF(183&gt;acc_TotalLines,"",IF(183&lt;=acc_SumLines,"S","P"))</f>
        <v/>
      </c>
      <c r="N189" s="42" t="str">
        <f aca="false">IF(M189="","",IF(M189="S",MATCH(183,acc_SumSeq,0),MATCH(183-acc_SumLines,in_Seq,0)))</f>
        <v/>
      </c>
    </row>
    <row r="190" customFormat="false" ht="15" hidden="false" customHeight="false" outlineLevel="0" collapsed="false">
      <c r="A190" s="26" t="str">
        <f aca="false">IF(M190="","",JrnPrefix&amp;"-"&amp;TEXT(WeekEnd,"yyyymmdd"))</f>
        <v/>
      </c>
      <c r="B190" s="58" t="str">
        <f aca="false">IF(M190="","",WeekEnd)</f>
        <v/>
      </c>
      <c r="C190" s="52" t="str">
        <f aca="false">IF(M190="","",184)</f>
        <v/>
      </c>
      <c r="D190" s="26" t="str">
        <f aca="false">IF(M190="","",IF(M190="S",IF(INDEX(acc_SumAcct,N190)=MileGL,"Mileage summary","Expense summary"),"Caregiver payable"))</f>
        <v/>
      </c>
      <c r="E190" s="40" t="str">
        <f aca="false">IF(M190="","",IF(M190="S",INDEX(acc_SumAcct,N190),APGL))</f>
        <v/>
      </c>
      <c r="F190" s="26" t="str">
        <f aca="false">IF(M190="","",IF(M190="S",INDEX(acc_SumName,N190),APGLName))</f>
        <v/>
      </c>
      <c r="G190" s="59" t="str">
        <f aca="false">IF(M190="","",IF(M190="S",INDEX(acc_SumAmt,N190),0))</f>
        <v/>
      </c>
      <c r="H190" s="59" t="str">
        <f aca="false">IF(M190="","",IF(M190="S",0,INDEX(in_Payable,N190)))</f>
        <v/>
      </c>
      <c r="I190" s="40" t="str">
        <f aca="false">IF(M190&lt;&gt;"P","",IFERROR(INDEX(cg_Vendor,MATCH(INDEX(in_CGID,N190),cg_ID,0)),""))</f>
        <v/>
      </c>
      <c r="J190" s="26" t="str">
        <f aca="false">IF(M190&lt;&gt;"P","",INDEX(in_CGName,N190))</f>
        <v/>
      </c>
      <c r="K190" s="26" t="str">
        <f aca="false">IF(M190&lt;&gt;"P","",IFERROR(INDEX(cl_Payer,MATCH(INDEX(in_ClientID,N190),cl_ID,0)),"Unassigned"))</f>
        <v/>
      </c>
      <c r="L190" s="26" t="str">
        <f aca="false">IF(M190="","",IF(M190="S","Weekly caregiver pay, week ending "&amp;TEXT(WeekEnd,"m/d/yyyy"),INDEX(in_Svc,N190)&amp;" "&amp;INDEX(in_ClientID,N190)&amp;", "&amp;INDEX(in_Units,N190)&amp;" units"&amp;IF(N(INDEX(in_Miles,N190))&gt;0,", "&amp;INDEX(in_Miles,N190)&amp;" miles","")))</f>
        <v/>
      </c>
      <c r="M190" s="60" t="str">
        <f aca="false">IF(184&gt;acc_TotalLines,"",IF(184&lt;=acc_SumLines,"S","P"))</f>
        <v/>
      </c>
      <c r="N190" s="42" t="str">
        <f aca="false">IF(M190="","",IF(M190="S",MATCH(184,acc_SumSeq,0),MATCH(184-acc_SumLines,in_Seq,0)))</f>
        <v/>
      </c>
    </row>
    <row r="191" customFormat="false" ht="15" hidden="false" customHeight="false" outlineLevel="0" collapsed="false">
      <c r="A191" s="26" t="str">
        <f aca="false">IF(M191="","",JrnPrefix&amp;"-"&amp;TEXT(WeekEnd,"yyyymmdd"))</f>
        <v/>
      </c>
      <c r="B191" s="58" t="str">
        <f aca="false">IF(M191="","",WeekEnd)</f>
        <v/>
      </c>
      <c r="C191" s="52" t="str">
        <f aca="false">IF(M191="","",185)</f>
        <v/>
      </c>
      <c r="D191" s="26" t="str">
        <f aca="false">IF(M191="","",IF(M191="S",IF(INDEX(acc_SumAcct,N191)=MileGL,"Mileage summary","Expense summary"),"Caregiver payable"))</f>
        <v/>
      </c>
      <c r="E191" s="40" t="str">
        <f aca="false">IF(M191="","",IF(M191="S",INDEX(acc_SumAcct,N191),APGL))</f>
        <v/>
      </c>
      <c r="F191" s="26" t="str">
        <f aca="false">IF(M191="","",IF(M191="S",INDEX(acc_SumName,N191),APGLName))</f>
        <v/>
      </c>
      <c r="G191" s="59" t="str">
        <f aca="false">IF(M191="","",IF(M191="S",INDEX(acc_SumAmt,N191),0))</f>
        <v/>
      </c>
      <c r="H191" s="59" t="str">
        <f aca="false">IF(M191="","",IF(M191="S",0,INDEX(in_Payable,N191)))</f>
        <v/>
      </c>
      <c r="I191" s="40" t="str">
        <f aca="false">IF(M191&lt;&gt;"P","",IFERROR(INDEX(cg_Vendor,MATCH(INDEX(in_CGID,N191),cg_ID,0)),""))</f>
        <v/>
      </c>
      <c r="J191" s="26" t="str">
        <f aca="false">IF(M191&lt;&gt;"P","",INDEX(in_CGName,N191))</f>
        <v/>
      </c>
      <c r="K191" s="26" t="str">
        <f aca="false">IF(M191&lt;&gt;"P","",IFERROR(INDEX(cl_Payer,MATCH(INDEX(in_ClientID,N191),cl_ID,0)),"Unassigned"))</f>
        <v/>
      </c>
      <c r="L191" s="26" t="str">
        <f aca="false">IF(M191="","",IF(M191="S","Weekly caregiver pay, week ending "&amp;TEXT(WeekEnd,"m/d/yyyy"),INDEX(in_Svc,N191)&amp;" "&amp;INDEX(in_ClientID,N191)&amp;", "&amp;INDEX(in_Units,N191)&amp;" units"&amp;IF(N(INDEX(in_Miles,N191))&gt;0,", "&amp;INDEX(in_Miles,N191)&amp;" miles","")))</f>
        <v/>
      </c>
      <c r="M191" s="60" t="str">
        <f aca="false">IF(185&gt;acc_TotalLines,"",IF(185&lt;=acc_SumLines,"S","P"))</f>
        <v/>
      </c>
      <c r="N191" s="42" t="str">
        <f aca="false">IF(M191="","",IF(M191="S",MATCH(185,acc_SumSeq,0),MATCH(185-acc_SumLines,in_Seq,0)))</f>
        <v/>
      </c>
    </row>
    <row r="192" customFormat="false" ht="15" hidden="false" customHeight="false" outlineLevel="0" collapsed="false">
      <c r="A192" s="26" t="str">
        <f aca="false">IF(M192="","",JrnPrefix&amp;"-"&amp;TEXT(WeekEnd,"yyyymmdd"))</f>
        <v/>
      </c>
      <c r="B192" s="58" t="str">
        <f aca="false">IF(M192="","",WeekEnd)</f>
        <v/>
      </c>
      <c r="C192" s="52" t="str">
        <f aca="false">IF(M192="","",186)</f>
        <v/>
      </c>
      <c r="D192" s="26" t="str">
        <f aca="false">IF(M192="","",IF(M192="S",IF(INDEX(acc_SumAcct,N192)=MileGL,"Mileage summary","Expense summary"),"Caregiver payable"))</f>
        <v/>
      </c>
      <c r="E192" s="40" t="str">
        <f aca="false">IF(M192="","",IF(M192="S",INDEX(acc_SumAcct,N192),APGL))</f>
        <v/>
      </c>
      <c r="F192" s="26" t="str">
        <f aca="false">IF(M192="","",IF(M192="S",INDEX(acc_SumName,N192),APGLName))</f>
        <v/>
      </c>
      <c r="G192" s="59" t="str">
        <f aca="false">IF(M192="","",IF(M192="S",INDEX(acc_SumAmt,N192),0))</f>
        <v/>
      </c>
      <c r="H192" s="59" t="str">
        <f aca="false">IF(M192="","",IF(M192="S",0,INDEX(in_Payable,N192)))</f>
        <v/>
      </c>
      <c r="I192" s="40" t="str">
        <f aca="false">IF(M192&lt;&gt;"P","",IFERROR(INDEX(cg_Vendor,MATCH(INDEX(in_CGID,N192),cg_ID,0)),""))</f>
        <v/>
      </c>
      <c r="J192" s="26" t="str">
        <f aca="false">IF(M192&lt;&gt;"P","",INDEX(in_CGName,N192))</f>
        <v/>
      </c>
      <c r="K192" s="26" t="str">
        <f aca="false">IF(M192&lt;&gt;"P","",IFERROR(INDEX(cl_Payer,MATCH(INDEX(in_ClientID,N192),cl_ID,0)),"Unassigned"))</f>
        <v/>
      </c>
      <c r="L192" s="26" t="str">
        <f aca="false">IF(M192="","",IF(M192="S","Weekly caregiver pay, week ending "&amp;TEXT(WeekEnd,"m/d/yyyy"),INDEX(in_Svc,N192)&amp;" "&amp;INDEX(in_ClientID,N192)&amp;", "&amp;INDEX(in_Units,N192)&amp;" units"&amp;IF(N(INDEX(in_Miles,N192))&gt;0,", "&amp;INDEX(in_Miles,N192)&amp;" miles","")))</f>
        <v/>
      </c>
      <c r="M192" s="60" t="str">
        <f aca="false">IF(186&gt;acc_TotalLines,"",IF(186&lt;=acc_SumLines,"S","P"))</f>
        <v/>
      </c>
      <c r="N192" s="42" t="str">
        <f aca="false">IF(M192="","",IF(M192="S",MATCH(186,acc_SumSeq,0),MATCH(186-acc_SumLines,in_Seq,0)))</f>
        <v/>
      </c>
    </row>
    <row r="193" customFormat="false" ht="15" hidden="false" customHeight="false" outlineLevel="0" collapsed="false">
      <c r="A193" s="26" t="str">
        <f aca="false">IF(M193="","",JrnPrefix&amp;"-"&amp;TEXT(WeekEnd,"yyyymmdd"))</f>
        <v/>
      </c>
      <c r="B193" s="58" t="str">
        <f aca="false">IF(M193="","",WeekEnd)</f>
        <v/>
      </c>
      <c r="C193" s="52" t="str">
        <f aca="false">IF(M193="","",187)</f>
        <v/>
      </c>
      <c r="D193" s="26" t="str">
        <f aca="false">IF(M193="","",IF(M193="S",IF(INDEX(acc_SumAcct,N193)=MileGL,"Mileage summary","Expense summary"),"Caregiver payable"))</f>
        <v/>
      </c>
      <c r="E193" s="40" t="str">
        <f aca="false">IF(M193="","",IF(M193="S",INDEX(acc_SumAcct,N193),APGL))</f>
        <v/>
      </c>
      <c r="F193" s="26" t="str">
        <f aca="false">IF(M193="","",IF(M193="S",INDEX(acc_SumName,N193),APGLName))</f>
        <v/>
      </c>
      <c r="G193" s="59" t="str">
        <f aca="false">IF(M193="","",IF(M193="S",INDEX(acc_SumAmt,N193),0))</f>
        <v/>
      </c>
      <c r="H193" s="59" t="str">
        <f aca="false">IF(M193="","",IF(M193="S",0,INDEX(in_Payable,N193)))</f>
        <v/>
      </c>
      <c r="I193" s="40" t="str">
        <f aca="false">IF(M193&lt;&gt;"P","",IFERROR(INDEX(cg_Vendor,MATCH(INDEX(in_CGID,N193),cg_ID,0)),""))</f>
        <v/>
      </c>
      <c r="J193" s="26" t="str">
        <f aca="false">IF(M193&lt;&gt;"P","",INDEX(in_CGName,N193))</f>
        <v/>
      </c>
      <c r="K193" s="26" t="str">
        <f aca="false">IF(M193&lt;&gt;"P","",IFERROR(INDEX(cl_Payer,MATCH(INDEX(in_ClientID,N193),cl_ID,0)),"Unassigned"))</f>
        <v/>
      </c>
      <c r="L193" s="26" t="str">
        <f aca="false">IF(M193="","",IF(M193="S","Weekly caregiver pay, week ending "&amp;TEXT(WeekEnd,"m/d/yyyy"),INDEX(in_Svc,N193)&amp;" "&amp;INDEX(in_ClientID,N193)&amp;", "&amp;INDEX(in_Units,N193)&amp;" units"&amp;IF(N(INDEX(in_Miles,N193))&gt;0,", "&amp;INDEX(in_Miles,N193)&amp;" miles","")))</f>
        <v/>
      </c>
      <c r="M193" s="60" t="str">
        <f aca="false">IF(187&gt;acc_TotalLines,"",IF(187&lt;=acc_SumLines,"S","P"))</f>
        <v/>
      </c>
      <c r="N193" s="42" t="str">
        <f aca="false">IF(M193="","",IF(M193="S",MATCH(187,acc_SumSeq,0),MATCH(187-acc_SumLines,in_Seq,0)))</f>
        <v/>
      </c>
    </row>
    <row r="194" customFormat="false" ht="15" hidden="false" customHeight="false" outlineLevel="0" collapsed="false">
      <c r="A194" s="26" t="str">
        <f aca="false">IF(M194="","",JrnPrefix&amp;"-"&amp;TEXT(WeekEnd,"yyyymmdd"))</f>
        <v/>
      </c>
      <c r="B194" s="58" t="str">
        <f aca="false">IF(M194="","",WeekEnd)</f>
        <v/>
      </c>
      <c r="C194" s="52" t="str">
        <f aca="false">IF(M194="","",188)</f>
        <v/>
      </c>
      <c r="D194" s="26" t="str">
        <f aca="false">IF(M194="","",IF(M194="S",IF(INDEX(acc_SumAcct,N194)=MileGL,"Mileage summary","Expense summary"),"Caregiver payable"))</f>
        <v/>
      </c>
      <c r="E194" s="40" t="str">
        <f aca="false">IF(M194="","",IF(M194="S",INDEX(acc_SumAcct,N194),APGL))</f>
        <v/>
      </c>
      <c r="F194" s="26" t="str">
        <f aca="false">IF(M194="","",IF(M194="S",INDEX(acc_SumName,N194),APGLName))</f>
        <v/>
      </c>
      <c r="G194" s="59" t="str">
        <f aca="false">IF(M194="","",IF(M194="S",INDEX(acc_SumAmt,N194),0))</f>
        <v/>
      </c>
      <c r="H194" s="59" t="str">
        <f aca="false">IF(M194="","",IF(M194="S",0,INDEX(in_Payable,N194)))</f>
        <v/>
      </c>
      <c r="I194" s="40" t="str">
        <f aca="false">IF(M194&lt;&gt;"P","",IFERROR(INDEX(cg_Vendor,MATCH(INDEX(in_CGID,N194),cg_ID,0)),""))</f>
        <v/>
      </c>
      <c r="J194" s="26" t="str">
        <f aca="false">IF(M194&lt;&gt;"P","",INDEX(in_CGName,N194))</f>
        <v/>
      </c>
      <c r="K194" s="26" t="str">
        <f aca="false">IF(M194&lt;&gt;"P","",IFERROR(INDEX(cl_Payer,MATCH(INDEX(in_ClientID,N194),cl_ID,0)),"Unassigned"))</f>
        <v/>
      </c>
      <c r="L194" s="26" t="str">
        <f aca="false">IF(M194="","",IF(M194="S","Weekly caregiver pay, week ending "&amp;TEXT(WeekEnd,"m/d/yyyy"),INDEX(in_Svc,N194)&amp;" "&amp;INDEX(in_ClientID,N194)&amp;", "&amp;INDEX(in_Units,N194)&amp;" units"&amp;IF(N(INDEX(in_Miles,N194))&gt;0,", "&amp;INDEX(in_Miles,N194)&amp;" miles","")))</f>
        <v/>
      </c>
      <c r="M194" s="60" t="str">
        <f aca="false">IF(188&gt;acc_TotalLines,"",IF(188&lt;=acc_SumLines,"S","P"))</f>
        <v/>
      </c>
      <c r="N194" s="42" t="str">
        <f aca="false">IF(M194="","",IF(M194="S",MATCH(188,acc_SumSeq,0),MATCH(188-acc_SumLines,in_Seq,0)))</f>
        <v/>
      </c>
    </row>
    <row r="195" customFormat="false" ht="15" hidden="false" customHeight="false" outlineLevel="0" collapsed="false">
      <c r="A195" s="26" t="str">
        <f aca="false">IF(M195="","",JrnPrefix&amp;"-"&amp;TEXT(WeekEnd,"yyyymmdd"))</f>
        <v/>
      </c>
      <c r="B195" s="58" t="str">
        <f aca="false">IF(M195="","",WeekEnd)</f>
        <v/>
      </c>
      <c r="C195" s="52" t="str">
        <f aca="false">IF(M195="","",189)</f>
        <v/>
      </c>
      <c r="D195" s="26" t="str">
        <f aca="false">IF(M195="","",IF(M195="S",IF(INDEX(acc_SumAcct,N195)=MileGL,"Mileage summary","Expense summary"),"Caregiver payable"))</f>
        <v/>
      </c>
      <c r="E195" s="40" t="str">
        <f aca="false">IF(M195="","",IF(M195="S",INDEX(acc_SumAcct,N195),APGL))</f>
        <v/>
      </c>
      <c r="F195" s="26" t="str">
        <f aca="false">IF(M195="","",IF(M195="S",INDEX(acc_SumName,N195),APGLName))</f>
        <v/>
      </c>
      <c r="G195" s="59" t="str">
        <f aca="false">IF(M195="","",IF(M195="S",INDEX(acc_SumAmt,N195),0))</f>
        <v/>
      </c>
      <c r="H195" s="59" t="str">
        <f aca="false">IF(M195="","",IF(M195="S",0,INDEX(in_Payable,N195)))</f>
        <v/>
      </c>
      <c r="I195" s="40" t="str">
        <f aca="false">IF(M195&lt;&gt;"P","",IFERROR(INDEX(cg_Vendor,MATCH(INDEX(in_CGID,N195),cg_ID,0)),""))</f>
        <v/>
      </c>
      <c r="J195" s="26" t="str">
        <f aca="false">IF(M195&lt;&gt;"P","",INDEX(in_CGName,N195))</f>
        <v/>
      </c>
      <c r="K195" s="26" t="str">
        <f aca="false">IF(M195&lt;&gt;"P","",IFERROR(INDEX(cl_Payer,MATCH(INDEX(in_ClientID,N195),cl_ID,0)),"Unassigned"))</f>
        <v/>
      </c>
      <c r="L195" s="26" t="str">
        <f aca="false">IF(M195="","",IF(M195="S","Weekly caregiver pay, week ending "&amp;TEXT(WeekEnd,"m/d/yyyy"),INDEX(in_Svc,N195)&amp;" "&amp;INDEX(in_ClientID,N195)&amp;", "&amp;INDEX(in_Units,N195)&amp;" units"&amp;IF(N(INDEX(in_Miles,N195))&gt;0,", "&amp;INDEX(in_Miles,N195)&amp;" miles","")))</f>
        <v/>
      </c>
      <c r="M195" s="60" t="str">
        <f aca="false">IF(189&gt;acc_TotalLines,"",IF(189&lt;=acc_SumLines,"S","P"))</f>
        <v/>
      </c>
      <c r="N195" s="42" t="str">
        <f aca="false">IF(M195="","",IF(M195="S",MATCH(189,acc_SumSeq,0),MATCH(189-acc_SumLines,in_Seq,0)))</f>
        <v/>
      </c>
    </row>
    <row r="196" customFormat="false" ht="15" hidden="false" customHeight="false" outlineLevel="0" collapsed="false">
      <c r="A196" s="26" t="str">
        <f aca="false">IF(M196="","",JrnPrefix&amp;"-"&amp;TEXT(WeekEnd,"yyyymmdd"))</f>
        <v/>
      </c>
      <c r="B196" s="58" t="str">
        <f aca="false">IF(M196="","",WeekEnd)</f>
        <v/>
      </c>
      <c r="C196" s="52" t="str">
        <f aca="false">IF(M196="","",190)</f>
        <v/>
      </c>
      <c r="D196" s="26" t="str">
        <f aca="false">IF(M196="","",IF(M196="S",IF(INDEX(acc_SumAcct,N196)=MileGL,"Mileage summary","Expense summary"),"Caregiver payable"))</f>
        <v/>
      </c>
      <c r="E196" s="40" t="str">
        <f aca="false">IF(M196="","",IF(M196="S",INDEX(acc_SumAcct,N196),APGL))</f>
        <v/>
      </c>
      <c r="F196" s="26" t="str">
        <f aca="false">IF(M196="","",IF(M196="S",INDEX(acc_SumName,N196),APGLName))</f>
        <v/>
      </c>
      <c r="G196" s="59" t="str">
        <f aca="false">IF(M196="","",IF(M196="S",INDEX(acc_SumAmt,N196),0))</f>
        <v/>
      </c>
      <c r="H196" s="59" t="str">
        <f aca="false">IF(M196="","",IF(M196="S",0,INDEX(in_Payable,N196)))</f>
        <v/>
      </c>
      <c r="I196" s="40" t="str">
        <f aca="false">IF(M196&lt;&gt;"P","",IFERROR(INDEX(cg_Vendor,MATCH(INDEX(in_CGID,N196),cg_ID,0)),""))</f>
        <v/>
      </c>
      <c r="J196" s="26" t="str">
        <f aca="false">IF(M196&lt;&gt;"P","",INDEX(in_CGName,N196))</f>
        <v/>
      </c>
      <c r="K196" s="26" t="str">
        <f aca="false">IF(M196&lt;&gt;"P","",IFERROR(INDEX(cl_Payer,MATCH(INDEX(in_ClientID,N196),cl_ID,0)),"Unassigned"))</f>
        <v/>
      </c>
      <c r="L196" s="26" t="str">
        <f aca="false">IF(M196="","",IF(M196="S","Weekly caregiver pay, week ending "&amp;TEXT(WeekEnd,"m/d/yyyy"),INDEX(in_Svc,N196)&amp;" "&amp;INDEX(in_ClientID,N196)&amp;", "&amp;INDEX(in_Units,N196)&amp;" units"&amp;IF(N(INDEX(in_Miles,N196))&gt;0,", "&amp;INDEX(in_Miles,N196)&amp;" miles","")))</f>
        <v/>
      </c>
      <c r="M196" s="60" t="str">
        <f aca="false">IF(190&gt;acc_TotalLines,"",IF(190&lt;=acc_SumLines,"S","P"))</f>
        <v/>
      </c>
      <c r="N196" s="42" t="str">
        <f aca="false">IF(M196="","",IF(M196="S",MATCH(190,acc_SumSeq,0),MATCH(190-acc_SumLines,in_Seq,0)))</f>
        <v/>
      </c>
    </row>
    <row r="197" customFormat="false" ht="15" hidden="false" customHeight="false" outlineLevel="0" collapsed="false">
      <c r="A197" s="26" t="str">
        <f aca="false">IF(M197="","",JrnPrefix&amp;"-"&amp;TEXT(WeekEnd,"yyyymmdd"))</f>
        <v/>
      </c>
      <c r="B197" s="58" t="str">
        <f aca="false">IF(M197="","",WeekEnd)</f>
        <v/>
      </c>
      <c r="C197" s="52" t="str">
        <f aca="false">IF(M197="","",191)</f>
        <v/>
      </c>
      <c r="D197" s="26" t="str">
        <f aca="false">IF(M197="","",IF(M197="S",IF(INDEX(acc_SumAcct,N197)=MileGL,"Mileage summary","Expense summary"),"Caregiver payable"))</f>
        <v/>
      </c>
      <c r="E197" s="40" t="str">
        <f aca="false">IF(M197="","",IF(M197="S",INDEX(acc_SumAcct,N197),APGL))</f>
        <v/>
      </c>
      <c r="F197" s="26" t="str">
        <f aca="false">IF(M197="","",IF(M197="S",INDEX(acc_SumName,N197),APGLName))</f>
        <v/>
      </c>
      <c r="G197" s="59" t="str">
        <f aca="false">IF(M197="","",IF(M197="S",INDEX(acc_SumAmt,N197),0))</f>
        <v/>
      </c>
      <c r="H197" s="59" t="str">
        <f aca="false">IF(M197="","",IF(M197="S",0,INDEX(in_Payable,N197)))</f>
        <v/>
      </c>
      <c r="I197" s="40" t="str">
        <f aca="false">IF(M197&lt;&gt;"P","",IFERROR(INDEX(cg_Vendor,MATCH(INDEX(in_CGID,N197),cg_ID,0)),""))</f>
        <v/>
      </c>
      <c r="J197" s="26" t="str">
        <f aca="false">IF(M197&lt;&gt;"P","",INDEX(in_CGName,N197))</f>
        <v/>
      </c>
      <c r="K197" s="26" t="str">
        <f aca="false">IF(M197&lt;&gt;"P","",IFERROR(INDEX(cl_Payer,MATCH(INDEX(in_ClientID,N197),cl_ID,0)),"Unassigned"))</f>
        <v/>
      </c>
      <c r="L197" s="26" t="str">
        <f aca="false">IF(M197="","",IF(M197="S","Weekly caregiver pay, week ending "&amp;TEXT(WeekEnd,"m/d/yyyy"),INDEX(in_Svc,N197)&amp;" "&amp;INDEX(in_ClientID,N197)&amp;", "&amp;INDEX(in_Units,N197)&amp;" units"&amp;IF(N(INDEX(in_Miles,N197))&gt;0,", "&amp;INDEX(in_Miles,N197)&amp;" miles","")))</f>
        <v/>
      </c>
      <c r="M197" s="60" t="str">
        <f aca="false">IF(191&gt;acc_TotalLines,"",IF(191&lt;=acc_SumLines,"S","P"))</f>
        <v/>
      </c>
      <c r="N197" s="42" t="str">
        <f aca="false">IF(M197="","",IF(M197="S",MATCH(191,acc_SumSeq,0),MATCH(191-acc_SumLines,in_Seq,0)))</f>
        <v/>
      </c>
    </row>
    <row r="198" customFormat="false" ht="15" hidden="false" customHeight="false" outlineLevel="0" collapsed="false">
      <c r="A198" s="26" t="str">
        <f aca="false">IF(M198="","",JrnPrefix&amp;"-"&amp;TEXT(WeekEnd,"yyyymmdd"))</f>
        <v/>
      </c>
      <c r="B198" s="58" t="str">
        <f aca="false">IF(M198="","",WeekEnd)</f>
        <v/>
      </c>
      <c r="C198" s="52" t="str">
        <f aca="false">IF(M198="","",192)</f>
        <v/>
      </c>
      <c r="D198" s="26" t="str">
        <f aca="false">IF(M198="","",IF(M198="S",IF(INDEX(acc_SumAcct,N198)=MileGL,"Mileage summary","Expense summary"),"Caregiver payable"))</f>
        <v/>
      </c>
      <c r="E198" s="40" t="str">
        <f aca="false">IF(M198="","",IF(M198="S",INDEX(acc_SumAcct,N198),APGL))</f>
        <v/>
      </c>
      <c r="F198" s="26" t="str">
        <f aca="false">IF(M198="","",IF(M198="S",INDEX(acc_SumName,N198),APGLName))</f>
        <v/>
      </c>
      <c r="G198" s="59" t="str">
        <f aca="false">IF(M198="","",IF(M198="S",INDEX(acc_SumAmt,N198),0))</f>
        <v/>
      </c>
      <c r="H198" s="59" t="str">
        <f aca="false">IF(M198="","",IF(M198="S",0,INDEX(in_Payable,N198)))</f>
        <v/>
      </c>
      <c r="I198" s="40" t="str">
        <f aca="false">IF(M198&lt;&gt;"P","",IFERROR(INDEX(cg_Vendor,MATCH(INDEX(in_CGID,N198),cg_ID,0)),""))</f>
        <v/>
      </c>
      <c r="J198" s="26" t="str">
        <f aca="false">IF(M198&lt;&gt;"P","",INDEX(in_CGName,N198))</f>
        <v/>
      </c>
      <c r="K198" s="26" t="str">
        <f aca="false">IF(M198&lt;&gt;"P","",IFERROR(INDEX(cl_Payer,MATCH(INDEX(in_ClientID,N198),cl_ID,0)),"Unassigned"))</f>
        <v/>
      </c>
      <c r="L198" s="26" t="str">
        <f aca="false">IF(M198="","",IF(M198="S","Weekly caregiver pay, week ending "&amp;TEXT(WeekEnd,"m/d/yyyy"),INDEX(in_Svc,N198)&amp;" "&amp;INDEX(in_ClientID,N198)&amp;", "&amp;INDEX(in_Units,N198)&amp;" units"&amp;IF(N(INDEX(in_Miles,N198))&gt;0,", "&amp;INDEX(in_Miles,N198)&amp;" miles","")))</f>
        <v/>
      </c>
      <c r="M198" s="60" t="str">
        <f aca="false">IF(192&gt;acc_TotalLines,"",IF(192&lt;=acc_SumLines,"S","P"))</f>
        <v/>
      </c>
      <c r="N198" s="42" t="str">
        <f aca="false">IF(M198="","",IF(M198="S",MATCH(192,acc_SumSeq,0),MATCH(192-acc_SumLines,in_Seq,0)))</f>
        <v/>
      </c>
    </row>
    <row r="199" customFormat="false" ht="15" hidden="false" customHeight="false" outlineLevel="0" collapsed="false">
      <c r="A199" s="26" t="str">
        <f aca="false">IF(M199="","",JrnPrefix&amp;"-"&amp;TEXT(WeekEnd,"yyyymmdd"))</f>
        <v/>
      </c>
      <c r="B199" s="58" t="str">
        <f aca="false">IF(M199="","",WeekEnd)</f>
        <v/>
      </c>
      <c r="C199" s="52" t="str">
        <f aca="false">IF(M199="","",193)</f>
        <v/>
      </c>
      <c r="D199" s="26" t="str">
        <f aca="false">IF(M199="","",IF(M199="S",IF(INDEX(acc_SumAcct,N199)=MileGL,"Mileage summary","Expense summary"),"Caregiver payable"))</f>
        <v/>
      </c>
      <c r="E199" s="40" t="str">
        <f aca="false">IF(M199="","",IF(M199="S",INDEX(acc_SumAcct,N199),APGL))</f>
        <v/>
      </c>
      <c r="F199" s="26" t="str">
        <f aca="false">IF(M199="","",IF(M199="S",INDEX(acc_SumName,N199),APGLName))</f>
        <v/>
      </c>
      <c r="G199" s="59" t="str">
        <f aca="false">IF(M199="","",IF(M199="S",INDEX(acc_SumAmt,N199),0))</f>
        <v/>
      </c>
      <c r="H199" s="59" t="str">
        <f aca="false">IF(M199="","",IF(M199="S",0,INDEX(in_Payable,N199)))</f>
        <v/>
      </c>
      <c r="I199" s="40" t="str">
        <f aca="false">IF(M199&lt;&gt;"P","",IFERROR(INDEX(cg_Vendor,MATCH(INDEX(in_CGID,N199),cg_ID,0)),""))</f>
        <v/>
      </c>
      <c r="J199" s="26" t="str">
        <f aca="false">IF(M199&lt;&gt;"P","",INDEX(in_CGName,N199))</f>
        <v/>
      </c>
      <c r="K199" s="26" t="str">
        <f aca="false">IF(M199&lt;&gt;"P","",IFERROR(INDEX(cl_Payer,MATCH(INDEX(in_ClientID,N199),cl_ID,0)),"Unassigned"))</f>
        <v/>
      </c>
      <c r="L199" s="26" t="str">
        <f aca="false">IF(M199="","",IF(M199="S","Weekly caregiver pay, week ending "&amp;TEXT(WeekEnd,"m/d/yyyy"),INDEX(in_Svc,N199)&amp;" "&amp;INDEX(in_ClientID,N199)&amp;", "&amp;INDEX(in_Units,N199)&amp;" units"&amp;IF(N(INDEX(in_Miles,N199))&gt;0,", "&amp;INDEX(in_Miles,N199)&amp;" miles","")))</f>
        <v/>
      </c>
      <c r="M199" s="60" t="str">
        <f aca="false">IF(193&gt;acc_TotalLines,"",IF(193&lt;=acc_SumLines,"S","P"))</f>
        <v/>
      </c>
      <c r="N199" s="42" t="str">
        <f aca="false">IF(M199="","",IF(M199="S",MATCH(193,acc_SumSeq,0),MATCH(193-acc_SumLines,in_Seq,0)))</f>
        <v/>
      </c>
    </row>
    <row r="200" customFormat="false" ht="15" hidden="false" customHeight="false" outlineLevel="0" collapsed="false">
      <c r="A200" s="26" t="str">
        <f aca="false">IF(M200="","",JrnPrefix&amp;"-"&amp;TEXT(WeekEnd,"yyyymmdd"))</f>
        <v/>
      </c>
      <c r="B200" s="58" t="str">
        <f aca="false">IF(M200="","",WeekEnd)</f>
        <v/>
      </c>
      <c r="C200" s="52" t="str">
        <f aca="false">IF(M200="","",194)</f>
        <v/>
      </c>
      <c r="D200" s="26" t="str">
        <f aca="false">IF(M200="","",IF(M200="S",IF(INDEX(acc_SumAcct,N200)=MileGL,"Mileage summary","Expense summary"),"Caregiver payable"))</f>
        <v/>
      </c>
      <c r="E200" s="40" t="str">
        <f aca="false">IF(M200="","",IF(M200="S",INDEX(acc_SumAcct,N200),APGL))</f>
        <v/>
      </c>
      <c r="F200" s="26" t="str">
        <f aca="false">IF(M200="","",IF(M200="S",INDEX(acc_SumName,N200),APGLName))</f>
        <v/>
      </c>
      <c r="G200" s="59" t="str">
        <f aca="false">IF(M200="","",IF(M200="S",INDEX(acc_SumAmt,N200),0))</f>
        <v/>
      </c>
      <c r="H200" s="59" t="str">
        <f aca="false">IF(M200="","",IF(M200="S",0,INDEX(in_Payable,N200)))</f>
        <v/>
      </c>
      <c r="I200" s="40" t="str">
        <f aca="false">IF(M200&lt;&gt;"P","",IFERROR(INDEX(cg_Vendor,MATCH(INDEX(in_CGID,N200),cg_ID,0)),""))</f>
        <v/>
      </c>
      <c r="J200" s="26" t="str">
        <f aca="false">IF(M200&lt;&gt;"P","",INDEX(in_CGName,N200))</f>
        <v/>
      </c>
      <c r="K200" s="26" t="str">
        <f aca="false">IF(M200&lt;&gt;"P","",IFERROR(INDEX(cl_Payer,MATCH(INDEX(in_ClientID,N200),cl_ID,0)),"Unassigned"))</f>
        <v/>
      </c>
      <c r="L200" s="26" t="str">
        <f aca="false">IF(M200="","",IF(M200="S","Weekly caregiver pay, week ending "&amp;TEXT(WeekEnd,"m/d/yyyy"),INDEX(in_Svc,N200)&amp;" "&amp;INDEX(in_ClientID,N200)&amp;", "&amp;INDEX(in_Units,N200)&amp;" units"&amp;IF(N(INDEX(in_Miles,N200))&gt;0,", "&amp;INDEX(in_Miles,N200)&amp;" miles","")))</f>
        <v/>
      </c>
      <c r="M200" s="60" t="str">
        <f aca="false">IF(194&gt;acc_TotalLines,"",IF(194&lt;=acc_SumLines,"S","P"))</f>
        <v/>
      </c>
      <c r="N200" s="42" t="str">
        <f aca="false">IF(M200="","",IF(M200="S",MATCH(194,acc_SumSeq,0),MATCH(194-acc_SumLines,in_Seq,0)))</f>
        <v/>
      </c>
    </row>
    <row r="201" customFormat="false" ht="15" hidden="false" customHeight="false" outlineLevel="0" collapsed="false">
      <c r="A201" s="26" t="str">
        <f aca="false">IF(M201="","",JrnPrefix&amp;"-"&amp;TEXT(WeekEnd,"yyyymmdd"))</f>
        <v/>
      </c>
      <c r="B201" s="58" t="str">
        <f aca="false">IF(M201="","",WeekEnd)</f>
        <v/>
      </c>
      <c r="C201" s="52" t="str">
        <f aca="false">IF(M201="","",195)</f>
        <v/>
      </c>
      <c r="D201" s="26" t="str">
        <f aca="false">IF(M201="","",IF(M201="S",IF(INDEX(acc_SumAcct,N201)=MileGL,"Mileage summary","Expense summary"),"Caregiver payable"))</f>
        <v/>
      </c>
      <c r="E201" s="40" t="str">
        <f aca="false">IF(M201="","",IF(M201="S",INDEX(acc_SumAcct,N201),APGL))</f>
        <v/>
      </c>
      <c r="F201" s="26" t="str">
        <f aca="false">IF(M201="","",IF(M201="S",INDEX(acc_SumName,N201),APGLName))</f>
        <v/>
      </c>
      <c r="G201" s="59" t="str">
        <f aca="false">IF(M201="","",IF(M201="S",INDEX(acc_SumAmt,N201),0))</f>
        <v/>
      </c>
      <c r="H201" s="59" t="str">
        <f aca="false">IF(M201="","",IF(M201="S",0,INDEX(in_Payable,N201)))</f>
        <v/>
      </c>
      <c r="I201" s="40" t="str">
        <f aca="false">IF(M201&lt;&gt;"P","",IFERROR(INDEX(cg_Vendor,MATCH(INDEX(in_CGID,N201),cg_ID,0)),""))</f>
        <v/>
      </c>
      <c r="J201" s="26" t="str">
        <f aca="false">IF(M201&lt;&gt;"P","",INDEX(in_CGName,N201))</f>
        <v/>
      </c>
      <c r="K201" s="26" t="str">
        <f aca="false">IF(M201&lt;&gt;"P","",IFERROR(INDEX(cl_Payer,MATCH(INDEX(in_ClientID,N201),cl_ID,0)),"Unassigned"))</f>
        <v/>
      </c>
      <c r="L201" s="26" t="str">
        <f aca="false">IF(M201="","",IF(M201="S","Weekly caregiver pay, week ending "&amp;TEXT(WeekEnd,"m/d/yyyy"),INDEX(in_Svc,N201)&amp;" "&amp;INDEX(in_ClientID,N201)&amp;", "&amp;INDEX(in_Units,N201)&amp;" units"&amp;IF(N(INDEX(in_Miles,N201))&gt;0,", "&amp;INDEX(in_Miles,N201)&amp;" miles","")))</f>
        <v/>
      </c>
      <c r="M201" s="60" t="str">
        <f aca="false">IF(195&gt;acc_TotalLines,"",IF(195&lt;=acc_SumLines,"S","P"))</f>
        <v/>
      </c>
      <c r="N201" s="42" t="str">
        <f aca="false">IF(M201="","",IF(M201="S",MATCH(195,acc_SumSeq,0),MATCH(195-acc_SumLines,in_Seq,0)))</f>
        <v/>
      </c>
    </row>
    <row r="202" customFormat="false" ht="15" hidden="false" customHeight="false" outlineLevel="0" collapsed="false">
      <c r="A202" s="26" t="str">
        <f aca="false">IF(M202="","",JrnPrefix&amp;"-"&amp;TEXT(WeekEnd,"yyyymmdd"))</f>
        <v/>
      </c>
      <c r="B202" s="58" t="str">
        <f aca="false">IF(M202="","",WeekEnd)</f>
        <v/>
      </c>
      <c r="C202" s="52" t="str">
        <f aca="false">IF(M202="","",196)</f>
        <v/>
      </c>
      <c r="D202" s="26" t="str">
        <f aca="false">IF(M202="","",IF(M202="S",IF(INDEX(acc_SumAcct,N202)=MileGL,"Mileage summary","Expense summary"),"Caregiver payable"))</f>
        <v/>
      </c>
      <c r="E202" s="40" t="str">
        <f aca="false">IF(M202="","",IF(M202="S",INDEX(acc_SumAcct,N202),APGL))</f>
        <v/>
      </c>
      <c r="F202" s="26" t="str">
        <f aca="false">IF(M202="","",IF(M202="S",INDEX(acc_SumName,N202),APGLName))</f>
        <v/>
      </c>
      <c r="G202" s="59" t="str">
        <f aca="false">IF(M202="","",IF(M202="S",INDEX(acc_SumAmt,N202),0))</f>
        <v/>
      </c>
      <c r="H202" s="59" t="str">
        <f aca="false">IF(M202="","",IF(M202="S",0,INDEX(in_Payable,N202)))</f>
        <v/>
      </c>
      <c r="I202" s="40" t="str">
        <f aca="false">IF(M202&lt;&gt;"P","",IFERROR(INDEX(cg_Vendor,MATCH(INDEX(in_CGID,N202),cg_ID,0)),""))</f>
        <v/>
      </c>
      <c r="J202" s="26" t="str">
        <f aca="false">IF(M202&lt;&gt;"P","",INDEX(in_CGName,N202))</f>
        <v/>
      </c>
      <c r="K202" s="26" t="str">
        <f aca="false">IF(M202&lt;&gt;"P","",IFERROR(INDEX(cl_Payer,MATCH(INDEX(in_ClientID,N202),cl_ID,0)),"Unassigned"))</f>
        <v/>
      </c>
      <c r="L202" s="26" t="str">
        <f aca="false">IF(M202="","",IF(M202="S","Weekly caregiver pay, week ending "&amp;TEXT(WeekEnd,"m/d/yyyy"),INDEX(in_Svc,N202)&amp;" "&amp;INDEX(in_ClientID,N202)&amp;", "&amp;INDEX(in_Units,N202)&amp;" units"&amp;IF(N(INDEX(in_Miles,N202))&gt;0,", "&amp;INDEX(in_Miles,N202)&amp;" miles","")))</f>
        <v/>
      </c>
      <c r="M202" s="60" t="str">
        <f aca="false">IF(196&gt;acc_TotalLines,"",IF(196&lt;=acc_SumLines,"S","P"))</f>
        <v/>
      </c>
      <c r="N202" s="42" t="str">
        <f aca="false">IF(M202="","",IF(M202="S",MATCH(196,acc_SumSeq,0),MATCH(196-acc_SumLines,in_Seq,0)))</f>
        <v/>
      </c>
    </row>
    <row r="203" customFormat="false" ht="15" hidden="false" customHeight="false" outlineLevel="0" collapsed="false">
      <c r="A203" s="26" t="str">
        <f aca="false">IF(M203="","",JrnPrefix&amp;"-"&amp;TEXT(WeekEnd,"yyyymmdd"))</f>
        <v/>
      </c>
      <c r="B203" s="58" t="str">
        <f aca="false">IF(M203="","",WeekEnd)</f>
        <v/>
      </c>
      <c r="C203" s="52" t="str">
        <f aca="false">IF(M203="","",197)</f>
        <v/>
      </c>
      <c r="D203" s="26" t="str">
        <f aca="false">IF(M203="","",IF(M203="S",IF(INDEX(acc_SumAcct,N203)=MileGL,"Mileage summary","Expense summary"),"Caregiver payable"))</f>
        <v/>
      </c>
      <c r="E203" s="40" t="str">
        <f aca="false">IF(M203="","",IF(M203="S",INDEX(acc_SumAcct,N203),APGL))</f>
        <v/>
      </c>
      <c r="F203" s="26" t="str">
        <f aca="false">IF(M203="","",IF(M203="S",INDEX(acc_SumName,N203),APGLName))</f>
        <v/>
      </c>
      <c r="G203" s="59" t="str">
        <f aca="false">IF(M203="","",IF(M203="S",INDEX(acc_SumAmt,N203),0))</f>
        <v/>
      </c>
      <c r="H203" s="59" t="str">
        <f aca="false">IF(M203="","",IF(M203="S",0,INDEX(in_Payable,N203)))</f>
        <v/>
      </c>
      <c r="I203" s="40" t="str">
        <f aca="false">IF(M203&lt;&gt;"P","",IFERROR(INDEX(cg_Vendor,MATCH(INDEX(in_CGID,N203),cg_ID,0)),""))</f>
        <v/>
      </c>
      <c r="J203" s="26" t="str">
        <f aca="false">IF(M203&lt;&gt;"P","",INDEX(in_CGName,N203))</f>
        <v/>
      </c>
      <c r="K203" s="26" t="str">
        <f aca="false">IF(M203&lt;&gt;"P","",IFERROR(INDEX(cl_Payer,MATCH(INDEX(in_ClientID,N203),cl_ID,0)),"Unassigned"))</f>
        <v/>
      </c>
      <c r="L203" s="26" t="str">
        <f aca="false">IF(M203="","",IF(M203="S","Weekly caregiver pay, week ending "&amp;TEXT(WeekEnd,"m/d/yyyy"),INDEX(in_Svc,N203)&amp;" "&amp;INDEX(in_ClientID,N203)&amp;", "&amp;INDEX(in_Units,N203)&amp;" units"&amp;IF(N(INDEX(in_Miles,N203))&gt;0,", "&amp;INDEX(in_Miles,N203)&amp;" miles","")))</f>
        <v/>
      </c>
      <c r="M203" s="60" t="str">
        <f aca="false">IF(197&gt;acc_TotalLines,"",IF(197&lt;=acc_SumLines,"S","P"))</f>
        <v/>
      </c>
      <c r="N203" s="42" t="str">
        <f aca="false">IF(M203="","",IF(M203="S",MATCH(197,acc_SumSeq,0),MATCH(197-acc_SumLines,in_Seq,0)))</f>
        <v/>
      </c>
    </row>
    <row r="204" customFormat="false" ht="15" hidden="false" customHeight="false" outlineLevel="0" collapsed="false">
      <c r="A204" s="26" t="str">
        <f aca="false">IF(M204="","",JrnPrefix&amp;"-"&amp;TEXT(WeekEnd,"yyyymmdd"))</f>
        <v/>
      </c>
      <c r="B204" s="58" t="str">
        <f aca="false">IF(M204="","",WeekEnd)</f>
        <v/>
      </c>
      <c r="C204" s="52" t="str">
        <f aca="false">IF(M204="","",198)</f>
        <v/>
      </c>
      <c r="D204" s="26" t="str">
        <f aca="false">IF(M204="","",IF(M204="S",IF(INDEX(acc_SumAcct,N204)=MileGL,"Mileage summary","Expense summary"),"Caregiver payable"))</f>
        <v/>
      </c>
      <c r="E204" s="40" t="str">
        <f aca="false">IF(M204="","",IF(M204="S",INDEX(acc_SumAcct,N204),APGL))</f>
        <v/>
      </c>
      <c r="F204" s="26" t="str">
        <f aca="false">IF(M204="","",IF(M204="S",INDEX(acc_SumName,N204),APGLName))</f>
        <v/>
      </c>
      <c r="G204" s="59" t="str">
        <f aca="false">IF(M204="","",IF(M204="S",INDEX(acc_SumAmt,N204),0))</f>
        <v/>
      </c>
      <c r="H204" s="59" t="str">
        <f aca="false">IF(M204="","",IF(M204="S",0,INDEX(in_Payable,N204)))</f>
        <v/>
      </c>
      <c r="I204" s="40" t="str">
        <f aca="false">IF(M204&lt;&gt;"P","",IFERROR(INDEX(cg_Vendor,MATCH(INDEX(in_CGID,N204),cg_ID,0)),""))</f>
        <v/>
      </c>
      <c r="J204" s="26" t="str">
        <f aca="false">IF(M204&lt;&gt;"P","",INDEX(in_CGName,N204))</f>
        <v/>
      </c>
      <c r="K204" s="26" t="str">
        <f aca="false">IF(M204&lt;&gt;"P","",IFERROR(INDEX(cl_Payer,MATCH(INDEX(in_ClientID,N204),cl_ID,0)),"Unassigned"))</f>
        <v/>
      </c>
      <c r="L204" s="26" t="str">
        <f aca="false">IF(M204="","",IF(M204="S","Weekly caregiver pay, week ending "&amp;TEXT(WeekEnd,"m/d/yyyy"),INDEX(in_Svc,N204)&amp;" "&amp;INDEX(in_ClientID,N204)&amp;", "&amp;INDEX(in_Units,N204)&amp;" units"&amp;IF(N(INDEX(in_Miles,N204))&gt;0,", "&amp;INDEX(in_Miles,N204)&amp;" miles","")))</f>
        <v/>
      </c>
      <c r="M204" s="60" t="str">
        <f aca="false">IF(198&gt;acc_TotalLines,"",IF(198&lt;=acc_SumLines,"S","P"))</f>
        <v/>
      </c>
      <c r="N204" s="42" t="str">
        <f aca="false">IF(M204="","",IF(M204="S",MATCH(198,acc_SumSeq,0),MATCH(198-acc_SumLines,in_Seq,0)))</f>
        <v/>
      </c>
    </row>
    <row r="205" customFormat="false" ht="15" hidden="false" customHeight="false" outlineLevel="0" collapsed="false">
      <c r="A205" s="26" t="str">
        <f aca="false">IF(M205="","",JrnPrefix&amp;"-"&amp;TEXT(WeekEnd,"yyyymmdd"))</f>
        <v/>
      </c>
      <c r="B205" s="58" t="str">
        <f aca="false">IF(M205="","",WeekEnd)</f>
        <v/>
      </c>
      <c r="C205" s="52" t="str">
        <f aca="false">IF(M205="","",199)</f>
        <v/>
      </c>
      <c r="D205" s="26" t="str">
        <f aca="false">IF(M205="","",IF(M205="S",IF(INDEX(acc_SumAcct,N205)=MileGL,"Mileage summary","Expense summary"),"Caregiver payable"))</f>
        <v/>
      </c>
      <c r="E205" s="40" t="str">
        <f aca="false">IF(M205="","",IF(M205="S",INDEX(acc_SumAcct,N205),APGL))</f>
        <v/>
      </c>
      <c r="F205" s="26" t="str">
        <f aca="false">IF(M205="","",IF(M205="S",INDEX(acc_SumName,N205),APGLName))</f>
        <v/>
      </c>
      <c r="G205" s="59" t="str">
        <f aca="false">IF(M205="","",IF(M205="S",INDEX(acc_SumAmt,N205),0))</f>
        <v/>
      </c>
      <c r="H205" s="59" t="str">
        <f aca="false">IF(M205="","",IF(M205="S",0,INDEX(in_Payable,N205)))</f>
        <v/>
      </c>
      <c r="I205" s="40" t="str">
        <f aca="false">IF(M205&lt;&gt;"P","",IFERROR(INDEX(cg_Vendor,MATCH(INDEX(in_CGID,N205),cg_ID,0)),""))</f>
        <v/>
      </c>
      <c r="J205" s="26" t="str">
        <f aca="false">IF(M205&lt;&gt;"P","",INDEX(in_CGName,N205))</f>
        <v/>
      </c>
      <c r="K205" s="26" t="str">
        <f aca="false">IF(M205&lt;&gt;"P","",IFERROR(INDEX(cl_Payer,MATCH(INDEX(in_ClientID,N205),cl_ID,0)),"Unassigned"))</f>
        <v/>
      </c>
      <c r="L205" s="26" t="str">
        <f aca="false">IF(M205="","",IF(M205="S","Weekly caregiver pay, week ending "&amp;TEXT(WeekEnd,"m/d/yyyy"),INDEX(in_Svc,N205)&amp;" "&amp;INDEX(in_ClientID,N205)&amp;", "&amp;INDEX(in_Units,N205)&amp;" units"&amp;IF(N(INDEX(in_Miles,N205))&gt;0,", "&amp;INDEX(in_Miles,N205)&amp;" miles","")))</f>
        <v/>
      </c>
      <c r="M205" s="60" t="str">
        <f aca="false">IF(199&gt;acc_TotalLines,"",IF(199&lt;=acc_SumLines,"S","P"))</f>
        <v/>
      </c>
      <c r="N205" s="42" t="str">
        <f aca="false">IF(M205="","",IF(M205="S",MATCH(199,acc_SumSeq,0),MATCH(199-acc_SumLines,in_Seq,0)))</f>
        <v/>
      </c>
    </row>
    <row r="206" customFormat="false" ht="15" hidden="false" customHeight="false" outlineLevel="0" collapsed="false">
      <c r="A206" s="26" t="str">
        <f aca="false">IF(M206="","",JrnPrefix&amp;"-"&amp;TEXT(WeekEnd,"yyyymmdd"))</f>
        <v/>
      </c>
      <c r="B206" s="58" t="str">
        <f aca="false">IF(M206="","",WeekEnd)</f>
        <v/>
      </c>
      <c r="C206" s="52" t="str">
        <f aca="false">IF(M206="","",200)</f>
        <v/>
      </c>
      <c r="D206" s="26" t="str">
        <f aca="false">IF(M206="","",IF(M206="S",IF(INDEX(acc_SumAcct,N206)=MileGL,"Mileage summary","Expense summary"),"Caregiver payable"))</f>
        <v/>
      </c>
      <c r="E206" s="40" t="str">
        <f aca="false">IF(M206="","",IF(M206="S",INDEX(acc_SumAcct,N206),APGL))</f>
        <v/>
      </c>
      <c r="F206" s="26" t="str">
        <f aca="false">IF(M206="","",IF(M206="S",INDEX(acc_SumName,N206),APGLName))</f>
        <v/>
      </c>
      <c r="G206" s="59" t="str">
        <f aca="false">IF(M206="","",IF(M206="S",INDEX(acc_SumAmt,N206),0))</f>
        <v/>
      </c>
      <c r="H206" s="59" t="str">
        <f aca="false">IF(M206="","",IF(M206="S",0,INDEX(in_Payable,N206)))</f>
        <v/>
      </c>
      <c r="I206" s="40" t="str">
        <f aca="false">IF(M206&lt;&gt;"P","",IFERROR(INDEX(cg_Vendor,MATCH(INDEX(in_CGID,N206),cg_ID,0)),""))</f>
        <v/>
      </c>
      <c r="J206" s="26" t="str">
        <f aca="false">IF(M206&lt;&gt;"P","",INDEX(in_CGName,N206))</f>
        <v/>
      </c>
      <c r="K206" s="26" t="str">
        <f aca="false">IF(M206&lt;&gt;"P","",IFERROR(INDEX(cl_Payer,MATCH(INDEX(in_ClientID,N206),cl_ID,0)),"Unassigned"))</f>
        <v/>
      </c>
      <c r="L206" s="26" t="str">
        <f aca="false">IF(M206="","",IF(M206="S","Weekly caregiver pay, week ending "&amp;TEXT(WeekEnd,"m/d/yyyy"),INDEX(in_Svc,N206)&amp;" "&amp;INDEX(in_ClientID,N206)&amp;", "&amp;INDEX(in_Units,N206)&amp;" units"&amp;IF(N(INDEX(in_Miles,N206))&gt;0,", "&amp;INDEX(in_Miles,N206)&amp;" miles","")))</f>
        <v/>
      </c>
      <c r="M206" s="60" t="str">
        <f aca="false">IF(200&gt;acc_TotalLines,"",IF(200&lt;=acc_SumLines,"S","P"))</f>
        <v/>
      </c>
      <c r="N206" s="42" t="str">
        <f aca="false">IF(M206="","",IF(M206="S",MATCH(200,acc_SumSeq,0),MATCH(200-acc_SumLines,in_Seq,0)))</f>
        <v/>
      </c>
    </row>
    <row r="207" customFormat="false" ht="15" hidden="false" customHeight="false" outlineLevel="0" collapsed="false">
      <c r="A207" s="26" t="str">
        <f aca="false">IF(M207="","",JrnPrefix&amp;"-"&amp;TEXT(WeekEnd,"yyyymmdd"))</f>
        <v/>
      </c>
      <c r="B207" s="58" t="str">
        <f aca="false">IF(M207="","",WeekEnd)</f>
        <v/>
      </c>
      <c r="C207" s="52" t="str">
        <f aca="false">IF(M207="","",201)</f>
        <v/>
      </c>
      <c r="D207" s="26" t="str">
        <f aca="false">IF(M207="","",IF(M207="S",IF(INDEX(acc_SumAcct,N207)=MileGL,"Mileage summary","Expense summary"),"Caregiver payable"))</f>
        <v/>
      </c>
      <c r="E207" s="40" t="str">
        <f aca="false">IF(M207="","",IF(M207="S",INDEX(acc_SumAcct,N207),APGL))</f>
        <v/>
      </c>
      <c r="F207" s="26" t="str">
        <f aca="false">IF(M207="","",IF(M207="S",INDEX(acc_SumName,N207),APGLName))</f>
        <v/>
      </c>
      <c r="G207" s="59" t="str">
        <f aca="false">IF(M207="","",IF(M207="S",INDEX(acc_SumAmt,N207),0))</f>
        <v/>
      </c>
      <c r="H207" s="59" t="str">
        <f aca="false">IF(M207="","",IF(M207="S",0,INDEX(in_Payable,N207)))</f>
        <v/>
      </c>
      <c r="I207" s="40" t="str">
        <f aca="false">IF(M207&lt;&gt;"P","",IFERROR(INDEX(cg_Vendor,MATCH(INDEX(in_CGID,N207),cg_ID,0)),""))</f>
        <v/>
      </c>
      <c r="J207" s="26" t="str">
        <f aca="false">IF(M207&lt;&gt;"P","",INDEX(in_CGName,N207))</f>
        <v/>
      </c>
      <c r="K207" s="26" t="str">
        <f aca="false">IF(M207&lt;&gt;"P","",IFERROR(INDEX(cl_Payer,MATCH(INDEX(in_ClientID,N207),cl_ID,0)),"Unassigned"))</f>
        <v/>
      </c>
      <c r="L207" s="26" t="str">
        <f aca="false">IF(M207="","",IF(M207="S","Weekly caregiver pay, week ending "&amp;TEXT(WeekEnd,"m/d/yyyy"),INDEX(in_Svc,N207)&amp;" "&amp;INDEX(in_ClientID,N207)&amp;", "&amp;INDEX(in_Units,N207)&amp;" units"&amp;IF(N(INDEX(in_Miles,N207))&gt;0,", "&amp;INDEX(in_Miles,N207)&amp;" miles","")))</f>
        <v/>
      </c>
      <c r="M207" s="60" t="str">
        <f aca="false">IF(201&gt;acc_TotalLines,"",IF(201&lt;=acc_SumLines,"S","P"))</f>
        <v/>
      </c>
      <c r="N207" s="42" t="str">
        <f aca="false">IF(M207="","",IF(M207="S",MATCH(201,acc_SumSeq,0),MATCH(201-acc_SumLines,in_Seq,0)))</f>
        <v/>
      </c>
    </row>
    <row r="208" customFormat="false" ht="15" hidden="false" customHeight="false" outlineLevel="0" collapsed="false">
      <c r="A208" s="26" t="str">
        <f aca="false">IF(M208="","",JrnPrefix&amp;"-"&amp;TEXT(WeekEnd,"yyyymmdd"))</f>
        <v/>
      </c>
      <c r="B208" s="58" t="str">
        <f aca="false">IF(M208="","",WeekEnd)</f>
        <v/>
      </c>
      <c r="C208" s="52" t="str">
        <f aca="false">IF(M208="","",202)</f>
        <v/>
      </c>
      <c r="D208" s="26" t="str">
        <f aca="false">IF(M208="","",IF(M208="S",IF(INDEX(acc_SumAcct,N208)=MileGL,"Mileage summary","Expense summary"),"Caregiver payable"))</f>
        <v/>
      </c>
      <c r="E208" s="40" t="str">
        <f aca="false">IF(M208="","",IF(M208="S",INDEX(acc_SumAcct,N208),APGL))</f>
        <v/>
      </c>
      <c r="F208" s="26" t="str">
        <f aca="false">IF(M208="","",IF(M208="S",INDEX(acc_SumName,N208),APGLName))</f>
        <v/>
      </c>
      <c r="G208" s="59" t="str">
        <f aca="false">IF(M208="","",IF(M208="S",INDEX(acc_SumAmt,N208),0))</f>
        <v/>
      </c>
      <c r="H208" s="59" t="str">
        <f aca="false">IF(M208="","",IF(M208="S",0,INDEX(in_Payable,N208)))</f>
        <v/>
      </c>
      <c r="I208" s="40" t="str">
        <f aca="false">IF(M208&lt;&gt;"P","",IFERROR(INDEX(cg_Vendor,MATCH(INDEX(in_CGID,N208),cg_ID,0)),""))</f>
        <v/>
      </c>
      <c r="J208" s="26" t="str">
        <f aca="false">IF(M208&lt;&gt;"P","",INDEX(in_CGName,N208))</f>
        <v/>
      </c>
      <c r="K208" s="26" t="str">
        <f aca="false">IF(M208&lt;&gt;"P","",IFERROR(INDEX(cl_Payer,MATCH(INDEX(in_ClientID,N208),cl_ID,0)),"Unassigned"))</f>
        <v/>
      </c>
      <c r="L208" s="26" t="str">
        <f aca="false">IF(M208="","",IF(M208="S","Weekly caregiver pay, week ending "&amp;TEXT(WeekEnd,"m/d/yyyy"),INDEX(in_Svc,N208)&amp;" "&amp;INDEX(in_ClientID,N208)&amp;", "&amp;INDEX(in_Units,N208)&amp;" units"&amp;IF(N(INDEX(in_Miles,N208))&gt;0,", "&amp;INDEX(in_Miles,N208)&amp;" miles","")))</f>
        <v/>
      </c>
      <c r="M208" s="60" t="str">
        <f aca="false">IF(202&gt;acc_TotalLines,"",IF(202&lt;=acc_SumLines,"S","P"))</f>
        <v/>
      </c>
      <c r="N208" s="42" t="str">
        <f aca="false">IF(M208="","",IF(M208="S",MATCH(202,acc_SumSeq,0),MATCH(202-acc_SumLines,in_Seq,0)))</f>
        <v/>
      </c>
    </row>
    <row r="209" customFormat="false" ht="15" hidden="false" customHeight="false" outlineLevel="0" collapsed="false">
      <c r="A209" s="26" t="str">
        <f aca="false">IF(M209="","",JrnPrefix&amp;"-"&amp;TEXT(WeekEnd,"yyyymmdd"))</f>
        <v/>
      </c>
      <c r="B209" s="58" t="str">
        <f aca="false">IF(M209="","",WeekEnd)</f>
        <v/>
      </c>
      <c r="C209" s="52" t="str">
        <f aca="false">IF(M209="","",203)</f>
        <v/>
      </c>
      <c r="D209" s="26" t="str">
        <f aca="false">IF(M209="","",IF(M209="S",IF(INDEX(acc_SumAcct,N209)=MileGL,"Mileage summary","Expense summary"),"Caregiver payable"))</f>
        <v/>
      </c>
      <c r="E209" s="40" t="str">
        <f aca="false">IF(M209="","",IF(M209="S",INDEX(acc_SumAcct,N209),APGL))</f>
        <v/>
      </c>
      <c r="F209" s="26" t="str">
        <f aca="false">IF(M209="","",IF(M209="S",INDEX(acc_SumName,N209),APGLName))</f>
        <v/>
      </c>
      <c r="G209" s="59" t="str">
        <f aca="false">IF(M209="","",IF(M209="S",INDEX(acc_SumAmt,N209),0))</f>
        <v/>
      </c>
      <c r="H209" s="59" t="str">
        <f aca="false">IF(M209="","",IF(M209="S",0,INDEX(in_Payable,N209)))</f>
        <v/>
      </c>
      <c r="I209" s="40" t="str">
        <f aca="false">IF(M209&lt;&gt;"P","",IFERROR(INDEX(cg_Vendor,MATCH(INDEX(in_CGID,N209),cg_ID,0)),""))</f>
        <v/>
      </c>
      <c r="J209" s="26" t="str">
        <f aca="false">IF(M209&lt;&gt;"P","",INDEX(in_CGName,N209))</f>
        <v/>
      </c>
      <c r="K209" s="26" t="str">
        <f aca="false">IF(M209&lt;&gt;"P","",IFERROR(INDEX(cl_Payer,MATCH(INDEX(in_ClientID,N209),cl_ID,0)),"Unassigned"))</f>
        <v/>
      </c>
      <c r="L209" s="26" t="str">
        <f aca="false">IF(M209="","",IF(M209="S","Weekly caregiver pay, week ending "&amp;TEXT(WeekEnd,"m/d/yyyy"),INDEX(in_Svc,N209)&amp;" "&amp;INDEX(in_ClientID,N209)&amp;", "&amp;INDEX(in_Units,N209)&amp;" units"&amp;IF(N(INDEX(in_Miles,N209))&gt;0,", "&amp;INDEX(in_Miles,N209)&amp;" miles","")))</f>
        <v/>
      </c>
      <c r="M209" s="60" t="str">
        <f aca="false">IF(203&gt;acc_TotalLines,"",IF(203&lt;=acc_SumLines,"S","P"))</f>
        <v/>
      </c>
      <c r="N209" s="42" t="str">
        <f aca="false">IF(M209="","",IF(M209="S",MATCH(203,acc_SumSeq,0),MATCH(203-acc_SumLines,in_Seq,0)))</f>
        <v/>
      </c>
    </row>
    <row r="210" customFormat="false" ht="15" hidden="false" customHeight="false" outlineLevel="0" collapsed="false">
      <c r="A210" s="26" t="str">
        <f aca="false">IF(M210="","",JrnPrefix&amp;"-"&amp;TEXT(WeekEnd,"yyyymmdd"))</f>
        <v/>
      </c>
      <c r="B210" s="58" t="str">
        <f aca="false">IF(M210="","",WeekEnd)</f>
        <v/>
      </c>
      <c r="C210" s="52" t="str">
        <f aca="false">IF(M210="","",204)</f>
        <v/>
      </c>
      <c r="D210" s="26" t="str">
        <f aca="false">IF(M210="","",IF(M210="S",IF(INDEX(acc_SumAcct,N210)=MileGL,"Mileage summary","Expense summary"),"Caregiver payable"))</f>
        <v/>
      </c>
      <c r="E210" s="40" t="str">
        <f aca="false">IF(M210="","",IF(M210="S",INDEX(acc_SumAcct,N210),APGL))</f>
        <v/>
      </c>
      <c r="F210" s="26" t="str">
        <f aca="false">IF(M210="","",IF(M210="S",INDEX(acc_SumName,N210),APGLName))</f>
        <v/>
      </c>
      <c r="G210" s="59" t="str">
        <f aca="false">IF(M210="","",IF(M210="S",INDEX(acc_SumAmt,N210),0))</f>
        <v/>
      </c>
      <c r="H210" s="59" t="str">
        <f aca="false">IF(M210="","",IF(M210="S",0,INDEX(in_Payable,N210)))</f>
        <v/>
      </c>
      <c r="I210" s="40" t="str">
        <f aca="false">IF(M210&lt;&gt;"P","",IFERROR(INDEX(cg_Vendor,MATCH(INDEX(in_CGID,N210),cg_ID,0)),""))</f>
        <v/>
      </c>
      <c r="J210" s="26" t="str">
        <f aca="false">IF(M210&lt;&gt;"P","",INDEX(in_CGName,N210))</f>
        <v/>
      </c>
      <c r="K210" s="26" t="str">
        <f aca="false">IF(M210&lt;&gt;"P","",IFERROR(INDEX(cl_Payer,MATCH(INDEX(in_ClientID,N210),cl_ID,0)),"Unassigned"))</f>
        <v/>
      </c>
      <c r="L210" s="26" t="str">
        <f aca="false">IF(M210="","",IF(M210="S","Weekly caregiver pay, week ending "&amp;TEXT(WeekEnd,"m/d/yyyy"),INDEX(in_Svc,N210)&amp;" "&amp;INDEX(in_ClientID,N210)&amp;", "&amp;INDEX(in_Units,N210)&amp;" units"&amp;IF(N(INDEX(in_Miles,N210))&gt;0,", "&amp;INDEX(in_Miles,N210)&amp;" miles","")))</f>
        <v/>
      </c>
      <c r="M210" s="60" t="str">
        <f aca="false">IF(204&gt;acc_TotalLines,"",IF(204&lt;=acc_SumLines,"S","P"))</f>
        <v/>
      </c>
      <c r="N210" s="42" t="str">
        <f aca="false">IF(M210="","",IF(M210="S",MATCH(204,acc_SumSeq,0),MATCH(204-acc_SumLines,in_Seq,0)))</f>
        <v/>
      </c>
    </row>
    <row r="211" customFormat="false" ht="15" hidden="false" customHeight="false" outlineLevel="0" collapsed="false">
      <c r="A211" s="26" t="str">
        <f aca="false">IF(M211="","",JrnPrefix&amp;"-"&amp;TEXT(WeekEnd,"yyyymmdd"))</f>
        <v/>
      </c>
      <c r="B211" s="58" t="str">
        <f aca="false">IF(M211="","",WeekEnd)</f>
        <v/>
      </c>
      <c r="C211" s="52" t="str">
        <f aca="false">IF(M211="","",205)</f>
        <v/>
      </c>
      <c r="D211" s="26" t="str">
        <f aca="false">IF(M211="","",IF(M211="S",IF(INDEX(acc_SumAcct,N211)=MileGL,"Mileage summary","Expense summary"),"Caregiver payable"))</f>
        <v/>
      </c>
      <c r="E211" s="40" t="str">
        <f aca="false">IF(M211="","",IF(M211="S",INDEX(acc_SumAcct,N211),APGL))</f>
        <v/>
      </c>
      <c r="F211" s="26" t="str">
        <f aca="false">IF(M211="","",IF(M211="S",INDEX(acc_SumName,N211),APGLName))</f>
        <v/>
      </c>
      <c r="G211" s="59" t="str">
        <f aca="false">IF(M211="","",IF(M211="S",INDEX(acc_SumAmt,N211),0))</f>
        <v/>
      </c>
      <c r="H211" s="59" t="str">
        <f aca="false">IF(M211="","",IF(M211="S",0,INDEX(in_Payable,N211)))</f>
        <v/>
      </c>
      <c r="I211" s="40" t="str">
        <f aca="false">IF(M211&lt;&gt;"P","",IFERROR(INDEX(cg_Vendor,MATCH(INDEX(in_CGID,N211),cg_ID,0)),""))</f>
        <v/>
      </c>
      <c r="J211" s="26" t="str">
        <f aca="false">IF(M211&lt;&gt;"P","",INDEX(in_CGName,N211))</f>
        <v/>
      </c>
      <c r="K211" s="26" t="str">
        <f aca="false">IF(M211&lt;&gt;"P","",IFERROR(INDEX(cl_Payer,MATCH(INDEX(in_ClientID,N211),cl_ID,0)),"Unassigned"))</f>
        <v/>
      </c>
      <c r="L211" s="26" t="str">
        <f aca="false">IF(M211="","",IF(M211="S","Weekly caregiver pay, week ending "&amp;TEXT(WeekEnd,"m/d/yyyy"),INDEX(in_Svc,N211)&amp;" "&amp;INDEX(in_ClientID,N211)&amp;", "&amp;INDEX(in_Units,N211)&amp;" units"&amp;IF(N(INDEX(in_Miles,N211))&gt;0,", "&amp;INDEX(in_Miles,N211)&amp;" miles","")))</f>
        <v/>
      </c>
      <c r="M211" s="60" t="str">
        <f aca="false">IF(205&gt;acc_TotalLines,"",IF(205&lt;=acc_SumLines,"S","P"))</f>
        <v/>
      </c>
      <c r="N211" s="42" t="str">
        <f aca="false">IF(M211="","",IF(M211="S",MATCH(205,acc_SumSeq,0),MATCH(205-acc_SumLines,in_Seq,0)))</f>
        <v/>
      </c>
    </row>
    <row r="212" customFormat="false" ht="15" hidden="false" customHeight="false" outlineLevel="0" collapsed="false">
      <c r="A212" s="26" t="str">
        <f aca="false">IF(M212="","",JrnPrefix&amp;"-"&amp;TEXT(WeekEnd,"yyyymmdd"))</f>
        <v/>
      </c>
      <c r="B212" s="58" t="str">
        <f aca="false">IF(M212="","",WeekEnd)</f>
        <v/>
      </c>
      <c r="C212" s="52" t="str">
        <f aca="false">IF(M212="","",206)</f>
        <v/>
      </c>
      <c r="D212" s="26" t="str">
        <f aca="false">IF(M212="","",IF(M212="S",IF(INDEX(acc_SumAcct,N212)=MileGL,"Mileage summary","Expense summary"),"Caregiver payable"))</f>
        <v/>
      </c>
      <c r="E212" s="40" t="str">
        <f aca="false">IF(M212="","",IF(M212="S",INDEX(acc_SumAcct,N212),APGL))</f>
        <v/>
      </c>
      <c r="F212" s="26" t="str">
        <f aca="false">IF(M212="","",IF(M212="S",INDEX(acc_SumName,N212),APGLName))</f>
        <v/>
      </c>
      <c r="G212" s="59" t="str">
        <f aca="false">IF(M212="","",IF(M212="S",INDEX(acc_SumAmt,N212),0))</f>
        <v/>
      </c>
      <c r="H212" s="59" t="str">
        <f aca="false">IF(M212="","",IF(M212="S",0,INDEX(in_Payable,N212)))</f>
        <v/>
      </c>
      <c r="I212" s="40" t="str">
        <f aca="false">IF(M212&lt;&gt;"P","",IFERROR(INDEX(cg_Vendor,MATCH(INDEX(in_CGID,N212),cg_ID,0)),""))</f>
        <v/>
      </c>
      <c r="J212" s="26" t="str">
        <f aca="false">IF(M212&lt;&gt;"P","",INDEX(in_CGName,N212))</f>
        <v/>
      </c>
      <c r="K212" s="26" t="str">
        <f aca="false">IF(M212&lt;&gt;"P","",IFERROR(INDEX(cl_Payer,MATCH(INDEX(in_ClientID,N212),cl_ID,0)),"Unassigned"))</f>
        <v/>
      </c>
      <c r="L212" s="26" t="str">
        <f aca="false">IF(M212="","",IF(M212="S","Weekly caregiver pay, week ending "&amp;TEXT(WeekEnd,"m/d/yyyy"),INDEX(in_Svc,N212)&amp;" "&amp;INDEX(in_ClientID,N212)&amp;", "&amp;INDEX(in_Units,N212)&amp;" units"&amp;IF(N(INDEX(in_Miles,N212))&gt;0,", "&amp;INDEX(in_Miles,N212)&amp;" miles","")))</f>
        <v/>
      </c>
      <c r="M212" s="60" t="str">
        <f aca="false">IF(206&gt;acc_TotalLines,"",IF(206&lt;=acc_SumLines,"S","P"))</f>
        <v/>
      </c>
      <c r="N212" s="42" t="str">
        <f aca="false">IF(M212="","",IF(M212="S",MATCH(206,acc_SumSeq,0),MATCH(206-acc_SumLines,in_Seq,0)))</f>
        <v/>
      </c>
    </row>
    <row r="213" customFormat="false" ht="15" hidden="false" customHeight="false" outlineLevel="0" collapsed="false">
      <c r="A213" s="26" t="str">
        <f aca="false">IF(M213="","",JrnPrefix&amp;"-"&amp;TEXT(WeekEnd,"yyyymmdd"))</f>
        <v/>
      </c>
      <c r="B213" s="58" t="str">
        <f aca="false">IF(M213="","",WeekEnd)</f>
        <v/>
      </c>
      <c r="C213" s="52" t="str">
        <f aca="false">IF(M213="","",207)</f>
        <v/>
      </c>
      <c r="D213" s="26" t="str">
        <f aca="false">IF(M213="","",IF(M213="S",IF(INDEX(acc_SumAcct,N213)=MileGL,"Mileage summary","Expense summary"),"Caregiver payable"))</f>
        <v/>
      </c>
      <c r="E213" s="40" t="str">
        <f aca="false">IF(M213="","",IF(M213="S",INDEX(acc_SumAcct,N213),APGL))</f>
        <v/>
      </c>
      <c r="F213" s="26" t="str">
        <f aca="false">IF(M213="","",IF(M213="S",INDEX(acc_SumName,N213),APGLName))</f>
        <v/>
      </c>
      <c r="G213" s="59" t="str">
        <f aca="false">IF(M213="","",IF(M213="S",INDEX(acc_SumAmt,N213),0))</f>
        <v/>
      </c>
      <c r="H213" s="59" t="str">
        <f aca="false">IF(M213="","",IF(M213="S",0,INDEX(in_Payable,N213)))</f>
        <v/>
      </c>
      <c r="I213" s="40" t="str">
        <f aca="false">IF(M213&lt;&gt;"P","",IFERROR(INDEX(cg_Vendor,MATCH(INDEX(in_CGID,N213),cg_ID,0)),""))</f>
        <v/>
      </c>
      <c r="J213" s="26" t="str">
        <f aca="false">IF(M213&lt;&gt;"P","",INDEX(in_CGName,N213))</f>
        <v/>
      </c>
      <c r="K213" s="26" t="str">
        <f aca="false">IF(M213&lt;&gt;"P","",IFERROR(INDEX(cl_Payer,MATCH(INDEX(in_ClientID,N213),cl_ID,0)),"Unassigned"))</f>
        <v/>
      </c>
      <c r="L213" s="26" t="str">
        <f aca="false">IF(M213="","",IF(M213="S","Weekly caregiver pay, week ending "&amp;TEXT(WeekEnd,"m/d/yyyy"),INDEX(in_Svc,N213)&amp;" "&amp;INDEX(in_ClientID,N213)&amp;", "&amp;INDEX(in_Units,N213)&amp;" units"&amp;IF(N(INDEX(in_Miles,N213))&gt;0,", "&amp;INDEX(in_Miles,N213)&amp;" miles","")))</f>
        <v/>
      </c>
      <c r="M213" s="60" t="str">
        <f aca="false">IF(207&gt;acc_TotalLines,"",IF(207&lt;=acc_SumLines,"S","P"))</f>
        <v/>
      </c>
      <c r="N213" s="42" t="str">
        <f aca="false">IF(M213="","",IF(M213="S",MATCH(207,acc_SumSeq,0),MATCH(207-acc_SumLines,in_Seq,0)))</f>
        <v/>
      </c>
    </row>
    <row r="214" customFormat="false" ht="15" hidden="false" customHeight="false" outlineLevel="0" collapsed="false">
      <c r="A214" s="26" t="str">
        <f aca="false">IF(M214="","",JrnPrefix&amp;"-"&amp;TEXT(WeekEnd,"yyyymmdd"))</f>
        <v/>
      </c>
      <c r="B214" s="58" t="str">
        <f aca="false">IF(M214="","",WeekEnd)</f>
        <v/>
      </c>
      <c r="C214" s="52" t="str">
        <f aca="false">IF(M214="","",208)</f>
        <v/>
      </c>
      <c r="D214" s="26" t="str">
        <f aca="false">IF(M214="","",IF(M214="S",IF(INDEX(acc_SumAcct,N214)=MileGL,"Mileage summary","Expense summary"),"Caregiver payable"))</f>
        <v/>
      </c>
      <c r="E214" s="40" t="str">
        <f aca="false">IF(M214="","",IF(M214="S",INDEX(acc_SumAcct,N214),APGL))</f>
        <v/>
      </c>
      <c r="F214" s="26" t="str">
        <f aca="false">IF(M214="","",IF(M214="S",INDEX(acc_SumName,N214),APGLName))</f>
        <v/>
      </c>
      <c r="G214" s="59" t="str">
        <f aca="false">IF(M214="","",IF(M214="S",INDEX(acc_SumAmt,N214),0))</f>
        <v/>
      </c>
      <c r="H214" s="59" t="str">
        <f aca="false">IF(M214="","",IF(M214="S",0,INDEX(in_Payable,N214)))</f>
        <v/>
      </c>
      <c r="I214" s="40" t="str">
        <f aca="false">IF(M214&lt;&gt;"P","",IFERROR(INDEX(cg_Vendor,MATCH(INDEX(in_CGID,N214),cg_ID,0)),""))</f>
        <v/>
      </c>
      <c r="J214" s="26" t="str">
        <f aca="false">IF(M214&lt;&gt;"P","",INDEX(in_CGName,N214))</f>
        <v/>
      </c>
      <c r="K214" s="26" t="str">
        <f aca="false">IF(M214&lt;&gt;"P","",IFERROR(INDEX(cl_Payer,MATCH(INDEX(in_ClientID,N214),cl_ID,0)),"Unassigned"))</f>
        <v/>
      </c>
      <c r="L214" s="26" t="str">
        <f aca="false">IF(M214="","",IF(M214="S","Weekly caregiver pay, week ending "&amp;TEXT(WeekEnd,"m/d/yyyy"),INDEX(in_Svc,N214)&amp;" "&amp;INDEX(in_ClientID,N214)&amp;", "&amp;INDEX(in_Units,N214)&amp;" units"&amp;IF(N(INDEX(in_Miles,N214))&gt;0,", "&amp;INDEX(in_Miles,N214)&amp;" miles","")))</f>
        <v/>
      </c>
      <c r="M214" s="60" t="str">
        <f aca="false">IF(208&gt;acc_TotalLines,"",IF(208&lt;=acc_SumLines,"S","P"))</f>
        <v/>
      </c>
      <c r="N214" s="42" t="str">
        <f aca="false">IF(M214="","",IF(M214="S",MATCH(208,acc_SumSeq,0),MATCH(208-acc_SumLines,in_Seq,0)))</f>
        <v/>
      </c>
    </row>
    <row r="215" customFormat="false" ht="15" hidden="false" customHeight="false" outlineLevel="0" collapsed="false">
      <c r="A215" s="26" t="str">
        <f aca="false">IF(M215="","",JrnPrefix&amp;"-"&amp;TEXT(WeekEnd,"yyyymmdd"))</f>
        <v/>
      </c>
      <c r="B215" s="58" t="str">
        <f aca="false">IF(M215="","",WeekEnd)</f>
        <v/>
      </c>
      <c r="C215" s="52" t="str">
        <f aca="false">IF(M215="","",209)</f>
        <v/>
      </c>
      <c r="D215" s="26" t="str">
        <f aca="false">IF(M215="","",IF(M215="S",IF(INDEX(acc_SumAcct,N215)=MileGL,"Mileage summary","Expense summary"),"Caregiver payable"))</f>
        <v/>
      </c>
      <c r="E215" s="40" t="str">
        <f aca="false">IF(M215="","",IF(M215="S",INDEX(acc_SumAcct,N215),APGL))</f>
        <v/>
      </c>
      <c r="F215" s="26" t="str">
        <f aca="false">IF(M215="","",IF(M215="S",INDEX(acc_SumName,N215),APGLName))</f>
        <v/>
      </c>
      <c r="G215" s="59" t="str">
        <f aca="false">IF(M215="","",IF(M215="S",INDEX(acc_SumAmt,N215),0))</f>
        <v/>
      </c>
      <c r="H215" s="59" t="str">
        <f aca="false">IF(M215="","",IF(M215="S",0,INDEX(in_Payable,N215)))</f>
        <v/>
      </c>
      <c r="I215" s="40" t="str">
        <f aca="false">IF(M215&lt;&gt;"P","",IFERROR(INDEX(cg_Vendor,MATCH(INDEX(in_CGID,N215),cg_ID,0)),""))</f>
        <v/>
      </c>
      <c r="J215" s="26" t="str">
        <f aca="false">IF(M215&lt;&gt;"P","",INDEX(in_CGName,N215))</f>
        <v/>
      </c>
      <c r="K215" s="26" t="str">
        <f aca="false">IF(M215&lt;&gt;"P","",IFERROR(INDEX(cl_Payer,MATCH(INDEX(in_ClientID,N215),cl_ID,0)),"Unassigned"))</f>
        <v/>
      </c>
      <c r="L215" s="26" t="str">
        <f aca="false">IF(M215="","",IF(M215="S","Weekly caregiver pay, week ending "&amp;TEXT(WeekEnd,"m/d/yyyy"),INDEX(in_Svc,N215)&amp;" "&amp;INDEX(in_ClientID,N215)&amp;", "&amp;INDEX(in_Units,N215)&amp;" units"&amp;IF(N(INDEX(in_Miles,N215))&gt;0,", "&amp;INDEX(in_Miles,N215)&amp;" miles","")))</f>
        <v/>
      </c>
      <c r="M215" s="60" t="str">
        <f aca="false">IF(209&gt;acc_TotalLines,"",IF(209&lt;=acc_SumLines,"S","P"))</f>
        <v/>
      </c>
      <c r="N215" s="42" t="str">
        <f aca="false">IF(M215="","",IF(M215="S",MATCH(209,acc_SumSeq,0),MATCH(209-acc_SumLines,in_Seq,0)))</f>
        <v/>
      </c>
    </row>
    <row r="216" customFormat="false" ht="15" hidden="false" customHeight="false" outlineLevel="0" collapsed="false">
      <c r="A216" s="26" t="str">
        <f aca="false">IF(M216="","",JrnPrefix&amp;"-"&amp;TEXT(WeekEnd,"yyyymmdd"))</f>
        <v/>
      </c>
      <c r="B216" s="58" t="str">
        <f aca="false">IF(M216="","",WeekEnd)</f>
        <v/>
      </c>
      <c r="C216" s="52" t="str">
        <f aca="false">IF(M216="","",210)</f>
        <v/>
      </c>
      <c r="D216" s="26" t="str">
        <f aca="false">IF(M216="","",IF(M216="S",IF(INDEX(acc_SumAcct,N216)=MileGL,"Mileage summary","Expense summary"),"Caregiver payable"))</f>
        <v/>
      </c>
      <c r="E216" s="40" t="str">
        <f aca="false">IF(M216="","",IF(M216="S",INDEX(acc_SumAcct,N216),APGL))</f>
        <v/>
      </c>
      <c r="F216" s="26" t="str">
        <f aca="false">IF(M216="","",IF(M216="S",INDEX(acc_SumName,N216),APGLName))</f>
        <v/>
      </c>
      <c r="G216" s="59" t="str">
        <f aca="false">IF(M216="","",IF(M216="S",INDEX(acc_SumAmt,N216),0))</f>
        <v/>
      </c>
      <c r="H216" s="59" t="str">
        <f aca="false">IF(M216="","",IF(M216="S",0,INDEX(in_Payable,N216)))</f>
        <v/>
      </c>
      <c r="I216" s="40" t="str">
        <f aca="false">IF(M216&lt;&gt;"P","",IFERROR(INDEX(cg_Vendor,MATCH(INDEX(in_CGID,N216),cg_ID,0)),""))</f>
        <v/>
      </c>
      <c r="J216" s="26" t="str">
        <f aca="false">IF(M216&lt;&gt;"P","",INDEX(in_CGName,N216))</f>
        <v/>
      </c>
      <c r="K216" s="26" t="str">
        <f aca="false">IF(M216&lt;&gt;"P","",IFERROR(INDEX(cl_Payer,MATCH(INDEX(in_ClientID,N216),cl_ID,0)),"Unassigned"))</f>
        <v/>
      </c>
      <c r="L216" s="26" t="str">
        <f aca="false">IF(M216="","",IF(M216="S","Weekly caregiver pay, week ending "&amp;TEXT(WeekEnd,"m/d/yyyy"),INDEX(in_Svc,N216)&amp;" "&amp;INDEX(in_ClientID,N216)&amp;", "&amp;INDEX(in_Units,N216)&amp;" units"&amp;IF(N(INDEX(in_Miles,N216))&gt;0,", "&amp;INDEX(in_Miles,N216)&amp;" miles","")))</f>
        <v/>
      </c>
      <c r="M216" s="60" t="str">
        <f aca="false">IF(210&gt;acc_TotalLines,"",IF(210&lt;=acc_SumLines,"S","P"))</f>
        <v/>
      </c>
      <c r="N216" s="42" t="str">
        <f aca="false">IF(M216="","",IF(M216="S",MATCH(210,acc_SumSeq,0),MATCH(210-acc_SumLines,in_Seq,0)))</f>
        <v/>
      </c>
    </row>
    <row r="217" customFormat="false" ht="15" hidden="false" customHeight="false" outlineLevel="0" collapsed="false">
      <c r="A217" s="26" t="str">
        <f aca="false">IF(M217="","",JrnPrefix&amp;"-"&amp;TEXT(WeekEnd,"yyyymmdd"))</f>
        <v/>
      </c>
      <c r="B217" s="58" t="str">
        <f aca="false">IF(M217="","",WeekEnd)</f>
        <v/>
      </c>
      <c r="C217" s="52" t="str">
        <f aca="false">IF(M217="","",211)</f>
        <v/>
      </c>
      <c r="D217" s="26" t="str">
        <f aca="false">IF(M217="","",IF(M217="S",IF(INDEX(acc_SumAcct,N217)=MileGL,"Mileage summary","Expense summary"),"Caregiver payable"))</f>
        <v/>
      </c>
      <c r="E217" s="40" t="str">
        <f aca="false">IF(M217="","",IF(M217="S",INDEX(acc_SumAcct,N217),APGL))</f>
        <v/>
      </c>
      <c r="F217" s="26" t="str">
        <f aca="false">IF(M217="","",IF(M217="S",INDEX(acc_SumName,N217),APGLName))</f>
        <v/>
      </c>
      <c r="G217" s="59" t="str">
        <f aca="false">IF(M217="","",IF(M217="S",INDEX(acc_SumAmt,N217),0))</f>
        <v/>
      </c>
      <c r="H217" s="59" t="str">
        <f aca="false">IF(M217="","",IF(M217="S",0,INDEX(in_Payable,N217)))</f>
        <v/>
      </c>
      <c r="I217" s="40" t="str">
        <f aca="false">IF(M217&lt;&gt;"P","",IFERROR(INDEX(cg_Vendor,MATCH(INDEX(in_CGID,N217),cg_ID,0)),""))</f>
        <v/>
      </c>
      <c r="J217" s="26" t="str">
        <f aca="false">IF(M217&lt;&gt;"P","",INDEX(in_CGName,N217))</f>
        <v/>
      </c>
      <c r="K217" s="26" t="str">
        <f aca="false">IF(M217&lt;&gt;"P","",IFERROR(INDEX(cl_Payer,MATCH(INDEX(in_ClientID,N217),cl_ID,0)),"Unassigned"))</f>
        <v/>
      </c>
      <c r="L217" s="26" t="str">
        <f aca="false">IF(M217="","",IF(M217="S","Weekly caregiver pay, week ending "&amp;TEXT(WeekEnd,"m/d/yyyy"),INDEX(in_Svc,N217)&amp;" "&amp;INDEX(in_ClientID,N217)&amp;", "&amp;INDEX(in_Units,N217)&amp;" units"&amp;IF(N(INDEX(in_Miles,N217))&gt;0,", "&amp;INDEX(in_Miles,N217)&amp;" miles","")))</f>
        <v/>
      </c>
      <c r="M217" s="60" t="str">
        <f aca="false">IF(211&gt;acc_TotalLines,"",IF(211&lt;=acc_SumLines,"S","P"))</f>
        <v/>
      </c>
      <c r="N217" s="42" t="str">
        <f aca="false">IF(M217="","",IF(M217="S",MATCH(211,acc_SumSeq,0),MATCH(211-acc_SumLines,in_Seq,0)))</f>
        <v/>
      </c>
    </row>
    <row r="218" customFormat="false" ht="15" hidden="false" customHeight="false" outlineLevel="0" collapsed="false">
      <c r="A218" s="26" t="str">
        <f aca="false">IF(M218="","",JrnPrefix&amp;"-"&amp;TEXT(WeekEnd,"yyyymmdd"))</f>
        <v/>
      </c>
      <c r="B218" s="58" t="str">
        <f aca="false">IF(M218="","",WeekEnd)</f>
        <v/>
      </c>
      <c r="C218" s="52" t="str">
        <f aca="false">IF(M218="","",212)</f>
        <v/>
      </c>
      <c r="D218" s="26" t="str">
        <f aca="false">IF(M218="","",IF(M218="S",IF(INDEX(acc_SumAcct,N218)=MileGL,"Mileage summary","Expense summary"),"Caregiver payable"))</f>
        <v/>
      </c>
      <c r="E218" s="40" t="str">
        <f aca="false">IF(M218="","",IF(M218="S",INDEX(acc_SumAcct,N218),APGL))</f>
        <v/>
      </c>
      <c r="F218" s="26" t="str">
        <f aca="false">IF(M218="","",IF(M218="S",INDEX(acc_SumName,N218),APGLName))</f>
        <v/>
      </c>
      <c r="G218" s="59" t="str">
        <f aca="false">IF(M218="","",IF(M218="S",INDEX(acc_SumAmt,N218),0))</f>
        <v/>
      </c>
      <c r="H218" s="59" t="str">
        <f aca="false">IF(M218="","",IF(M218="S",0,INDEX(in_Payable,N218)))</f>
        <v/>
      </c>
      <c r="I218" s="40" t="str">
        <f aca="false">IF(M218&lt;&gt;"P","",IFERROR(INDEX(cg_Vendor,MATCH(INDEX(in_CGID,N218),cg_ID,0)),""))</f>
        <v/>
      </c>
      <c r="J218" s="26" t="str">
        <f aca="false">IF(M218&lt;&gt;"P","",INDEX(in_CGName,N218))</f>
        <v/>
      </c>
      <c r="K218" s="26" t="str">
        <f aca="false">IF(M218&lt;&gt;"P","",IFERROR(INDEX(cl_Payer,MATCH(INDEX(in_ClientID,N218),cl_ID,0)),"Unassigned"))</f>
        <v/>
      </c>
      <c r="L218" s="26" t="str">
        <f aca="false">IF(M218="","",IF(M218="S","Weekly caregiver pay, week ending "&amp;TEXT(WeekEnd,"m/d/yyyy"),INDEX(in_Svc,N218)&amp;" "&amp;INDEX(in_ClientID,N218)&amp;", "&amp;INDEX(in_Units,N218)&amp;" units"&amp;IF(N(INDEX(in_Miles,N218))&gt;0,", "&amp;INDEX(in_Miles,N218)&amp;" miles","")))</f>
        <v/>
      </c>
      <c r="M218" s="60" t="str">
        <f aca="false">IF(212&gt;acc_TotalLines,"",IF(212&lt;=acc_SumLines,"S","P"))</f>
        <v/>
      </c>
      <c r="N218" s="42" t="str">
        <f aca="false">IF(M218="","",IF(M218="S",MATCH(212,acc_SumSeq,0),MATCH(212-acc_SumLines,in_Seq,0)))</f>
        <v/>
      </c>
    </row>
    <row r="219" customFormat="false" ht="15" hidden="false" customHeight="false" outlineLevel="0" collapsed="false">
      <c r="A219" s="26" t="str">
        <f aca="false">IF(M219="","",JrnPrefix&amp;"-"&amp;TEXT(WeekEnd,"yyyymmdd"))</f>
        <v/>
      </c>
      <c r="B219" s="58" t="str">
        <f aca="false">IF(M219="","",WeekEnd)</f>
        <v/>
      </c>
      <c r="C219" s="52" t="str">
        <f aca="false">IF(M219="","",213)</f>
        <v/>
      </c>
      <c r="D219" s="26" t="str">
        <f aca="false">IF(M219="","",IF(M219="S",IF(INDEX(acc_SumAcct,N219)=MileGL,"Mileage summary","Expense summary"),"Caregiver payable"))</f>
        <v/>
      </c>
      <c r="E219" s="40" t="str">
        <f aca="false">IF(M219="","",IF(M219="S",INDEX(acc_SumAcct,N219),APGL))</f>
        <v/>
      </c>
      <c r="F219" s="26" t="str">
        <f aca="false">IF(M219="","",IF(M219="S",INDEX(acc_SumName,N219),APGLName))</f>
        <v/>
      </c>
      <c r="G219" s="59" t="str">
        <f aca="false">IF(M219="","",IF(M219="S",INDEX(acc_SumAmt,N219),0))</f>
        <v/>
      </c>
      <c r="H219" s="59" t="str">
        <f aca="false">IF(M219="","",IF(M219="S",0,INDEX(in_Payable,N219)))</f>
        <v/>
      </c>
      <c r="I219" s="40" t="str">
        <f aca="false">IF(M219&lt;&gt;"P","",IFERROR(INDEX(cg_Vendor,MATCH(INDEX(in_CGID,N219),cg_ID,0)),""))</f>
        <v/>
      </c>
      <c r="J219" s="26" t="str">
        <f aca="false">IF(M219&lt;&gt;"P","",INDEX(in_CGName,N219))</f>
        <v/>
      </c>
      <c r="K219" s="26" t="str">
        <f aca="false">IF(M219&lt;&gt;"P","",IFERROR(INDEX(cl_Payer,MATCH(INDEX(in_ClientID,N219),cl_ID,0)),"Unassigned"))</f>
        <v/>
      </c>
      <c r="L219" s="26" t="str">
        <f aca="false">IF(M219="","",IF(M219="S","Weekly caregiver pay, week ending "&amp;TEXT(WeekEnd,"m/d/yyyy"),INDEX(in_Svc,N219)&amp;" "&amp;INDEX(in_ClientID,N219)&amp;", "&amp;INDEX(in_Units,N219)&amp;" units"&amp;IF(N(INDEX(in_Miles,N219))&gt;0,", "&amp;INDEX(in_Miles,N219)&amp;" miles","")))</f>
        <v/>
      </c>
      <c r="M219" s="60" t="str">
        <f aca="false">IF(213&gt;acc_TotalLines,"",IF(213&lt;=acc_SumLines,"S","P"))</f>
        <v/>
      </c>
      <c r="N219" s="42" t="str">
        <f aca="false">IF(M219="","",IF(M219="S",MATCH(213,acc_SumSeq,0),MATCH(213-acc_SumLines,in_Seq,0)))</f>
        <v/>
      </c>
    </row>
    <row r="220" customFormat="false" ht="15" hidden="false" customHeight="false" outlineLevel="0" collapsed="false">
      <c r="A220" s="26" t="str">
        <f aca="false">IF(M220="","",JrnPrefix&amp;"-"&amp;TEXT(WeekEnd,"yyyymmdd"))</f>
        <v/>
      </c>
      <c r="B220" s="58" t="str">
        <f aca="false">IF(M220="","",WeekEnd)</f>
        <v/>
      </c>
      <c r="C220" s="52" t="str">
        <f aca="false">IF(M220="","",214)</f>
        <v/>
      </c>
      <c r="D220" s="26" t="str">
        <f aca="false">IF(M220="","",IF(M220="S",IF(INDEX(acc_SumAcct,N220)=MileGL,"Mileage summary","Expense summary"),"Caregiver payable"))</f>
        <v/>
      </c>
      <c r="E220" s="40" t="str">
        <f aca="false">IF(M220="","",IF(M220="S",INDEX(acc_SumAcct,N220),APGL))</f>
        <v/>
      </c>
      <c r="F220" s="26" t="str">
        <f aca="false">IF(M220="","",IF(M220="S",INDEX(acc_SumName,N220),APGLName))</f>
        <v/>
      </c>
      <c r="G220" s="59" t="str">
        <f aca="false">IF(M220="","",IF(M220="S",INDEX(acc_SumAmt,N220),0))</f>
        <v/>
      </c>
      <c r="H220" s="59" t="str">
        <f aca="false">IF(M220="","",IF(M220="S",0,INDEX(in_Payable,N220)))</f>
        <v/>
      </c>
      <c r="I220" s="40" t="str">
        <f aca="false">IF(M220&lt;&gt;"P","",IFERROR(INDEX(cg_Vendor,MATCH(INDEX(in_CGID,N220),cg_ID,0)),""))</f>
        <v/>
      </c>
      <c r="J220" s="26" t="str">
        <f aca="false">IF(M220&lt;&gt;"P","",INDEX(in_CGName,N220))</f>
        <v/>
      </c>
      <c r="K220" s="26" t="str">
        <f aca="false">IF(M220&lt;&gt;"P","",IFERROR(INDEX(cl_Payer,MATCH(INDEX(in_ClientID,N220),cl_ID,0)),"Unassigned"))</f>
        <v/>
      </c>
      <c r="L220" s="26" t="str">
        <f aca="false">IF(M220="","",IF(M220="S","Weekly caregiver pay, week ending "&amp;TEXT(WeekEnd,"m/d/yyyy"),INDEX(in_Svc,N220)&amp;" "&amp;INDEX(in_ClientID,N220)&amp;", "&amp;INDEX(in_Units,N220)&amp;" units"&amp;IF(N(INDEX(in_Miles,N220))&gt;0,", "&amp;INDEX(in_Miles,N220)&amp;" miles","")))</f>
        <v/>
      </c>
      <c r="M220" s="60" t="str">
        <f aca="false">IF(214&gt;acc_TotalLines,"",IF(214&lt;=acc_SumLines,"S","P"))</f>
        <v/>
      </c>
      <c r="N220" s="42" t="str">
        <f aca="false">IF(M220="","",IF(M220="S",MATCH(214,acc_SumSeq,0),MATCH(214-acc_SumLines,in_Seq,0)))</f>
        <v/>
      </c>
    </row>
    <row r="221" customFormat="false" ht="15" hidden="false" customHeight="false" outlineLevel="0" collapsed="false">
      <c r="A221" s="26" t="str">
        <f aca="false">IF(M221="","",JrnPrefix&amp;"-"&amp;TEXT(WeekEnd,"yyyymmdd"))</f>
        <v/>
      </c>
      <c r="B221" s="58" t="str">
        <f aca="false">IF(M221="","",WeekEnd)</f>
        <v/>
      </c>
      <c r="C221" s="52" t="str">
        <f aca="false">IF(M221="","",215)</f>
        <v/>
      </c>
      <c r="D221" s="26" t="str">
        <f aca="false">IF(M221="","",IF(M221="S",IF(INDEX(acc_SumAcct,N221)=MileGL,"Mileage summary","Expense summary"),"Caregiver payable"))</f>
        <v/>
      </c>
      <c r="E221" s="40" t="str">
        <f aca="false">IF(M221="","",IF(M221="S",INDEX(acc_SumAcct,N221),APGL))</f>
        <v/>
      </c>
      <c r="F221" s="26" t="str">
        <f aca="false">IF(M221="","",IF(M221="S",INDEX(acc_SumName,N221),APGLName))</f>
        <v/>
      </c>
      <c r="G221" s="59" t="str">
        <f aca="false">IF(M221="","",IF(M221="S",INDEX(acc_SumAmt,N221),0))</f>
        <v/>
      </c>
      <c r="H221" s="59" t="str">
        <f aca="false">IF(M221="","",IF(M221="S",0,INDEX(in_Payable,N221)))</f>
        <v/>
      </c>
      <c r="I221" s="40" t="str">
        <f aca="false">IF(M221&lt;&gt;"P","",IFERROR(INDEX(cg_Vendor,MATCH(INDEX(in_CGID,N221),cg_ID,0)),""))</f>
        <v/>
      </c>
      <c r="J221" s="26" t="str">
        <f aca="false">IF(M221&lt;&gt;"P","",INDEX(in_CGName,N221))</f>
        <v/>
      </c>
      <c r="K221" s="26" t="str">
        <f aca="false">IF(M221&lt;&gt;"P","",IFERROR(INDEX(cl_Payer,MATCH(INDEX(in_ClientID,N221),cl_ID,0)),"Unassigned"))</f>
        <v/>
      </c>
      <c r="L221" s="26" t="str">
        <f aca="false">IF(M221="","",IF(M221="S","Weekly caregiver pay, week ending "&amp;TEXT(WeekEnd,"m/d/yyyy"),INDEX(in_Svc,N221)&amp;" "&amp;INDEX(in_ClientID,N221)&amp;", "&amp;INDEX(in_Units,N221)&amp;" units"&amp;IF(N(INDEX(in_Miles,N221))&gt;0,", "&amp;INDEX(in_Miles,N221)&amp;" miles","")))</f>
        <v/>
      </c>
      <c r="M221" s="60" t="str">
        <f aca="false">IF(215&gt;acc_TotalLines,"",IF(215&lt;=acc_SumLines,"S","P"))</f>
        <v/>
      </c>
      <c r="N221" s="42" t="str">
        <f aca="false">IF(M221="","",IF(M221="S",MATCH(215,acc_SumSeq,0),MATCH(215-acc_SumLines,in_Seq,0)))</f>
        <v/>
      </c>
    </row>
    <row r="222" customFormat="false" ht="15" hidden="false" customHeight="false" outlineLevel="0" collapsed="false">
      <c r="A222" s="26" t="str">
        <f aca="false">IF(M222="","",JrnPrefix&amp;"-"&amp;TEXT(WeekEnd,"yyyymmdd"))</f>
        <v/>
      </c>
      <c r="B222" s="58" t="str">
        <f aca="false">IF(M222="","",WeekEnd)</f>
        <v/>
      </c>
      <c r="C222" s="52" t="str">
        <f aca="false">IF(M222="","",216)</f>
        <v/>
      </c>
      <c r="D222" s="26" t="str">
        <f aca="false">IF(M222="","",IF(M222="S",IF(INDEX(acc_SumAcct,N222)=MileGL,"Mileage summary","Expense summary"),"Caregiver payable"))</f>
        <v/>
      </c>
      <c r="E222" s="40" t="str">
        <f aca="false">IF(M222="","",IF(M222="S",INDEX(acc_SumAcct,N222),APGL))</f>
        <v/>
      </c>
      <c r="F222" s="26" t="str">
        <f aca="false">IF(M222="","",IF(M222="S",INDEX(acc_SumName,N222),APGLName))</f>
        <v/>
      </c>
      <c r="G222" s="59" t="str">
        <f aca="false">IF(M222="","",IF(M222="S",INDEX(acc_SumAmt,N222),0))</f>
        <v/>
      </c>
      <c r="H222" s="59" t="str">
        <f aca="false">IF(M222="","",IF(M222="S",0,INDEX(in_Payable,N222)))</f>
        <v/>
      </c>
      <c r="I222" s="40" t="str">
        <f aca="false">IF(M222&lt;&gt;"P","",IFERROR(INDEX(cg_Vendor,MATCH(INDEX(in_CGID,N222),cg_ID,0)),""))</f>
        <v/>
      </c>
      <c r="J222" s="26" t="str">
        <f aca="false">IF(M222&lt;&gt;"P","",INDEX(in_CGName,N222))</f>
        <v/>
      </c>
      <c r="K222" s="26" t="str">
        <f aca="false">IF(M222&lt;&gt;"P","",IFERROR(INDEX(cl_Payer,MATCH(INDEX(in_ClientID,N222),cl_ID,0)),"Unassigned"))</f>
        <v/>
      </c>
      <c r="L222" s="26" t="str">
        <f aca="false">IF(M222="","",IF(M222="S","Weekly caregiver pay, week ending "&amp;TEXT(WeekEnd,"m/d/yyyy"),INDEX(in_Svc,N222)&amp;" "&amp;INDEX(in_ClientID,N222)&amp;", "&amp;INDEX(in_Units,N222)&amp;" units"&amp;IF(N(INDEX(in_Miles,N222))&gt;0,", "&amp;INDEX(in_Miles,N222)&amp;" miles","")))</f>
        <v/>
      </c>
      <c r="M222" s="60" t="str">
        <f aca="false">IF(216&gt;acc_TotalLines,"",IF(216&lt;=acc_SumLines,"S","P"))</f>
        <v/>
      </c>
      <c r="N222" s="42" t="str">
        <f aca="false">IF(M222="","",IF(M222="S",MATCH(216,acc_SumSeq,0),MATCH(216-acc_SumLines,in_Seq,0)))</f>
        <v/>
      </c>
    </row>
    <row r="223" customFormat="false" ht="15" hidden="false" customHeight="false" outlineLevel="0" collapsed="false">
      <c r="A223" s="26" t="str">
        <f aca="false">IF(M223="","",JrnPrefix&amp;"-"&amp;TEXT(WeekEnd,"yyyymmdd"))</f>
        <v/>
      </c>
      <c r="B223" s="58" t="str">
        <f aca="false">IF(M223="","",WeekEnd)</f>
        <v/>
      </c>
      <c r="C223" s="52" t="str">
        <f aca="false">IF(M223="","",217)</f>
        <v/>
      </c>
      <c r="D223" s="26" t="str">
        <f aca="false">IF(M223="","",IF(M223="S",IF(INDEX(acc_SumAcct,N223)=MileGL,"Mileage summary","Expense summary"),"Caregiver payable"))</f>
        <v/>
      </c>
      <c r="E223" s="40" t="str">
        <f aca="false">IF(M223="","",IF(M223="S",INDEX(acc_SumAcct,N223),APGL))</f>
        <v/>
      </c>
      <c r="F223" s="26" t="str">
        <f aca="false">IF(M223="","",IF(M223="S",INDEX(acc_SumName,N223),APGLName))</f>
        <v/>
      </c>
      <c r="G223" s="59" t="str">
        <f aca="false">IF(M223="","",IF(M223="S",INDEX(acc_SumAmt,N223),0))</f>
        <v/>
      </c>
      <c r="H223" s="59" t="str">
        <f aca="false">IF(M223="","",IF(M223="S",0,INDEX(in_Payable,N223)))</f>
        <v/>
      </c>
      <c r="I223" s="40" t="str">
        <f aca="false">IF(M223&lt;&gt;"P","",IFERROR(INDEX(cg_Vendor,MATCH(INDEX(in_CGID,N223),cg_ID,0)),""))</f>
        <v/>
      </c>
      <c r="J223" s="26" t="str">
        <f aca="false">IF(M223&lt;&gt;"P","",INDEX(in_CGName,N223))</f>
        <v/>
      </c>
      <c r="K223" s="26" t="str">
        <f aca="false">IF(M223&lt;&gt;"P","",IFERROR(INDEX(cl_Payer,MATCH(INDEX(in_ClientID,N223),cl_ID,0)),"Unassigned"))</f>
        <v/>
      </c>
      <c r="L223" s="26" t="str">
        <f aca="false">IF(M223="","",IF(M223="S","Weekly caregiver pay, week ending "&amp;TEXT(WeekEnd,"m/d/yyyy"),INDEX(in_Svc,N223)&amp;" "&amp;INDEX(in_ClientID,N223)&amp;", "&amp;INDEX(in_Units,N223)&amp;" units"&amp;IF(N(INDEX(in_Miles,N223))&gt;0,", "&amp;INDEX(in_Miles,N223)&amp;" miles","")))</f>
        <v/>
      </c>
      <c r="M223" s="60" t="str">
        <f aca="false">IF(217&gt;acc_TotalLines,"",IF(217&lt;=acc_SumLines,"S","P"))</f>
        <v/>
      </c>
      <c r="N223" s="42" t="str">
        <f aca="false">IF(M223="","",IF(M223="S",MATCH(217,acc_SumSeq,0),MATCH(217-acc_SumLines,in_Seq,0)))</f>
        <v/>
      </c>
    </row>
    <row r="224" customFormat="false" ht="15" hidden="false" customHeight="false" outlineLevel="0" collapsed="false">
      <c r="A224" s="26" t="str">
        <f aca="false">IF(M224="","",JrnPrefix&amp;"-"&amp;TEXT(WeekEnd,"yyyymmdd"))</f>
        <v/>
      </c>
      <c r="B224" s="58" t="str">
        <f aca="false">IF(M224="","",WeekEnd)</f>
        <v/>
      </c>
      <c r="C224" s="52" t="str">
        <f aca="false">IF(M224="","",218)</f>
        <v/>
      </c>
      <c r="D224" s="26" t="str">
        <f aca="false">IF(M224="","",IF(M224="S",IF(INDEX(acc_SumAcct,N224)=MileGL,"Mileage summary","Expense summary"),"Caregiver payable"))</f>
        <v/>
      </c>
      <c r="E224" s="40" t="str">
        <f aca="false">IF(M224="","",IF(M224="S",INDEX(acc_SumAcct,N224),APGL))</f>
        <v/>
      </c>
      <c r="F224" s="26" t="str">
        <f aca="false">IF(M224="","",IF(M224="S",INDEX(acc_SumName,N224),APGLName))</f>
        <v/>
      </c>
      <c r="G224" s="59" t="str">
        <f aca="false">IF(M224="","",IF(M224="S",INDEX(acc_SumAmt,N224),0))</f>
        <v/>
      </c>
      <c r="H224" s="59" t="str">
        <f aca="false">IF(M224="","",IF(M224="S",0,INDEX(in_Payable,N224)))</f>
        <v/>
      </c>
      <c r="I224" s="40" t="str">
        <f aca="false">IF(M224&lt;&gt;"P","",IFERROR(INDEX(cg_Vendor,MATCH(INDEX(in_CGID,N224),cg_ID,0)),""))</f>
        <v/>
      </c>
      <c r="J224" s="26" t="str">
        <f aca="false">IF(M224&lt;&gt;"P","",INDEX(in_CGName,N224))</f>
        <v/>
      </c>
      <c r="K224" s="26" t="str">
        <f aca="false">IF(M224&lt;&gt;"P","",IFERROR(INDEX(cl_Payer,MATCH(INDEX(in_ClientID,N224),cl_ID,0)),"Unassigned"))</f>
        <v/>
      </c>
      <c r="L224" s="26" t="str">
        <f aca="false">IF(M224="","",IF(M224="S","Weekly caregiver pay, week ending "&amp;TEXT(WeekEnd,"m/d/yyyy"),INDEX(in_Svc,N224)&amp;" "&amp;INDEX(in_ClientID,N224)&amp;", "&amp;INDEX(in_Units,N224)&amp;" units"&amp;IF(N(INDEX(in_Miles,N224))&gt;0,", "&amp;INDEX(in_Miles,N224)&amp;" miles","")))</f>
        <v/>
      </c>
      <c r="M224" s="60" t="str">
        <f aca="false">IF(218&gt;acc_TotalLines,"",IF(218&lt;=acc_SumLines,"S","P"))</f>
        <v/>
      </c>
      <c r="N224" s="42" t="str">
        <f aca="false">IF(M224="","",IF(M224="S",MATCH(218,acc_SumSeq,0),MATCH(218-acc_SumLines,in_Seq,0)))</f>
        <v/>
      </c>
    </row>
    <row r="225" customFormat="false" ht="15" hidden="false" customHeight="false" outlineLevel="0" collapsed="false">
      <c r="A225" s="26" t="str">
        <f aca="false">IF(M225="","",JrnPrefix&amp;"-"&amp;TEXT(WeekEnd,"yyyymmdd"))</f>
        <v/>
      </c>
      <c r="B225" s="58" t="str">
        <f aca="false">IF(M225="","",WeekEnd)</f>
        <v/>
      </c>
      <c r="C225" s="52" t="str">
        <f aca="false">IF(M225="","",219)</f>
        <v/>
      </c>
      <c r="D225" s="26" t="str">
        <f aca="false">IF(M225="","",IF(M225="S",IF(INDEX(acc_SumAcct,N225)=MileGL,"Mileage summary","Expense summary"),"Caregiver payable"))</f>
        <v/>
      </c>
      <c r="E225" s="40" t="str">
        <f aca="false">IF(M225="","",IF(M225="S",INDEX(acc_SumAcct,N225),APGL))</f>
        <v/>
      </c>
      <c r="F225" s="26" t="str">
        <f aca="false">IF(M225="","",IF(M225="S",INDEX(acc_SumName,N225),APGLName))</f>
        <v/>
      </c>
      <c r="G225" s="59" t="str">
        <f aca="false">IF(M225="","",IF(M225="S",INDEX(acc_SumAmt,N225),0))</f>
        <v/>
      </c>
      <c r="H225" s="59" t="str">
        <f aca="false">IF(M225="","",IF(M225="S",0,INDEX(in_Payable,N225)))</f>
        <v/>
      </c>
      <c r="I225" s="40" t="str">
        <f aca="false">IF(M225&lt;&gt;"P","",IFERROR(INDEX(cg_Vendor,MATCH(INDEX(in_CGID,N225),cg_ID,0)),""))</f>
        <v/>
      </c>
      <c r="J225" s="26" t="str">
        <f aca="false">IF(M225&lt;&gt;"P","",INDEX(in_CGName,N225))</f>
        <v/>
      </c>
      <c r="K225" s="26" t="str">
        <f aca="false">IF(M225&lt;&gt;"P","",IFERROR(INDEX(cl_Payer,MATCH(INDEX(in_ClientID,N225),cl_ID,0)),"Unassigned"))</f>
        <v/>
      </c>
      <c r="L225" s="26" t="str">
        <f aca="false">IF(M225="","",IF(M225="S","Weekly caregiver pay, week ending "&amp;TEXT(WeekEnd,"m/d/yyyy"),INDEX(in_Svc,N225)&amp;" "&amp;INDEX(in_ClientID,N225)&amp;", "&amp;INDEX(in_Units,N225)&amp;" units"&amp;IF(N(INDEX(in_Miles,N225))&gt;0,", "&amp;INDEX(in_Miles,N225)&amp;" miles","")))</f>
        <v/>
      </c>
      <c r="M225" s="60" t="str">
        <f aca="false">IF(219&gt;acc_TotalLines,"",IF(219&lt;=acc_SumLines,"S","P"))</f>
        <v/>
      </c>
      <c r="N225" s="42" t="str">
        <f aca="false">IF(M225="","",IF(M225="S",MATCH(219,acc_SumSeq,0),MATCH(219-acc_SumLines,in_Seq,0)))</f>
        <v/>
      </c>
    </row>
    <row r="226" customFormat="false" ht="15" hidden="false" customHeight="false" outlineLevel="0" collapsed="false">
      <c r="A226" s="26" t="str">
        <f aca="false">IF(M226="","",JrnPrefix&amp;"-"&amp;TEXT(WeekEnd,"yyyymmdd"))</f>
        <v/>
      </c>
      <c r="B226" s="58" t="str">
        <f aca="false">IF(M226="","",WeekEnd)</f>
        <v/>
      </c>
      <c r="C226" s="52" t="str">
        <f aca="false">IF(M226="","",220)</f>
        <v/>
      </c>
      <c r="D226" s="26" t="str">
        <f aca="false">IF(M226="","",IF(M226="S",IF(INDEX(acc_SumAcct,N226)=MileGL,"Mileage summary","Expense summary"),"Caregiver payable"))</f>
        <v/>
      </c>
      <c r="E226" s="40" t="str">
        <f aca="false">IF(M226="","",IF(M226="S",INDEX(acc_SumAcct,N226),APGL))</f>
        <v/>
      </c>
      <c r="F226" s="26" t="str">
        <f aca="false">IF(M226="","",IF(M226="S",INDEX(acc_SumName,N226),APGLName))</f>
        <v/>
      </c>
      <c r="G226" s="59" t="str">
        <f aca="false">IF(M226="","",IF(M226="S",INDEX(acc_SumAmt,N226),0))</f>
        <v/>
      </c>
      <c r="H226" s="59" t="str">
        <f aca="false">IF(M226="","",IF(M226="S",0,INDEX(in_Payable,N226)))</f>
        <v/>
      </c>
      <c r="I226" s="40" t="str">
        <f aca="false">IF(M226&lt;&gt;"P","",IFERROR(INDEX(cg_Vendor,MATCH(INDEX(in_CGID,N226),cg_ID,0)),""))</f>
        <v/>
      </c>
      <c r="J226" s="26" t="str">
        <f aca="false">IF(M226&lt;&gt;"P","",INDEX(in_CGName,N226))</f>
        <v/>
      </c>
      <c r="K226" s="26" t="str">
        <f aca="false">IF(M226&lt;&gt;"P","",IFERROR(INDEX(cl_Payer,MATCH(INDEX(in_ClientID,N226),cl_ID,0)),"Unassigned"))</f>
        <v/>
      </c>
      <c r="L226" s="26" t="str">
        <f aca="false">IF(M226="","",IF(M226="S","Weekly caregiver pay, week ending "&amp;TEXT(WeekEnd,"m/d/yyyy"),INDEX(in_Svc,N226)&amp;" "&amp;INDEX(in_ClientID,N226)&amp;", "&amp;INDEX(in_Units,N226)&amp;" units"&amp;IF(N(INDEX(in_Miles,N226))&gt;0,", "&amp;INDEX(in_Miles,N226)&amp;" miles","")))</f>
        <v/>
      </c>
      <c r="M226" s="60" t="str">
        <f aca="false">IF(220&gt;acc_TotalLines,"",IF(220&lt;=acc_SumLines,"S","P"))</f>
        <v/>
      </c>
      <c r="N226" s="42" t="str">
        <f aca="false">IF(M226="","",IF(M226="S",MATCH(220,acc_SumSeq,0),MATCH(220-acc_SumLines,in_Seq,0)))</f>
        <v/>
      </c>
    </row>
    <row r="227" customFormat="false" ht="15" hidden="false" customHeight="false" outlineLevel="0" collapsed="false">
      <c r="A227" s="26" t="str">
        <f aca="false">IF(M227="","",JrnPrefix&amp;"-"&amp;TEXT(WeekEnd,"yyyymmdd"))</f>
        <v/>
      </c>
      <c r="B227" s="58" t="str">
        <f aca="false">IF(M227="","",WeekEnd)</f>
        <v/>
      </c>
      <c r="C227" s="52" t="str">
        <f aca="false">IF(M227="","",221)</f>
        <v/>
      </c>
      <c r="D227" s="26" t="str">
        <f aca="false">IF(M227="","",IF(M227="S",IF(INDEX(acc_SumAcct,N227)=MileGL,"Mileage summary","Expense summary"),"Caregiver payable"))</f>
        <v/>
      </c>
      <c r="E227" s="40" t="str">
        <f aca="false">IF(M227="","",IF(M227="S",INDEX(acc_SumAcct,N227),APGL))</f>
        <v/>
      </c>
      <c r="F227" s="26" t="str">
        <f aca="false">IF(M227="","",IF(M227="S",INDEX(acc_SumName,N227),APGLName))</f>
        <v/>
      </c>
      <c r="G227" s="59" t="str">
        <f aca="false">IF(M227="","",IF(M227="S",INDEX(acc_SumAmt,N227),0))</f>
        <v/>
      </c>
      <c r="H227" s="59" t="str">
        <f aca="false">IF(M227="","",IF(M227="S",0,INDEX(in_Payable,N227)))</f>
        <v/>
      </c>
      <c r="I227" s="40" t="str">
        <f aca="false">IF(M227&lt;&gt;"P","",IFERROR(INDEX(cg_Vendor,MATCH(INDEX(in_CGID,N227),cg_ID,0)),""))</f>
        <v/>
      </c>
      <c r="J227" s="26" t="str">
        <f aca="false">IF(M227&lt;&gt;"P","",INDEX(in_CGName,N227))</f>
        <v/>
      </c>
      <c r="K227" s="26" t="str">
        <f aca="false">IF(M227&lt;&gt;"P","",IFERROR(INDEX(cl_Payer,MATCH(INDEX(in_ClientID,N227),cl_ID,0)),"Unassigned"))</f>
        <v/>
      </c>
      <c r="L227" s="26" t="str">
        <f aca="false">IF(M227="","",IF(M227="S","Weekly caregiver pay, week ending "&amp;TEXT(WeekEnd,"m/d/yyyy"),INDEX(in_Svc,N227)&amp;" "&amp;INDEX(in_ClientID,N227)&amp;", "&amp;INDEX(in_Units,N227)&amp;" units"&amp;IF(N(INDEX(in_Miles,N227))&gt;0,", "&amp;INDEX(in_Miles,N227)&amp;" miles","")))</f>
        <v/>
      </c>
      <c r="M227" s="60" t="str">
        <f aca="false">IF(221&gt;acc_TotalLines,"",IF(221&lt;=acc_SumLines,"S","P"))</f>
        <v/>
      </c>
      <c r="N227" s="42" t="str">
        <f aca="false">IF(M227="","",IF(M227="S",MATCH(221,acc_SumSeq,0),MATCH(221-acc_SumLines,in_Seq,0)))</f>
        <v/>
      </c>
    </row>
    <row r="228" customFormat="false" ht="15" hidden="false" customHeight="false" outlineLevel="0" collapsed="false">
      <c r="A228" s="26" t="str">
        <f aca="false">IF(M228="","",JrnPrefix&amp;"-"&amp;TEXT(WeekEnd,"yyyymmdd"))</f>
        <v/>
      </c>
      <c r="B228" s="58" t="str">
        <f aca="false">IF(M228="","",WeekEnd)</f>
        <v/>
      </c>
      <c r="C228" s="52" t="str">
        <f aca="false">IF(M228="","",222)</f>
        <v/>
      </c>
      <c r="D228" s="26" t="str">
        <f aca="false">IF(M228="","",IF(M228="S",IF(INDEX(acc_SumAcct,N228)=MileGL,"Mileage summary","Expense summary"),"Caregiver payable"))</f>
        <v/>
      </c>
      <c r="E228" s="40" t="str">
        <f aca="false">IF(M228="","",IF(M228="S",INDEX(acc_SumAcct,N228),APGL))</f>
        <v/>
      </c>
      <c r="F228" s="26" t="str">
        <f aca="false">IF(M228="","",IF(M228="S",INDEX(acc_SumName,N228),APGLName))</f>
        <v/>
      </c>
      <c r="G228" s="59" t="str">
        <f aca="false">IF(M228="","",IF(M228="S",INDEX(acc_SumAmt,N228),0))</f>
        <v/>
      </c>
      <c r="H228" s="59" t="str">
        <f aca="false">IF(M228="","",IF(M228="S",0,INDEX(in_Payable,N228)))</f>
        <v/>
      </c>
      <c r="I228" s="40" t="str">
        <f aca="false">IF(M228&lt;&gt;"P","",IFERROR(INDEX(cg_Vendor,MATCH(INDEX(in_CGID,N228),cg_ID,0)),""))</f>
        <v/>
      </c>
      <c r="J228" s="26" t="str">
        <f aca="false">IF(M228&lt;&gt;"P","",INDEX(in_CGName,N228))</f>
        <v/>
      </c>
      <c r="K228" s="26" t="str">
        <f aca="false">IF(M228&lt;&gt;"P","",IFERROR(INDEX(cl_Payer,MATCH(INDEX(in_ClientID,N228),cl_ID,0)),"Unassigned"))</f>
        <v/>
      </c>
      <c r="L228" s="26" t="str">
        <f aca="false">IF(M228="","",IF(M228="S","Weekly caregiver pay, week ending "&amp;TEXT(WeekEnd,"m/d/yyyy"),INDEX(in_Svc,N228)&amp;" "&amp;INDEX(in_ClientID,N228)&amp;", "&amp;INDEX(in_Units,N228)&amp;" units"&amp;IF(N(INDEX(in_Miles,N228))&gt;0,", "&amp;INDEX(in_Miles,N228)&amp;" miles","")))</f>
        <v/>
      </c>
      <c r="M228" s="60" t="str">
        <f aca="false">IF(222&gt;acc_TotalLines,"",IF(222&lt;=acc_SumLines,"S","P"))</f>
        <v/>
      </c>
      <c r="N228" s="42" t="str">
        <f aca="false">IF(M228="","",IF(M228="S",MATCH(222,acc_SumSeq,0),MATCH(222-acc_SumLines,in_Seq,0)))</f>
        <v/>
      </c>
    </row>
    <row r="229" customFormat="false" ht="15" hidden="false" customHeight="false" outlineLevel="0" collapsed="false">
      <c r="A229" s="26" t="str">
        <f aca="false">IF(M229="","",JrnPrefix&amp;"-"&amp;TEXT(WeekEnd,"yyyymmdd"))</f>
        <v/>
      </c>
      <c r="B229" s="58" t="str">
        <f aca="false">IF(M229="","",WeekEnd)</f>
        <v/>
      </c>
      <c r="C229" s="52" t="str">
        <f aca="false">IF(M229="","",223)</f>
        <v/>
      </c>
      <c r="D229" s="26" t="str">
        <f aca="false">IF(M229="","",IF(M229="S",IF(INDEX(acc_SumAcct,N229)=MileGL,"Mileage summary","Expense summary"),"Caregiver payable"))</f>
        <v/>
      </c>
      <c r="E229" s="40" t="str">
        <f aca="false">IF(M229="","",IF(M229="S",INDEX(acc_SumAcct,N229),APGL))</f>
        <v/>
      </c>
      <c r="F229" s="26" t="str">
        <f aca="false">IF(M229="","",IF(M229="S",INDEX(acc_SumName,N229),APGLName))</f>
        <v/>
      </c>
      <c r="G229" s="59" t="str">
        <f aca="false">IF(M229="","",IF(M229="S",INDEX(acc_SumAmt,N229),0))</f>
        <v/>
      </c>
      <c r="H229" s="59" t="str">
        <f aca="false">IF(M229="","",IF(M229="S",0,INDEX(in_Payable,N229)))</f>
        <v/>
      </c>
      <c r="I229" s="40" t="str">
        <f aca="false">IF(M229&lt;&gt;"P","",IFERROR(INDEX(cg_Vendor,MATCH(INDEX(in_CGID,N229),cg_ID,0)),""))</f>
        <v/>
      </c>
      <c r="J229" s="26" t="str">
        <f aca="false">IF(M229&lt;&gt;"P","",INDEX(in_CGName,N229))</f>
        <v/>
      </c>
      <c r="K229" s="26" t="str">
        <f aca="false">IF(M229&lt;&gt;"P","",IFERROR(INDEX(cl_Payer,MATCH(INDEX(in_ClientID,N229),cl_ID,0)),"Unassigned"))</f>
        <v/>
      </c>
      <c r="L229" s="26" t="str">
        <f aca="false">IF(M229="","",IF(M229="S","Weekly caregiver pay, week ending "&amp;TEXT(WeekEnd,"m/d/yyyy"),INDEX(in_Svc,N229)&amp;" "&amp;INDEX(in_ClientID,N229)&amp;", "&amp;INDEX(in_Units,N229)&amp;" units"&amp;IF(N(INDEX(in_Miles,N229))&gt;0,", "&amp;INDEX(in_Miles,N229)&amp;" miles","")))</f>
        <v/>
      </c>
      <c r="M229" s="60" t="str">
        <f aca="false">IF(223&gt;acc_TotalLines,"",IF(223&lt;=acc_SumLines,"S","P"))</f>
        <v/>
      </c>
      <c r="N229" s="42" t="str">
        <f aca="false">IF(M229="","",IF(M229="S",MATCH(223,acc_SumSeq,0),MATCH(223-acc_SumLines,in_Seq,0)))</f>
        <v/>
      </c>
    </row>
    <row r="230" customFormat="false" ht="15" hidden="false" customHeight="false" outlineLevel="0" collapsed="false">
      <c r="A230" s="26" t="str">
        <f aca="false">IF(M230="","",JrnPrefix&amp;"-"&amp;TEXT(WeekEnd,"yyyymmdd"))</f>
        <v/>
      </c>
      <c r="B230" s="58" t="str">
        <f aca="false">IF(M230="","",WeekEnd)</f>
        <v/>
      </c>
      <c r="C230" s="52" t="str">
        <f aca="false">IF(M230="","",224)</f>
        <v/>
      </c>
      <c r="D230" s="26" t="str">
        <f aca="false">IF(M230="","",IF(M230="S",IF(INDEX(acc_SumAcct,N230)=MileGL,"Mileage summary","Expense summary"),"Caregiver payable"))</f>
        <v/>
      </c>
      <c r="E230" s="40" t="str">
        <f aca="false">IF(M230="","",IF(M230="S",INDEX(acc_SumAcct,N230),APGL))</f>
        <v/>
      </c>
      <c r="F230" s="26" t="str">
        <f aca="false">IF(M230="","",IF(M230="S",INDEX(acc_SumName,N230),APGLName))</f>
        <v/>
      </c>
      <c r="G230" s="59" t="str">
        <f aca="false">IF(M230="","",IF(M230="S",INDEX(acc_SumAmt,N230),0))</f>
        <v/>
      </c>
      <c r="H230" s="59" t="str">
        <f aca="false">IF(M230="","",IF(M230="S",0,INDEX(in_Payable,N230)))</f>
        <v/>
      </c>
      <c r="I230" s="40" t="str">
        <f aca="false">IF(M230&lt;&gt;"P","",IFERROR(INDEX(cg_Vendor,MATCH(INDEX(in_CGID,N230),cg_ID,0)),""))</f>
        <v/>
      </c>
      <c r="J230" s="26" t="str">
        <f aca="false">IF(M230&lt;&gt;"P","",INDEX(in_CGName,N230))</f>
        <v/>
      </c>
      <c r="K230" s="26" t="str">
        <f aca="false">IF(M230&lt;&gt;"P","",IFERROR(INDEX(cl_Payer,MATCH(INDEX(in_ClientID,N230),cl_ID,0)),"Unassigned"))</f>
        <v/>
      </c>
      <c r="L230" s="26" t="str">
        <f aca="false">IF(M230="","",IF(M230="S","Weekly caregiver pay, week ending "&amp;TEXT(WeekEnd,"m/d/yyyy"),INDEX(in_Svc,N230)&amp;" "&amp;INDEX(in_ClientID,N230)&amp;", "&amp;INDEX(in_Units,N230)&amp;" units"&amp;IF(N(INDEX(in_Miles,N230))&gt;0,", "&amp;INDEX(in_Miles,N230)&amp;" miles","")))</f>
        <v/>
      </c>
      <c r="M230" s="60" t="str">
        <f aca="false">IF(224&gt;acc_TotalLines,"",IF(224&lt;=acc_SumLines,"S","P"))</f>
        <v/>
      </c>
      <c r="N230" s="42" t="str">
        <f aca="false">IF(M230="","",IF(M230="S",MATCH(224,acc_SumSeq,0),MATCH(224-acc_SumLines,in_Seq,0)))</f>
        <v/>
      </c>
    </row>
    <row r="231" customFormat="false" ht="15" hidden="false" customHeight="false" outlineLevel="0" collapsed="false">
      <c r="A231" s="26" t="str">
        <f aca="false">IF(M231="","",JrnPrefix&amp;"-"&amp;TEXT(WeekEnd,"yyyymmdd"))</f>
        <v/>
      </c>
      <c r="B231" s="58" t="str">
        <f aca="false">IF(M231="","",WeekEnd)</f>
        <v/>
      </c>
      <c r="C231" s="52" t="str">
        <f aca="false">IF(M231="","",225)</f>
        <v/>
      </c>
      <c r="D231" s="26" t="str">
        <f aca="false">IF(M231="","",IF(M231="S",IF(INDEX(acc_SumAcct,N231)=MileGL,"Mileage summary","Expense summary"),"Caregiver payable"))</f>
        <v/>
      </c>
      <c r="E231" s="40" t="str">
        <f aca="false">IF(M231="","",IF(M231="S",INDEX(acc_SumAcct,N231),APGL))</f>
        <v/>
      </c>
      <c r="F231" s="26" t="str">
        <f aca="false">IF(M231="","",IF(M231="S",INDEX(acc_SumName,N231),APGLName))</f>
        <v/>
      </c>
      <c r="G231" s="59" t="str">
        <f aca="false">IF(M231="","",IF(M231="S",INDEX(acc_SumAmt,N231),0))</f>
        <v/>
      </c>
      <c r="H231" s="59" t="str">
        <f aca="false">IF(M231="","",IF(M231="S",0,INDEX(in_Payable,N231)))</f>
        <v/>
      </c>
      <c r="I231" s="40" t="str">
        <f aca="false">IF(M231&lt;&gt;"P","",IFERROR(INDEX(cg_Vendor,MATCH(INDEX(in_CGID,N231),cg_ID,0)),""))</f>
        <v/>
      </c>
      <c r="J231" s="26" t="str">
        <f aca="false">IF(M231&lt;&gt;"P","",INDEX(in_CGName,N231))</f>
        <v/>
      </c>
      <c r="K231" s="26" t="str">
        <f aca="false">IF(M231&lt;&gt;"P","",IFERROR(INDEX(cl_Payer,MATCH(INDEX(in_ClientID,N231),cl_ID,0)),"Unassigned"))</f>
        <v/>
      </c>
      <c r="L231" s="26" t="str">
        <f aca="false">IF(M231="","",IF(M231="S","Weekly caregiver pay, week ending "&amp;TEXT(WeekEnd,"m/d/yyyy"),INDEX(in_Svc,N231)&amp;" "&amp;INDEX(in_ClientID,N231)&amp;", "&amp;INDEX(in_Units,N231)&amp;" units"&amp;IF(N(INDEX(in_Miles,N231))&gt;0,", "&amp;INDEX(in_Miles,N231)&amp;" miles","")))</f>
        <v/>
      </c>
      <c r="M231" s="60" t="str">
        <f aca="false">IF(225&gt;acc_TotalLines,"",IF(225&lt;=acc_SumLines,"S","P"))</f>
        <v/>
      </c>
      <c r="N231" s="42" t="str">
        <f aca="false">IF(M231="","",IF(M231="S",MATCH(225,acc_SumSeq,0),MATCH(225-acc_SumLines,in_Seq,0)))</f>
        <v/>
      </c>
    </row>
    <row r="232" customFormat="false" ht="15" hidden="false" customHeight="false" outlineLevel="0" collapsed="false">
      <c r="A232" s="26" t="str">
        <f aca="false">IF(M232="","",JrnPrefix&amp;"-"&amp;TEXT(WeekEnd,"yyyymmdd"))</f>
        <v/>
      </c>
      <c r="B232" s="58" t="str">
        <f aca="false">IF(M232="","",WeekEnd)</f>
        <v/>
      </c>
      <c r="C232" s="52" t="str">
        <f aca="false">IF(M232="","",226)</f>
        <v/>
      </c>
      <c r="D232" s="26" t="str">
        <f aca="false">IF(M232="","",IF(M232="S",IF(INDEX(acc_SumAcct,N232)=MileGL,"Mileage summary","Expense summary"),"Caregiver payable"))</f>
        <v/>
      </c>
      <c r="E232" s="40" t="str">
        <f aca="false">IF(M232="","",IF(M232="S",INDEX(acc_SumAcct,N232),APGL))</f>
        <v/>
      </c>
      <c r="F232" s="26" t="str">
        <f aca="false">IF(M232="","",IF(M232="S",INDEX(acc_SumName,N232),APGLName))</f>
        <v/>
      </c>
      <c r="G232" s="59" t="str">
        <f aca="false">IF(M232="","",IF(M232="S",INDEX(acc_SumAmt,N232),0))</f>
        <v/>
      </c>
      <c r="H232" s="59" t="str">
        <f aca="false">IF(M232="","",IF(M232="S",0,INDEX(in_Payable,N232)))</f>
        <v/>
      </c>
      <c r="I232" s="40" t="str">
        <f aca="false">IF(M232&lt;&gt;"P","",IFERROR(INDEX(cg_Vendor,MATCH(INDEX(in_CGID,N232),cg_ID,0)),""))</f>
        <v/>
      </c>
      <c r="J232" s="26" t="str">
        <f aca="false">IF(M232&lt;&gt;"P","",INDEX(in_CGName,N232))</f>
        <v/>
      </c>
      <c r="K232" s="26" t="str">
        <f aca="false">IF(M232&lt;&gt;"P","",IFERROR(INDEX(cl_Payer,MATCH(INDEX(in_ClientID,N232),cl_ID,0)),"Unassigned"))</f>
        <v/>
      </c>
      <c r="L232" s="26" t="str">
        <f aca="false">IF(M232="","",IF(M232="S","Weekly caregiver pay, week ending "&amp;TEXT(WeekEnd,"m/d/yyyy"),INDEX(in_Svc,N232)&amp;" "&amp;INDEX(in_ClientID,N232)&amp;", "&amp;INDEX(in_Units,N232)&amp;" units"&amp;IF(N(INDEX(in_Miles,N232))&gt;0,", "&amp;INDEX(in_Miles,N232)&amp;" miles","")))</f>
        <v/>
      </c>
      <c r="M232" s="60" t="str">
        <f aca="false">IF(226&gt;acc_TotalLines,"",IF(226&lt;=acc_SumLines,"S","P"))</f>
        <v/>
      </c>
      <c r="N232" s="42" t="str">
        <f aca="false">IF(M232="","",IF(M232="S",MATCH(226,acc_SumSeq,0),MATCH(226-acc_SumLines,in_Seq,0)))</f>
        <v/>
      </c>
    </row>
    <row r="233" customFormat="false" ht="15" hidden="false" customHeight="false" outlineLevel="0" collapsed="false">
      <c r="A233" s="26" t="str">
        <f aca="false">IF(M233="","",JrnPrefix&amp;"-"&amp;TEXT(WeekEnd,"yyyymmdd"))</f>
        <v/>
      </c>
      <c r="B233" s="58" t="str">
        <f aca="false">IF(M233="","",WeekEnd)</f>
        <v/>
      </c>
      <c r="C233" s="52" t="str">
        <f aca="false">IF(M233="","",227)</f>
        <v/>
      </c>
      <c r="D233" s="26" t="str">
        <f aca="false">IF(M233="","",IF(M233="S",IF(INDEX(acc_SumAcct,N233)=MileGL,"Mileage summary","Expense summary"),"Caregiver payable"))</f>
        <v/>
      </c>
      <c r="E233" s="40" t="str">
        <f aca="false">IF(M233="","",IF(M233="S",INDEX(acc_SumAcct,N233),APGL))</f>
        <v/>
      </c>
      <c r="F233" s="26" t="str">
        <f aca="false">IF(M233="","",IF(M233="S",INDEX(acc_SumName,N233),APGLName))</f>
        <v/>
      </c>
      <c r="G233" s="59" t="str">
        <f aca="false">IF(M233="","",IF(M233="S",INDEX(acc_SumAmt,N233),0))</f>
        <v/>
      </c>
      <c r="H233" s="59" t="str">
        <f aca="false">IF(M233="","",IF(M233="S",0,INDEX(in_Payable,N233)))</f>
        <v/>
      </c>
      <c r="I233" s="40" t="str">
        <f aca="false">IF(M233&lt;&gt;"P","",IFERROR(INDEX(cg_Vendor,MATCH(INDEX(in_CGID,N233),cg_ID,0)),""))</f>
        <v/>
      </c>
      <c r="J233" s="26" t="str">
        <f aca="false">IF(M233&lt;&gt;"P","",INDEX(in_CGName,N233))</f>
        <v/>
      </c>
      <c r="K233" s="26" t="str">
        <f aca="false">IF(M233&lt;&gt;"P","",IFERROR(INDEX(cl_Payer,MATCH(INDEX(in_ClientID,N233),cl_ID,0)),"Unassigned"))</f>
        <v/>
      </c>
      <c r="L233" s="26" t="str">
        <f aca="false">IF(M233="","",IF(M233="S","Weekly caregiver pay, week ending "&amp;TEXT(WeekEnd,"m/d/yyyy"),INDEX(in_Svc,N233)&amp;" "&amp;INDEX(in_ClientID,N233)&amp;", "&amp;INDEX(in_Units,N233)&amp;" units"&amp;IF(N(INDEX(in_Miles,N233))&gt;0,", "&amp;INDEX(in_Miles,N233)&amp;" miles","")))</f>
        <v/>
      </c>
      <c r="M233" s="60" t="str">
        <f aca="false">IF(227&gt;acc_TotalLines,"",IF(227&lt;=acc_SumLines,"S","P"))</f>
        <v/>
      </c>
      <c r="N233" s="42" t="str">
        <f aca="false">IF(M233="","",IF(M233="S",MATCH(227,acc_SumSeq,0),MATCH(227-acc_SumLines,in_Seq,0)))</f>
        <v/>
      </c>
    </row>
    <row r="234" customFormat="false" ht="15" hidden="false" customHeight="false" outlineLevel="0" collapsed="false">
      <c r="A234" s="26" t="str">
        <f aca="false">IF(M234="","",JrnPrefix&amp;"-"&amp;TEXT(WeekEnd,"yyyymmdd"))</f>
        <v/>
      </c>
      <c r="B234" s="58" t="str">
        <f aca="false">IF(M234="","",WeekEnd)</f>
        <v/>
      </c>
      <c r="C234" s="52" t="str">
        <f aca="false">IF(M234="","",228)</f>
        <v/>
      </c>
      <c r="D234" s="26" t="str">
        <f aca="false">IF(M234="","",IF(M234="S",IF(INDEX(acc_SumAcct,N234)=MileGL,"Mileage summary","Expense summary"),"Caregiver payable"))</f>
        <v/>
      </c>
      <c r="E234" s="40" t="str">
        <f aca="false">IF(M234="","",IF(M234="S",INDEX(acc_SumAcct,N234),APGL))</f>
        <v/>
      </c>
      <c r="F234" s="26" t="str">
        <f aca="false">IF(M234="","",IF(M234="S",INDEX(acc_SumName,N234),APGLName))</f>
        <v/>
      </c>
      <c r="G234" s="59" t="str">
        <f aca="false">IF(M234="","",IF(M234="S",INDEX(acc_SumAmt,N234),0))</f>
        <v/>
      </c>
      <c r="H234" s="59" t="str">
        <f aca="false">IF(M234="","",IF(M234="S",0,INDEX(in_Payable,N234)))</f>
        <v/>
      </c>
      <c r="I234" s="40" t="str">
        <f aca="false">IF(M234&lt;&gt;"P","",IFERROR(INDEX(cg_Vendor,MATCH(INDEX(in_CGID,N234),cg_ID,0)),""))</f>
        <v/>
      </c>
      <c r="J234" s="26" t="str">
        <f aca="false">IF(M234&lt;&gt;"P","",INDEX(in_CGName,N234))</f>
        <v/>
      </c>
      <c r="K234" s="26" t="str">
        <f aca="false">IF(M234&lt;&gt;"P","",IFERROR(INDEX(cl_Payer,MATCH(INDEX(in_ClientID,N234),cl_ID,0)),"Unassigned"))</f>
        <v/>
      </c>
      <c r="L234" s="26" t="str">
        <f aca="false">IF(M234="","",IF(M234="S","Weekly caregiver pay, week ending "&amp;TEXT(WeekEnd,"m/d/yyyy"),INDEX(in_Svc,N234)&amp;" "&amp;INDEX(in_ClientID,N234)&amp;", "&amp;INDEX(in_Units,N234)&amp;" units"&amp;IF(N(INDEX(in_Miles,N234))&gt;0,", "&amp;INDEX(in_Miles,N234)&amp;" miles","")))</f>
        <v/>
      </c>
      <c r="M234" s="60" t="str">
        <f aca="false">IF(228&gt;acc_TotalLines,"",IF(228&lt;=acc_SumLines,"S","P"))</f>
        <v/>
      </c>
      <c r="N234" s="42" t="str">
        <f aca="false">IF(M234="","",IF(M234="S",MATCH(228,acc_SumSeq,0),MATCH(228-acc_SumLines,in_Seq,0)))</f>
        <v/>
      </c>
    </row>
    <row r="235" customFormat="false" ht="15" hidden="false" customHeight="false" outlineLevel="0" collapsed="false">
      <c r="A235" s="26" t="str">
        <f aca="false">IF(M235="","",JrnPrefix&amp;"-"&amp;TEXT(WeekEnd,"yyyymmdd"))</f>
        <v/>
      </c>
      <c r="B235" s="58" t="str">
        <f aca="false">IF(M235="","",WeekEnd)</f>
        <v/>
      </c>
      <c r="C235" s="52" t="str">
        <f aca="false">IF(M235="","",229)</f>
        <v/>
      </c>
      <c r="D235" s="26" t="str">
        <f aca="false">IF(M235="","",IF(M235="S",IF(INDEX(acc_SumAcct,N235)=MileGL,"Mileage summary","Expense summary"),"Caregiver payable"))</f>
        <v/>
      </c>
      <c r="E235" s="40" t="str">
        <f aca="false">IF(M235="","",IF(M235="S",INDEX(acc_SumAcct,N235),APGL))</f>
        <v/>
      </c>
      <c r="F235" s="26" t="str">
        <f aca="false">IF(M235="","",IF(M235="S",INDEX(acc_SumName,N235),APGLName))</f>
        <v/>
      </c>
      <c r="G235" s="59" t="str">
        <f aca="false">IF(M235="","",IF(M235="S",INDEX(acc_SumAmt,N235),0))</f>
        <v/>
      </c>
      <c r="H235" s="59" t="str">
        <f aca="false">IF(M235="","",IF(M235="S",0,INDEX(in_Payable,N235)))</f>
        <v/>
      </c>
      <c r="I235" s="40" t="str">
        <f aca="false">IF(M235&lt;&gt;"P","",IFERROR(INDEX(cg_Vendor,MATCH(INDEX(in_CGID,N235),cg_ID,0)),""))</f>
        <v/>
      </c>
      <c r="J235" s="26" t="str">
        <f aca="false">IF(M235&lt;&gt;"P","",INDEX(in_CGName,N235))</f>
        <v/>
      </c>
      <c r="K235" s="26" t="str">
        <f aca="false">IF(M235&lt;&gt;"P","",IFERROR(INDEX(cl_Payer,MATCH(INDEX(in_ClientID,N235),cl_ID,0)),"Unassigned"))</f>
        <v/>
      </c>
      <c r="L235" s="26" t="str">
        <f aca="false">IF(M235="","",IF(M235="S","Weekly caregiver pay, week ending "&amp;TEXT(WeekEnd,"m/d/yyyy"),INDEX(in_Svc,N235)&amp;" "&amp;INDEX(in_ClientID,N235)&amp;", "&amp;INDEX(in_Units,N235)&amp;" units"&amp;IF(N(INDEX(in_Miles,N235))&gt;0,", "&amp;INDEX(in_Miles,N235)&amp;" miles","")))</f>
        <v/>
      </c>
      <c r="M235" s="60" t="str">
        <f aca="false">IF(229&gt;acc_TotalLines,"",IF(229&lt;=acc_SumLines,"S","P"))</f>
        <v/>
      </c>
      <c r="N235" s="42" t="str">
        <f aca="false">IF(M235="","",IF(M235="S",MATCH(229,acc_SumSeq,0),MATCH(229-acc_SumLines,in_Seq,0)))</f>
        <v/>
      </c>
    </row>
    <row r="236" customFormat="false" ht="15" hidden="false" customHeight="false" outlineLevel="0" collapsed="false">
      <c r="A236" s="26" t="str">
        <f aca="false">IF(M236="","",JrnPrefix&amp;"-"&amp;TEXT(WeekEnd,"yyyymmdd"))</f>
        <v/>
      </c>
      <c r="B236" s="58" t="str">
        <f aca="false">IF(M236="","",WeekEnd)</f>
        <v/>
      </c>
      <c r="C236" s="52" t="str">
        <f aca="false">IF(M236="","",230)</f>
        <v/>
      </c>
      <c r="D236" s="26" t="str">
        <f aca="false">IF(M236="","",IF(M236="S",IF(INDEX(acc_SumAcct,N236)=MileGL,"Mileage summary","Expense summary"),"Caregiver payable"))</f>
        <v/>
      </c>
      <c r="E236" s="40" t="str">
        <f aca="false">IF(M236="","",IF(M236="S",INDEX(acc_SumAcct,N236),APGL))</f>
        <v/>
      </c>
      <c r="F236" s="26" t="str">
        <f aca="false">IF(M236="","",IF(M236="S",INDEX(acc_SumName,N236),APGLName))</f>
        <v/>
      </c>
      <c r="G236" s="59" t="str">
        <f aca="false">IF(M236="","",IF(M236="S",INDEX(acc_SumAmt,N236),0))</f>
        <v/>
      </c>
      <c r="H236" s="59" t="str">
        <f aca="false">IF(M236="","",IF(M236="S",0,INDEX(in_Payable,N236)))</f>
        <v/>
      </c>
      <c r="I236" s="40" t="str">
        <f aca="false">IF(M236&lt;&gt;"P","",IFERROR(INDEX(cg_Vendor,MATCH(INDEX(in_CGID,N236),cg_ID,0)),""))</f>
        <v/>
      </c>
      <c r="J236" s="26" t="str">
        <f aca="false">IF(M236&lt;&gt;"P","",INDEX(in_CGName,N236))</f>
        <v/>
      </c>
      <c r="K236" s="26" t="str">
        <f aca="false">IF(M236&lt;&gt;"P","",IFERROR(INDEX(cl_Payer,MATCH(INDEX(in_ClientID,N236),cl_ID,0)),"Unassigned"))</f>
        <v/>
      </c>
      <c r="L236" s="26" t="str">
        <f aca="false">IF(M236="","",IF(M236="S","Weekly caregiver pay, week ending "&amp;TEXT(WeekEnd,"m/d/yyyy"),INDEX(in_Svc,N236)&amp;" "&amp;INDEX(in_ClientID,N236)&amp;", "&amp;INDEX(in_Units,N236)&amp;" units"&amp;IF(N(INDEX(in_Miles,N236))&gt;0,", "&amp;INDEX(in_Miles,N236)&amp;" miles","")))</f>
        <v/>
      </c>
      <c r="M236" s="60" t="str">
        <f aca="false">IF(230&gt;acc_TotalLines,"",IF(230&lt;=acc_SumLines,"S","P"))</f>
        <v/>
      </c>
      <c r="N236" s="42" t="str">
        <f aca="false">IF(M236="","",IF(M236="S",MATCH(230,acc_SumSeq,0),MATCH(230-acc_SumLines,in_Seq,0)))</f>
        <v/>
      </c>
    </row>
    <row r="237" customFormat="false" ht="15" hidden="false" customHeight="false" outlineLevel="0" collapsed="false">
      <c r="A237" s="26" t="str">
        <f aca="false">IF(M237="","",JrnPrefix&amp;"-"&amp;TEXT(WeekEnd,"yyyymmdd"))</f>
        <v/>
      </c>
      <c r="B237" s="58" t="str">
        <f aca="false">IF(M237="","",WeekEnd)</f>
        <v/>
      </c>
      <c r="C237" s="52" t="str">
        <f aca="false">IF(M237="","",231)</f>
        <v/>
      </c>
      <c r="D237" s="26" t="str">
        <f aca="false">IF(M237="","",IF(M237="S",IF(INDEX(acc_SumAcct,N237)=MileGL,"Mileage summary","Expense summary"),"Caregiver payable"))</f>
        <v/>
      </c>
      <c r="E237" s="40" t="str">
        <f aca="false">IF(M237="","",IF(M237="S",INDEX(acc_SumAcct,N237),APGL))</f>
        <v/>
      </c>
      <c r="F237" s="26" t="str">
        <f aca="false">IF(M237="","",IF(M237="S",INDEX(acc_SumName,N237),APGLName))</f>
        <v/>
      </c>
      <c r="G237" s="59" t="str">
        <f aca="false">IF(M237="","",IF(M237="S",INDEX(acc_SumAmt,N237),0))</f>
        <v/>
      </c>
      <c r="H237" s="59" t="str">
        <f aca="false">IF(M237="","",IF(M237="S",0,INDEX(in_Payable,N237)))</f>
        <v/>
      </c>
      <c r="I237" s="40" t="str">
        <f aca="false">IF(M237&lt;&gt;"P","",IFERROR(INDEX(cg_Vendor,MATCH(INDEX(in_CGID,N237),cg_ID,0)),""))</f>
        <v/>
      </c>
      <c r="J237" s="26" t="str">
        <f aca="false">IF(M237&lt;&gt;"P","",INDEX(in_CGName,N237))</f>
        <v/>
      </c>
      <c r="K237" s="26" t="str">
        <f aca="false">IF(M237&lt;&gt;"P","",IFERROR(INDEX(cl_Payer,MATCH(INDEX(in_ClientID,N237),cl_ID,0)),"Unassigned"))</f>
        <v/>
      </c>
      <c r="L237" s="26" t="str">
        <f aca="false">IF(M237="","",IF(M237="S","Weekly caregiver pay, week ending "&amp;TEXT(WeekEnd,"m/d/yyyy"),INDEX(in_Svc,N237)&amp;" "&amp;INDEX(in_ClientID,N237)&amp;", "&amp;INDEX(in_Units,N237)&amp;" units"&amp;IF(N(INDEX(in_Miles,N237))&gt;0,", "&amp;INDEX(in_Miles,N237)&amp;" miles","")))</f>
        <v/>
      </c>
      <c r="M237" s="60" t="str">
        <f aca="false">IF(231&gt;acc_TotalLines,"",IF(231&lt;=acc_SumLines,"S","P"))</f>
        <v/>
      </c>
      <c r="N237" s="42" t="str">
        <f aca="false">IF(M237="","",IF(M237="S",MATCH(231,acc_SumSeq,0),MATCH(231-acc_SumLines,in_Seq,0)))</f>
        <v/>
      </c>
    </row>
    <row r="238" customFormat="false" ht="15" hidden="false" customHeight="false" outlineLevel="0" collapsed="false">
      <c r="A238" s="26" t="str">
        <f aca="false">IF(M238="","",JrnPrefix&amp;"-"&amp;TEXT(WeekEnd,"yyyymmdd"))</f>
        <v/>
      </c>
      <c r="B238" s="58" t="str">
        <f aca="false">IF(M238="","",WeekEnd)</f>
        <v/>
      </c>
      <c r="C238" s="52" t="str">
        <f aca="false">IF(M238="","",232)</f>
        <v/>
      </c>
      <c r="D238" s="26" t="str">
        <f aca="false">IF(M238="","",IF(M238="S",IF(INDEX(acc_SumAcct,N238)=MileGL,"Mileage summary","Expense summary"),"Caregiver payable"))</f>
        <v/>
      </c>
      <c r="E238" s="40" t="str">
        <f aca="false">IF(M238="","",IF(M238="S",INDEX(acc_SumAcct,N238),APGL))</f>
        <v/>
      </c>
      <c r="F238" s="26" t="str">
        <f aca="false">IF(M238="","",IF(M238="S",INDEX(acc_SumName,N238),APGLName))</f>
        <v/>
      </c>
      <c r="G238" s="59" t="str">
        <f aca="false">IF(M238="","",IF(M238="S",INDEX(acc_SumAmt,N238),0))</f>
        <v/>
      </c>
      <c r="H238" s="59" t="str">
        <f aca="false">IF(M238="","",IF(M238="S",0,INDEX(in_Payable,N238)))</f>
        <v/>
      </c>
      <c r="I238" s="40" t="str">
        <f aca="false">IF(M238&lt;&gt;"P","",IFERROR(INDEX(cg_Vendor,MATCH(INDEX(in_CGID,N238),cg_ID,0)),""))</f>
        <v/>
      </c>
      <c r="J238" s="26" t="str">
        <f aca="false">IF(M238&lt;&gt;"P","",INDEX(in_CGName,N238))</f>
        <v/>
      </c>
      <c r="K238" s="26" t="str">
        <f aca="false">IF(M238&lt;&gt;"P","",IFERROR(INDEX(cl_Payer,MATCH(INDEX(in_ClientID,N238),cl_ID,0)),"Unassigned"))</f>
        <v/>
      </c>
      <c r="L238" s="26" t="str">
        <f aca="false">IF(M238="","",IF(M238="S","Weekly caregiver pay, week ending "&amp;TEXT(WeekEnd,"m/d/yyyy"),INDEX(in_Svc,N238)&amp;" "&amp;INDEX(in_ClientID,N238)&amp;", "&amp;INDEX(in_Units,N238)&amp;" units"&amp;IF(N(INDEX(in_Miles,N238))&gt;0,", "&amp;INDEX(in_Miles,N238)&amp;" miles","")))</f>
        <v/>
      </c>
      <c r="M238" s="60" t="str">
        <f aca="false">IF(232&gt;acc_TotalLines,"",IF(232&lt;=acc_SumLines,"S","P"))</f>
        <v/>
      </c>
      <c r="N238" s="42" t="str">
        <f aca="false">IF(M238="","",IF(M238="S",MATCH(232,acc_SumSeq,0),MATCH(232-acc_SumLines,in_Seq,0)))</f>
        <v/>
      </c>
    </row>
    <row r="239" customFormat="false" ht="15" hidden="false" customHeight="false" outlineLevel="0" collapsed="false">
      <c r="A239" s="26" t="str">
        <f aca="false">IF(M239="","",JrnPrefix&amp;"-"&amp;TEXT(WeekEnd,"yyyymmdd"))</f>
        <v/>
      </c>
      <c r="B239" s="58" t="str">
        <f aca="false">IF(M239="","",WeekEnd)</f>
        <v/>
      </c>
      <c r="C239" s="52" t="str">
        <f aca="false">IF(M239="","",233)</f>
        <v/>
      </c>
      <c r="D239" s="26" t="str">
        <f aca="false">IF(M239="","",IF(M239="S",IF(INDEX(acc_SumAcct,N239)=MileGL,"Mileage summary","Expense summary"),"Caregiver payable"))</f>
        <v/>
      </c>
      <c r="E239" s="40" t="str">
        <f aca="false">IF(M239="","",IF(M239="S",INDEX(acc_SumAcct,N239),APGL))</f>
        <v/>
      </c>
      <c r="F239" s="26" t="str">
        <f aca="false">IF(M239="","",IF(M239="S",INDEX(acc_SumName,N239),APGLName))</f>
        <v/>
      </c>
      <c r="G239" s="59" t="str">
        <f aca="false">IF(M239="","",IF(M239="S",INDEX(acc_SumAmt,N239),0))</f>
        <v/>
      </c>
      <c r="H239" s="59" t="str">
        <f aca="false">IF(M239="","",IF(M239="S",0,INDEX(in_Payable,N239)))</f>
        <v/>
      </c>
      <c r="I239" s="40" t="str">
        <f aca="false">IF(M239&lt;&gt;"P","",IFERROR(INDEX(cg_Vendor,MATCH(INDEX(in_CGID,N239),cg_ID,0)),""))</f>
        <v/>
      </c>
      <c r="J239" s="26" t="str">
        <f aca="false">IF(M239&lt;&gt;"P","",INDEX(in_CGName,N239))</f>
        <v/>
      </c>
      <c r="K239" s="26" t="str">
        <f aca="false">IF(M239&lt;&gt;"P","",IFERROR(INDEX(cl_Payer,MATCH(INDEX(in_ClientID,N239),cl_ID,0)),"Unassigned"))</f>
        <v/>
      </c>
      <c r="L239" s="26" t="str">
        <f aca="false">IF(M239="","",IF(M239="S","Weekly caregiver pay, week ending "&amp;TEXT(WeekEnd,"m/d/yyyy"),INDEX(in_Svc,N239)&amp;" "&amp;INDEX(in_ClientID,N239)&amp;", "&amp;INDEX(in_Units,N239)&amp;" units"&amp;IF(N(INDEX(in_Miles,N239))&gt;0,", "&amp;INDEX(in_Miles,N239)&amp;" miles","")))</f>
        <v/>
      </c>
      <c r="M239" s="60" t="str">
        <f aca="false">IF(233&gt;acc_TotalLines,"",IF(233&lt;=acc_SumLines,"S","P"))</f>
        <v/>
      </c>
      <c r="N239" s="42" t="str">
        <f aca="false">IF(M239="","",IF(M239="S",MATCH(233,acc_SumSeq,0),MATCH(233-acc_SumLines,in_Seq,0)))</f>
        <v/>
      </c>
    </row>
    <row r="240" customFormat="false" ht="15" hidden="false" customHeight="false" outlineLevel="0" collapsed="false">
      <c r="A240" s="26" t="str">
        <f aca="false">IF(M240="","",JrnPrefix&amp;"-"&amp;TEXT(WeekEnd,"yyyymmdd"))</f>
        <v/>
      </c>
      <c r="B240" s="58" t="str">
        <f aca="false">IF(M240="","",WeekEnd)</f>
        <v/>
      </c>
      <c r="C240" s="52" t="str">
        <f aca="false">IF(M240="","",234)</f>
        <v/>
      </c>
      <c r="D240" s="26" t="str">
        <f aca="false">IF(M240="","",IF(M240="S",IF(INDEX(acc_SumAcct,N240)=MileGL,"Mileage summary","Expense summary"),"Caregiver payable"))</f>
        <v/>
      </c>
      <c r="E240" s="40" t="str">
        <f aca="false">IF(M240="","",IF(M240="S",INDEX(acc_SumAcct,N240),APGL))</f>
        <v/>
      </c>
      <c r="F240" s="26" t="str">
        <f aca="false">IF(M240="","",IF(M240="S",INDEX(acc_SumName,N240),APGLName))</f>
        <v/>
      </c>
      <c r="G240" s="59" t="str">
        <f aca="false">IF(M240="","",IF(M240="S",INDEX(acc_SumAmt,N240),0))</f>
        <v/>
      </c>
      <c r="H240" s="59" t="str">
        <f aca="false">IF(M240="","",IF(M240="S",0,INDEX(in_Payable,N240)))</f>
        <v/>
      </c>
      <c r="I240" s="40" t="str">
        <f aca="false">IF(M240&lt;&gt;"P","",IFERROR(INDEX(cg_Vendor,MATCH(INDEX(in_CGID,N240),cg_ID,0)),""))</f>
        <v/>
      </c>
      <c r="J240" s="26" t="str">
        <f aca="false">IF(M240&lt;&gt;"P","",INDEX(in_CGName,N240))</f>
        <v/>
      </c>
      <c r="K240" s="26" t="str">
        <f aca="false">IF(M240&lt;&gt;"P","",IFERROR(INDEX(cl_Payer,MATCH(INDEX(in_ClientID,N240),cl_ID,0)),"Unassigned"))</f>
        <v/>
      </c>
      <c r="L240" s="26" t="str">
        <f aca="false">IF(M240="","",IF(M240="S","Weekly caregiver pay, week ending "&amp;TEXT(WeekEnd,"m/d/yyyy"),INDEX(in_Svc,N240)&amp;" "&amp;INDEX(in_ClientID,N240)&amp;", "&amp;INDEX(in_Units,N240)&amp;" units"&amp;IF(N(INDEX(in_Miles,N240))&gt;0,", "&amp;INDEX(in_Miles,N240)&amp;" miles","")))</f>
        <v/>
      </c>
      <c r="M240" s="60" t="str">
        <f aca="false">IF(234&gt;acc_TotalLines,"",IF(234&lt;=acc_SumLines,"S","P"))</f>
        <v/>
      </c>
      <c r="N240" s="42" t="str">
        <f aca="false">IF(M240="","",IF(M240="S",MATCH(234,acc_SumSeq,0),MATCH(234-acc_SumLines,in_Seq,0)))</f>
        <v/>
      </c>
    </row>
    <row r="241" customFormat="false" ht="15" hidden="false" customHeight="false" outlineLevel="0" collapsed="false">
      <c r="A241" s="26" t="str">
        <f aca="false">IF(M241="","",JrnPrefix&amp;"-"&amp;TEXT(WeekEnd,"yyyymmdd"))</f>
        <v/>
      </c>
      <c r="B241" s="58" t="str">
        <f aca="false">IF(M241="","",WeekEnd)</f>
        <v/>
      </c>
      <c r="C241" s="52" t="str">
        <f aca="false">IF(M241="","",235)</f>
        <v/>
      </c>
      <c r="D241" s="26" t="str">
        <f aca="false">IF(M241="","",IF(M241="S",IF(INDEX(acc_SumAcct,N241)=MileGL,"Mileage summary","Expense summary"),"Caregiver payable"))</f>
        <v/>
      </c>
      <c r="E241" s="40" t="str">
        <f aca="false">IF(M241="","",IF(M241="S",INDEX(acc_SumAcct,N241),APGL))</f>
        <v/>
      </c>
      <c r="F241" s="26" t="str">
        <f aca="false">IF(M241="","",IF(M241="S",INDEX(acc_SumName,N241),APGLName))</f>
        <v/>
      </c>
      <c r="G241" s="59" t="str">
        <f aca="false">IF(M241="","",IF(M241="S",INDEX(acc_SumAmt,N241),0))</f>
        <v/>
      </c>
      <c r="H241" s="59" t="str">
        <f aca="false">IF(M241="","",IF(M241="S",0,INDEX(in_Payable,N241)))</f>
        <v/>
      </c>
      <c r="I241" s="40" t="str">
        <f aca="false">IF(M241&lt;&gt;"P","",IFERROR(INDEX(cg_Vendor,MATCH(INDEX(in_CGID,N241),cg_ID,0)),""))</f>
        <v/>
      </c>
      <c r="J241" s="26" t="str">
        <f aca="false">IF(M241&lt;&gt;"P","",INDEX(in_CGName,N241))</f>
        <v/>
      </c>
      <c r="K241" s="26" t="str">
        <f aca="false">IF(M241&lt;&gt;"P","",IFERROR(INDEX(cl_Payer,MATCH(INDEX(in_ClientID,N241),cl_ID,0)),"Unassigned"))</f>
        <v/>
      </c>
      <c r="L241" s="26" t="str">
        <f aca="false">IF(M241="","",IF(M241="S","Weekly caregiver pay, week ending "&amp;TEXT(WeekEnd,"m/d/yyyy"),INDEX(in_Svc,N241)&amp;" "&amp;INDEX(in_ClientID,N241)&amp;", "&amp;INDEX(in_Units,N241)&amp;" units"&amp;IF(N(INDEX(in_Miles,N241))&gt;0,", "&amp;INDEX(in_Miles,N241)&amp;" miles","")))</f>
        <v/>
      </c>
      <c r="M241" s="60" t="str">
        <f aca="false">IF(235&gt;acc_TotalLines,"",IF(235&lt;=acc_SumLines,"S","P"))</f>
        <v/>
      </c>
      <c r="N241" s="42" t="str">
        <f aca="false">IF(M241="","",IF(M241="S",MATCH(235,acc_SumSeq,0),MATCH(235-acc_SumLines,in_Seq,0)))</f>
        <v/>
      </c>
    </row>
    <row r="242" customFormat="false" ht="15" hidden="false" customHeight="false" outlineLevel="0" collapsed="false">
      <c r="A242" s="26" t="str">
        <f aca="false">IF(M242="","",JrnPrefix&amp;"-"&amp;TEXT(WeekEnd,"yyyymmdd"))</f>
        <v/>
      </c>
      <c r="B242" s="58" t="str">
        <f aca="false">IF(M242="","",WeekEnd)</f>
        <v/>
      </c>
      <c r="C242" s="52" t="str">
        <f aca="false">IF(M242="","",236)</f>
        <v/>
      </c>
      <c r="D242" s="26" t="str">
        <f aca="false">IF(M242="","",IF(M242="S",IF(INDEX(acc_SumAcct,N242)=MileGL,"Mileage summary","Expense summary"),"Caregiver payable"))</f>
        <v/>
      </c>
      <c r="E242" s="40" t="str">
        <f aca="false">IF(M242="","",IF(M242="S",INDEX(acc_SumAcct,N242),APGL))</f>
        <v/>
      </c>
      <c r="F242" s="26" t="str">
        <f aca="false">IF(M242="","",IF(M242="S",INDEX(acc_SumName,N242),APGLName))</f>
        <v/>
      </c>
      <c r="G242" s="59" t="str">
        <f aca="false">IF(M242="","",IF(M242="S",INDEX(acc_SumAmt,N242),0))</f>
        <v/>
      </c>
      <c r="H242" s="59" t="str">
        <f aca="false">IF(M242="","",IF(M242="S",0,INDEX(in_Payable,N242)))</f>
        <v/>
      </c>
      <c r="I242" s="40" t="str">
        <f aca="false">IF(M242&lt;&gt;"P","",IFERROR(INDEX(cg_Vendor,MATCH(INDEX(in_CGID,N242),cg_ID,0)),""))</f>
        <v/>
      </c>
      <c r="J242" s="26" t="str">
        <f aca="false">IF(M242&lt;&gt;"P","",INDEX(in_CGName,N242))</f>
        <v/>
      </c>
      <c r="K242" s="26" t="str">
        <f aca="false">IF(M242&lt;&gt;"P","",IFERROR(INDEX(cl_Payer,MATCH(INDEX(in_ClientID,N242),cl_ID,0)),"Unassigned"))</f>
        <v/>
      </c>
      <c r="L242" s="26" t="str">
        <f aca="false">IF(M242="","",IF(M242="S","Weekly caregiver pay, week ending "&amp;TEXT(WeekEnd,"m/d/yyyy"),INDEX(in_Svc,N242)&amp;" "&amp;INDEX(in_ClientID,N242)&amp;", "&amp;INDEX(in_Units,N242)&amp;" units"&amp;IF(N(INDEX(in_Miles,N242))&gt;0,", "&amp;INDEX(in_Miles,N242)&amp;" miles","")))</f>
        <v/>
      </c>
      <c r="M242" s="60" t="str">
        <f aca="false">IF(236&gt;acc_TotalLines,"",IF(236&lt;=acc_SumLines,"S","P"))</f>
        <v/>
      </c>
      <c r="N242" s="42" t="str">
        <f aca="false">IF(M242="","",IF(M242="S",MATCH(236,acc_SumSeq,0),MATCH(236-acc_SumLines,in_Seq,0)))</f>
        <v/>
      </c>
    </row>
    <row r="243" customFormat="false" ht="15" hidden="false" customHeight="false" outlineLevel="0" collapsed="false">
      <c r="A243" s="26" t="str">
        <f aca="false">IF(M243="","",JrnPrefix&amp;"-"&amp;TEXT(WeekEnd,"yyyymmdd"))</f>
        <v/>
      </c>
      <c r="B243" s="58" t="str">
        <f aca="false">IF(M243="","",WeekEnd)</f>
        <v/>
      </c>
      <c r="C243" s="52" t="str">
        <f aca="false">IF(M243="","",237)</f>
        <v/>
      </c>
      <c r="D243" s="26" t="str">
        <f aca="false">IF(M243="","",IF(M243="S",IF(INDEX(acc_SumAcct,N243)=MileGL,"Mileage summary","Expense summary"),"Caregiver payable"))</f>
        <v/>
      </c>
      <c r="E243" s="40" t="str">
        <f aca="false">IF(M243="","",IF(M243="S",INDEX(acc_SumAcct,N243),APGL))</f>
        <v/>
      </c>
      <c r="F243" s="26" t="str">
        <f aca="false">IF(M243="","",IF(M243="S",INDEX(acc_SumName,N243),APGLName))</f>
        <v/>
      </c>
      <c r="G243" s="59" t="str">
        <f aca="false">IF(M243="","",IF(M243="S",INDEX(acc_SumAmt,N243),0))</f>
        <v/>
      </c>
      <c r="H243" s="59" t="str">
        <f aca="false">IF(M243="","",IF(M243="S",0,INDEX(in_Payable,N243)))</f>
        <v/>
      </c>
      <c r="I243" s="40" t="str">
        <f aca="false">IF(M243&lt;&gt;"P","",IFERROR(INDEX(cg_Vendor,MATCH(INDEX(in_CGID,N243),cg_ID,0)),""))</f>
        <v/>
      </c>
      <c r="J243" s="26" t="str">
        <f aca="false">IF(M243&lt;&gt;"P","",INDEX(in_CGName,N243))</f>
        <v/>
      </c>
      <c r="K243" s="26" t="str">
        <f aca="false">IF(M243&lt;&gt;"P","",IFERROR(INDEX(cl_Payer,MATCH(INDEX(in_ClientID,N243),cl_ID,0)),"Unassigned"))</f>
        <v/>
      </c>
      <c r="L243" s="26" t="str">
        <f aca="false">IF(M243="","",IF(M243="S","Weekly caregiver pay, week ending "&amp;TEXT(WeekEnd,"m/d/yyyy"),INDEX(in_Svc,N243)&amp;" "&amp;INDEX(in_ClientID,N243)&amp;", "&amp;INDEX(in_Units,N243)&amp;" units"&amp;IF(N(INDEX(in_Miles,N243))&gt;0,", "&amp;INDEX(in_Miles,N243)&amp;" miles","")))</f>
        <v/>
      </c>
      <c r="M243" s="60" t="str">
        <f aca="false">IF(237&gt;acc_TotalLines,"",IF(237&lt;=acc_SumLines,"S","P"))</f>
        <v/>
      </c>
      <c r="N243" s="42" t="str">
        <f aca="false">IF(M243="","",IF(M243="S",MATCH(237,acc_SumSeq,0),MATCH(237-acc_SumLines,in_Seq,0)))</f>
        <v/>
      </c>
    </row>
    <row r="244" customFormat="false" ht="15" hidden="false" customHeight="false" outlineLevel="0" collapsed="false">
      <c r="A244" s="26" t="str">
        <f aca="false">IF(M244="","",JrnPrefix&amp;"-"&amp;TEXT(WeekEnd,"yyyymmdd"))</f>
        <v/>
      </c>
      <c r="B244" s="58" t="str">
        <f aca="false">IF(M244="","",WeekEnd)</f>
        <v/>
      </c>
      <c r="C244" s="52" t="str">
        <f aca="false">IF(M244="","",238)</f>
        <v/>
      </c>
      <c r="D244" s="26" t="str">
        <f aca="false">IF(M244="","",IF(M244="S",IF(INDEX(acc_SumAcct,N244)=MileGL,"Mileage summary","Expense summary"),"Caregiver payable"))</f>
        <v/>
      </c>
      <c r="E244" s="40" t="str">
        <f aca="false">IF(M244="","",IF(M244="S",INDEX(acc_SumAcct,N244),APGL))</f>
        <v/>
      </c>
      <c r="F244" s="26" t="str">
        <f aca="false">IF(M244="","",IF(M244="S",INDEX(acc_SumName,N244),APGLName))</f>
        <v/>
      </c>
      <c r="G244" s="59" t="str">
        <f aca="false">IF(M244="","",IF(M244="S",INDEX(acc_SumAmt,N244),0))</f>
        <v/>
      </c>
      <c r="H244" s="59" t="str">
        <f aca="false">IF(M244="","",IF(M244="S",0,INDEX(in_Payable,N244)))</f>
        <v/>
      </c>
      <c r="I244" s="40" t="str">
        <f aca="false">IF(M244&lt;&gt;"P","",IFERROR(INDEX(cg_Vendor,MATCH(INDEX(in_CGID,N244),cg_ID,0)),""))</f>
        <v/>
      </c>
      <c r="J244" s="26" t="str">
        <f aca="false">IF(M244&lt;&gt;"P","",INDEX(in_CGName,N244))</f>
        <v/>
      </c>
      <c r="K244" s="26" t="str">
        <f aca="false">IF(M244&lt;&gt;"P","",IFERROR(INDEX(cl_Payer,MATCH(INDEX(in_ClientID,N244),cl_ID,0)),"Unassigned"))</f>
        <v/>
      </c>
      <c r="L244" s="26" t="str">
        <f aca="false">IF(M244="","",IF(M244="S","Weekly caregiver pay, week ending "&amp;TEXT(WeekEnd,"m/d/yyyy"),INDEX(in_Svc,N244)&amp;" "&amp;INDEX(in_ClientID,N244)&amp;", "&amp;INDEX(in_Units,N244)&amp;" units"&amp;IF(N(INDEX(in_Miles,N244))&gt;0,", "&amp;INDEX(in_Miles,N244)&amp;" miles","")))</f>
        <v/>
      </c>
      <c r="M244" s="60" t="str">
        <f aca="false">IF(238&gt;acc_TotalLines,"",IF(238&lt;=acc_SumLines,"S","P"))</f>
        <v/>
      </c>
      <c r="N244" s="42" t="str">
        <f aca="false">IF(M244="","",IF(M244="S",MATCH(238,acc_SumSeq,0),MATCH(238-acc_SumLines,in_Seq,0)))</f>
        <v/>
      </c>
    </row>
    <row r="245" customFormat="false" ht="15" hidden="false" customHeight="false" outlineLevel="0" collapsed="false">
      <c r="A245" s="26" t="str">
        <f aca="false">IF(M245="","",JrnPrefix&amp;"-"&amp;TEXT(WeekEnd,"yyyymmdd"))</f>
        <v/>
      </c>
      <c r="B245" s="58" t="str">
        <f aca="false">IF(M245="","",WeekEnd)</f>
        <v/>
      </c>
      <c r="C245" s="52" t="str">
        <f aca="false">IF(M245="","",239)</f>
        <v/>
      </c>
      <c r="D245" s="26" t="str">
        <f aca="false">IF(M245="","",IF(M245="S",IF(INDEX(acc_SumAcct,N245)=MileGL,"Mileage summary","Expense summary"),"Caregiver payable"))</f>
        <v/>
      </c>
      <c r="E245" s="40" t="str">
        <f aca="false">IF(M245="","",IF(M245="S",INDEX(acc_SumAcct,N245),APGL))</f>
        <v/>
      </c>
      <c r="F245" s="26" t="str">
        <f aca="false">IF(M245="","",IF(M245="S",INDEX(acc_SumName,N245),APGLName))</f>
        <v/>
      </c>
      <c r="G245" s="59" t="str">
        <f aca="false">IF(M245="","",IF(M245="S",INDEX(acc_SumAmt,N245),0))</f>
        <v/>
      </c>
      <c r="H245" s="59" t="str">
        <f aca="false">IF(M245="","",IF(M245="S",0,INDEX(in_Payable,N245)))</f>
        <v/>
      </c>
      <c r="I245" s="40" t="str">
        <f aca="false">IF(M245&lt;&gt;"P","",IFERROR(INDEX(cg_Vendor,MATCH(INDEX(in_CGID,N245),cg_ID,0)),""))</f>
        <v/>
      </c>
      <c r="J245" s="26" t="str">
        <f aca="false">IF(M245&lt;&gt;"P","",INDEX(in_CGName,N245))</f>
        <v/>
      </c>
      <c r="K245" s="26" t="str">
        <f aca="false">IF(M245&lt;&gt;"P","",IFERROR(INDEX(cl_Payer,MATCH(INDEX(in_ClientID,N245),cl_ID,0)),"Unassigned"))</f>
        <v/>
      </c>
      <c r="L245" s="26" t="str">
        <f aca="false">IF(M245="","",IF(M245="S","Weekly caregiver pay, week ending "&amp;TEXT(WeekEnd,"m/d/yyyy"),INDEX(in_Svc,N245)&amp;" "&amp;INDEX(in_ClientID,N245)&amp;", "&amp;INDEX(in_Units,N245)&amp;" units"&amp;IF(N(INDEX(in_Miles,N245))&gt;0,", "&amp;INDEX(in_Miles,N245)&amp;" miles","")))</f>
        <v/>
      </c>
      <c r="M245" s="60" t="str">
        <f aca="false">IF(239&gt;acc_TotalLines,"",IF(239&lt;=acc_SumLines,"S","P"))</f>
        <v/>
      </c>
      <c r="N245" s="42" t="str">
        <f aca="false">IF(M245="","",IF(M245="S",MATCH(239,acc_SumSeq,0),MATCH(239-acc_SumLines,in_Seq,0)))</f>
        <v/>
      </c>
    </row>
    <row r="246" customFormat="false" ht="15" hidden="false" customHeight="false" outlineLevel="0" collapsed="false">
      <c r="A246" s="26" t="str">
        <f aca="false">IF(M246="","",JrnPrefix&amp;"-"&amp;TEXT(WeekEnd,"yyyymmdd"))</f>
        <v/>
      </c>
      <c r="B246" s="58" t="str">
        <f aca="false">IF(M246="","",WeekEnd)</f>
        <v/>
      </c>
      <c r="C246" s="52" t="str">
        <f aca="false">IF(M246="","",240)</f>
        <v/>
      </c>
      <c r="D246" s="26" t="str">
        <f aca="false">IF(M246="","",IF(M246="S",IF(INDEX(acc_SumAcct,N246)=MileGL,"Mileage summary","Expense summary"),"Caregiver payable"))</f>
        <v/>
      </c>
      <c r="E246" s="40" t="str">
        <f aca="false">IF(M246="","",IF(M246="S",INDEX(acc_SumAcct,N246),APGL))</f>
        <v/>
      </c>
      <c r="F246" s="26" t="str">
        <f aca="false">IF(M246="","",IF(M246="S",INDEX(acc_SumName,N246),APGLName))</f>
        <v/>
      </c>
      <c r="G246" s="59" t="str">
        <f aca="false">IF(M246="","",IF(M246="S",INDEX(acc_SumAmt,N246),0))</f>
        <v/>
      </c>
      <c r="H246" s="59" t="str">
        <f aca="false">IF(M246="","",IF(M246="S",0,INDEX(in_Payable,N246)))</f>
        <v/>
      </c>
      <c r="I246" s="40" t="str">
        <f aca="false">IF(M246&lt;&gt;"P","",IFERROR(INDEX(cg_Vendor,MATCH(INDEX(in_CGID,N246),cg_ID,0)),""))</f>
        <v/>
      </c>
      <c r="J246" s="26" t="str">
        <f aca="false">IF(M246&lt;&gt;"P","",INDEX(in_CGName,N246))</f>
        <v/>
      </c>
      <c r="K246" s="26" t="str">
        <f aca="false">IF(M246&lt;&gt;"P","",IFERROR(INDEX(cl_Payer,MATCH(INDEX(in_ClientID,N246),cl_ID,0)),"Unassigned"))</f>
        <v/>
      </c>
      <c r="L246" s="26" t="str">
        <f aca="false">IF(M246="","",IF(M246="S","Weekly caregiver pay, week ending "&amp;TEXT(WeekEnd,"m/d/yyyy"),INDEX(in_Svc,N246)&amp;" "&amp;INDEX(in_ClientID,N246)&amp;", "&amp;INDEX(in_Units,N246)&amp;" units"&amp;IF(N(INDEX(in_Miles,N246))&gt;0,", "&amp;INDEX(in_Miles,N246)&amp;" miles","")))</f>
        <v/>
      </c>
      <c r="M246" s="60" t="str">
        <f aca="false">IF(240&gt;acc_TotalLines,"",IF(240&lt;=acc_SumLines,"S","P"))</f>
        <v/>
      </c>
      <c r="N246" s="42" t="str">
        <f aca="false">IF(M246="","",IF(M246="S",MATCH(240,acc_SumSeq,0),MATCH(240-acc_SumLines,in_Seq,0)))</f>
        <v/>
      </c>
    </row>
    <row r="247" customFormat="false" ht="15" hidden="false" customHeight="false" outlineLevel="0" collapsed="false">
      <c r="A247" s="26" t="str">
        <f aca="false">IF(M247="","",JrnPrefix&amp;"-"&amp;TEXT(WeekEnd,"yyyymmdd"))</f>
        <v/>
      </c>
      <c r="B247" s="58" t="str">
        <f aca="false">IF(M247="","",WeekEnd)</f>
        <v/>
      </c>
      <c r="C247" s="52" t="str">
        <f aca="false">IF(M247="","",241)</f>
        <v/>
      </c>
      <c r="D247" s="26" t="str">
        <f aca="false">IF(M247="","",IF(M247="S",IF(INDEX(acc_SumAcct,N247)=MileGL,"Mileage summary","Expense summary"),"Caregiver payable"))</f>
        <v/>
      </c>
      <c r="E247" s="40" t="str">
        <f aca="false">IF(M247="","",IF(M247="S",INDEX(acc_SumAcct,N247),APGL))</f>
        <v/>
      </c>
      <c r="F247" s="26" t="str">
        <f aca="false">IF(M247="","",IF(M247="S",INDEX(acc_SumName,N247),APGLName))</f>
        <v/>
      </c>
      <c r="G247" s="59" t="str">
        <f aca="false">IF(M247="","",IF(M247="S",INDEX(acc_SumAmt,N247),0))</f>
        <v/>
      </c>
      <c r="H247" s="59" t="str">
        <f aca="false">IF(M247="","",IF(M247="S",0,INDEX(in_Payable,N247)))</f>
        <v/>
      </c>
      <c r="I247" s="40" t="str">
        <f aca="false">IF(M247&lt;&gt;"P","",IFERROR(INDEX(cg_Vendor,MATCH(INDEX(in_CGID,N247),cg_ID,0)),""))</f>
        <v/>
      </c>
      <c r="J247" s="26" t="str">
        <f aca="false">IF(M247&lt;&gt;"P","",INDEX(in_CGName,N247))</f>
        <v/>
      </c>
      <c r="K247" s="26" t="str">
        <f aca="false">IF(M247&lt;&gt;"P","",IFERROR(INDEX(cl_Payer,MATCH(INDEX(in_ClientID,N247),cl_ID,0)),"Unassigned"))</f>
        <v/>
      </c>
      <c r="L247" s="26" t="str">
        <f aca="false">IF(M247="","",IF(M247="S","Weekly caregiver pay, week ending "&amp;TEXT(WeekEnd,"m/d/yyyy"),INDEX(in_Svc,N247)&amp;" "&amp;INDEX(in_ClientID,N247)&amp;", "&amp;INDEX(in_Units,N247)&amp;" units"&amp;IF(N(INDEX(in_Miles,N247))&gt;0,", "&amp;INDEX(in_Miles,N247)&amp;" miles","")))</f>
        <v/>
      </c>
      <c r="M247" s="60" t="str">
        <f aca="false">IF(241&gt;acc_TotalLines,"",IF(241&lt;=acc_SumLines,"S","P"))</f>
        <v/>
      </c>
      <c r="N247" s="42" t="str">
        <f aca="false">IF(M247="","",IF(M247="S",MATCH(241,acc_SumSeq,0),MATCH(241-acc_SumLines,in_Seq,0)))</f>
        <v/>
      </c>
    </row>
    <row r="248" customFormat="false" ht="15" hidden="false" customHeight="false" outlineLevel="0" collapsed="false">
      <c r="A248" s="26" t="str">
        <f aca="false">IF(M248="","",JrnPrefix&amp;"-"&amp;TEXT(WeekEnd,"yyyymmdd"))</f>
        <v/>
      </c>
      <c r="B248" s="58" t="str">
        <f aca="false">IF(M248="","",WeekEnd)</f>
        <v/>
      </c>
      <c r="C248" s="52" t="str">
        <f aca="false">IF(M248="","",242)</f>
        <v/>
      </c>
      <c r="D248" s="26" t="str">
        <f aca="false">IF(M248="","",IF(M248="S",IF(INDEX(acc_SumAcct,N248)=MileGL,"Mileage summary","Expense summary"),"Caregiver payable"))</f>
        <v/>
      </c>
      <c r="E248" s="40" t="str">
        <f aca="false">IF(M248="","",IF(M248="S",INDEX(acc_SumAcct,N248),APGL))</f>
        <v/>
      </c>
      <c r="F248" s="26" t="str">
        <f aca="false">IF(M248="","",IF(M248="S",INDEX(acc_SumName,N248),APGLName))</f>
        <v/>
      </c>
      <c r="G248" s="59" t="str">
        <f aca="false">IF(M248="","",IF(M248="S",INDEX(acc_SumAmt,N248),0))</f>
        <v/>
      </c>
      <c r="H248" s="59" t="str">
        <f aca="false">IF(M248="","",IF(M248="S",0,INDEX(in_Payable,N248)))</f>
        <v/>
      </c>
      <c r="I248" s="40" t="str">
        <f aca="false">IF(M248&lt;&gt;"P","",IFERROR(INDEX(cg_Vendor,MATCH(INDEX(in_CGID,N248),cg_ID,0)),""))</f>
        <v/>
      </c>
      <c r="J248" s="26" t="str">
        <f aca="false">IF(M248&lt;&gt;"P","",INDEX(in_CGName,N248))</f>
        <v/>
      </c>
      <c r="K248" s="26" t="str">
        <f aca="false">IF(M248&lt;&gt;"P","",IFERROR(INDEX(cl_Payer,MATCH(INDEX(in_ClientID,N248),cl_ID,0)),"Unassigned"))</f>
        <v/>
      </c>
      <c r="L248" s="26" t="str">
        <f aca="false">IF(M248="","",IF(M248="S","Weekly caregiver pay, week ending "&amp;TEXT(WeekEnd,"m/d/yyyy"),INDEX(in_Svc,N248)&amp;" "&amp;INDEX(in_ClientID,N248)&amp;", "&amp;INDEX(in_Units,N248)&amp;" units"&amp;IF(N(INDEX(in_Miles,N248))&gt;0,", "&amp;INDEX(in_Miles,N248)&amp;" miles","")))</f>
        <v/>
      </c>
      <c r="M248" s="60" t="str">
        <f aca="false">IF(242&gt;acc_TotalLines,"",IF(242&lt;=acc_SumLines,"S","P"))</f>
        <v/>
      </c>
      <c r="N248" s="42" t="str">
        <f aca="false">IF(M248="","",IF(M248="S",MATCH(242,acc_SumSeq,0),MATCH(242-acc_SumLines,in_Seq,0)))</f>
        <v/>
      </c>
    </row>
    <row r="249" customFormat="false" ht="15" hidden="false" customHeight="false" outlineLevel="0" collapsed="false">
      <c r="A249" s="26" t="str">
        <f aca="false">IF(M249="","",JrnPrefix&amp;"-"&amp;TEXT(WeekEnd,"yyyymmdd"))</f>
        <v/>
      </c>
      <c r="B249" s="58" t="str">
        <f aca="false">IF(M249="","",WeekEnd)</f>
        <v/>
      </c>
      <c r="C249" s="52" t="str">
        <f aca="false">IF(M249="","",243)</f>
        <v/>
      </c>
      <c r="D249" s="26" t="str">
        <f aca="false">IF(M249="","",IF(M249="S",IF(INDEX(acc_SumAcct,N249)=MileGL,"Mileage summary","Expense summary"),"Caregiver payable"))</f>
        <v/>
      </c>
      <c r="E249" s="40" t="str">
        <f aca="false">IF(M249="","",IF(M249="S",INDEX(acc_SumAcct,N249),APGL))</f>
        <v/>
      </c>
      <c r="F249" s="26" t="str">
        <f aca="false">IF(M249="","",IF(M249="S",INDEX(acc_SumName,N249),APGLName))</f>
        <v/>
      </c>
      <c r="G249" s="59" t="str">
        <f aca="false">IF(M249="","",IF(M249="S",INDEX(acc_SumAmt,N249),0))</f>
        <v/>
      </c>
      <c r="H249" s="59" t="str">
        <f aca="false">IF(M249="","",IF(M249="S",0,INDEX(in_Payable,N249)))</f>
        <v/>
      </c>
      <c r="I249" s="40" t="str">
        <f aca="false">IF(M249&lt;&gt;"P","",IFERROR(INDEX(cg_Vendor,MATCH(INDEX(in_CGID,N249),cg_ID,0)),""))</f>
        <v/>
      </c>
      <c r="J249" s="26" t="str">
        <f aca="false">IF(M249&lt;&gt;"P","",INDEX(in_CGName,N249))</f>
        <v/>
      </c>
      <c r="K249" s="26" t="str">
        <f aca="false">IF(M249&lt;&gt;"P","",IFERROR(INDEX(cl_Payer,MATCH(INDEX(in_ClientID,N249),cl_ID,0)),"Unassigned"))</f>
        <v/>
      </c>
      <c r="L249" s="26" t="str">
        <f aca="false">IF(M249="","",IF(M249="S","Weekly caregiver pay, week ending "&amp;TEXT(WeekEnd,"m/d/yyyy"),INDEX(in_Svc,N249)&amp;" "&amp;INDEX(in_ClientID,N249)&amp;", "&amp;INDEX(in_Units,N249)&amp;" units"&amp;IF(N(INDEX(in_Miles,N249))&gt;0,", "&amp;INDEX(in_Miles,N249)&amp;" miles","")))</f>
        <v/>
      </c>
      <c r="M249" s="60" t="str">
        <f aca="false">IF(243&gt;acc_TotalLines,"",IF(243&lt;=acc_SumLines,"S","P"))</f>
        <v/>
      </c>
      <c r="N249" s="42" t="str">
        <f aca="false">IF(M249="","",IF(M249="S",MATCH(243,acc_SumSeq,0),MATCH(243-acc_SumLines,in_Seq,0)))</f>
        <v/>
      </c>
    </row>
    <row r="250" customFormat="false" ht="15" hidden="false" customHeight="false" outlineLevel="0" collapsed="false">
      <c r="A250" s="26" t="str">
        <f aca="false">IF(M250="","",JrnPrefix&amp;"-"&amp;TEXT(WeekEnd,"yyyymmdd"))</f>
        <v/>
      </c>
      <c r="B250" s="58" t="str">
        <f aca="false">IF(M250="","",WeekEnd)</f>
        <v/>
      </c>
      <c r="C250" s="52" t="str">
        <f aca="false">IF(M250="","",244)</f>
        <v/>
      </c>
      <c r="D250" s="26" t="str">
        <f aca="false">IF(M250="","",IF(M250="S",IF(INDEX(acc_SumAcct,N250)=MileGL,"Mileage summary","Expense summary"),"Caregiver payable"))</f>
        <v/>
      </c>
      <c r="E250" s="40" t="str">
        <f aca="false">IF(M250="","",IF(M250="S",INDEX(acc_SumAcct,N250),APGL))</f>
        <v/>
      </c>
      <c r="F250" s="26" t="str">
        <f aca="false">IF(M250="","",IF(M250="S",INDEX(acc_SumName,N250),APGLName))</f>
        <v/>
      </c>
      <c r="G250" s="59" t="str">
        <f aca="false">IF(M250="","",IF(M250="S",INDEX(acc_SumAmt,N250),0))</f>
        <v/>
      </c>
      <c r="H250" s="59" t="str">
        <f aca="false">IF(M250="","",IF(M250="S",0,INDEX(in_Payable,N250)))</f>
        <v/>
      </c>
      <c r="I250" s="40" t="str">
        <f aca="false">IF(M250&lt;&gt;"P","",IFERROR(INDEX(cg_Vendor,MATCH(INDEX(in_CGID,N250),cg_ID,0)),""))</f>
        <v/>
      </c>
      <c r="J250" s="26" t="str">
        <f aca="false">IF(M250&lt;&gt;"P","",INDEX(in_CGName,N250))</f>
        <v/>
      </c>
      <c r="K250" s="26" t="str">
        <f aca="false">IF(M250&lt;&gt;"P","",IFERROR(INDEX(cl_Payer,MATCH(INDEX(in_ClientID,N250),cl_ID,0)),"Unassigned"))</f>
        <v/>
      </c>
      <c r="L250" s="26" t="str">
        <f aca="false">IF(M250="","",IF(M250="S","Weekly caregiver pay, week ending "&amp;TEXT(WeekEnd,"m/d/yyyy"),INDEX(in_Svc,N250)&amp;" "&amp;INDEX(in_ClientID,N250)&amp;", "&amp;INDEX(in_Units,N250)&amp;" units"&amp;IF(N(INDEX(in_Miles,N250))&gt;0,", "&amp;INDEX(in_Miles,N250)&amp;" miles","")))</f>
        <v/>
      </c>
      <c r="M250" s="60" t="str">
        <f aca="false">IF(244&gt;acc_TotalLines,"",IF(244&lt;=acc_SumLines,"S","P"))</f>
        <v/>
      </c>
      <c r="N250" s="42" t="str">
        <f aca="false">IF(M250="","",IF(M250="S",MATCH(244,acc_SumSeq,0),MATCH(244-acc_SumLines,in_Seq,0)))</f>
        <v/>
      </c>
    </row>
    <row r="251" customFormat="false" ht="15" hidden="false" customHeight="false" outlineLevel="0" collapsed="false">
      <c r="A251" s="26" t="str">
        <f aca="false">IF(M251="","",JrnPrefix&amp;"-"&amp;TEXT(WeekEnd,"yyyymmdd"))</f>
        <v/>
      </c>
      <c r="B251" s="58" t="str">
        <f aca="false">IF(M251="","",WeekEnd)</f>
        <v/>
      </c>
      <c r="C251" s="52" t="str">
        <f aca="false">IF(M251="","",245)</f>
        <v/>
      </c>
      <c r="D251" s="26" t="str">
        <f aca="false">IF(M251="","",IF(M251="S",IF(INDEX(acc_SumAcct,N251)=MileGL,"Mileage summary","Expense summary"),"Caregiver payable"))</f>
        <v/>
      </c>
      <c r="E251" s="40" t="str">
        <f aca="false">IF(M251="","",IF(M251="S",INDEX(acc_SumAcct,N251),APGL))</f>
        <v/>
      </c>
      <c r="F251" s="26" t="str">
        <f aca="false">IF(M251="","",IF(M251="S",INDEX(acc_SumName,N251),APGLName))</f>
        <v/>
      </c>
      <c r="G251" s="59" t="str">
        <f aca="false">IF(M251="","",IF(M251="S",INDEX(acc_SumAmt,N251),0))</f>
        <v/>
      </c>
      <c r="H251" s="59" t="str">
        <f aca="false">IF(M251="","",IF(M251="S",0,INDEX(in_Payable,N251)))</f>
        <v/>
      </c>
      <c r="I251" s="40" t="str">
        <f aca="false">IF(M251&lt;&gt;"P","",IFERROR(INDEX(cg_Vendor,MATCH(INDEX(in_CGID,N251),cg_ID,0)),""))</f>
        <v/>
      </c>
      <c r="J251" s="26" t="str">
        <f aca="false">IF(M251&lt;&gt;"P","",INDEX(in_CGName,N251))</f>
        <v/>
      </c>
      <c r="K251" s="26" t="str">
        <f aca="false">IF(M251&lt;&gt;"P","",IFERROR(INDEX(cl_Payer,MATCH(INDEX(in_ClientID,N251),cl_ID,0)),"Unassigned"))</f>
        <v/>
      </c>
      <c r="L251" s="26" t="str">
        <f aca="false">IF(M251="","",IF(M251="S","Weekly caregiver pay, week ending "&amp;TEXT(WeekEnd,"m/d/yyyy"),INDEX(in_Svc,N251)&amp;" "&amp;INDEX(in_ClientID,N251)&amp;", "&amp;INDEX(in_Units,N251)&amp;" units"&amp;IF(N(INDEX(in_Miles,N251))&gt;0,", "&amp;INDEX(in_Miles,N251)&amp;" miles","")))</f>
        <v/>
      </c>
      <c r="M251" s="60" t="str">
        <f aca="false">IF(245&gt;acc_TotalLines,"",IF(245&lt;=acc_SumLines,"S","P"))</f>
        <v/>
      </c>
      <c r="N251" s="42" t="str">
        <f aca="false">IF(M251="","",IF(M251="S",MATCH(245,acc_SumSeq,0),MATCH(245-acc_SumLines,in_Seq,0)))</f>
        <v/>
      </c>
    </row>
    <row r="252" customFormat="false" ht="15" hidden="false" customHeight="false" outlineLevel="0" collapsed="false">
      <c r="A252" s="26" t="str">
        <f aca="false">IF(M252="","",JrnPrefix&amp;"-"&amp;TEXT(WeekEnd,"yyyymmdd"))</f>
        <v/>
      </c>
      <c r="B252" s="58" t="str">
        <f aca="false">IF(M252="","",WeekEnd)</f>
        <v/>
      </c>
      <c r="C252" s="52" t="str">
        <f aca="false">IF(M252="","",246)</f>
        <v/>
      </c>
      <c r="D252" s="26" t="str">
        <f aca="false">IF(M252="","",IF(M252="S",IF(INDEX(acc_SumAcct,N252)=MileGL,"Mileage summary","Expense summary"),"Caregiver payable"))</f>
        <v/>
      </c>
      <c r="E252" s="40" t="str">
        <f aca="false">IF(M252="","",IF(M252="S",INDEX(acc_SumAcct,N252),APGL))</f>
        <v/>
      </c>
      <c r="F252" s="26" t="str">
        <f aca="false">IF(M252="","",IF(M252="S",INDEX(acc_SumName,N252),APGLName))</f>
        <v/>
      </c>
      <c r="G252" s="59" t="str">
        <f aca="false">IF(M252="","",IF(M252="S",INDEX(acc_SumAmt,N252),0))</f>
        <v/>
      </c>
      <c r="H252" s="59" t="str">
        <f aca="false">IF(M252="","",IF(M252="S",0,INDEX(in_Payable,N252)))</f>
        <v/>
      </c>
      <c r="I252" s="40" t="str">
        <f aca="false">IF(M252&lt;&gt;"P","",IFERROR(INDEX(cg_Vendor,MATCH(INDEX(in_CGID,N252),cg_ID,0)),""))</f>
        <v/>
      </c>
      <c r="J252" s="26" t="str">
        <f aca="false">IF(M252&lt;&gt;"P","",INDEX(in_CGName,N252))</f>
        <v/>
      </c>
      <c r="K252" s="26" t="str">
        <f aca="false">IF(M252&lt;&gt;"P","",IFERROR(INDEX(cl_Payer,MATCH(INDEX(in_ClientID,N252),cl_ID,0)),"Unassigned"))</f>
        <v/>
      </c>
      <c r="L252" s="26" t="str">
        <f aca="false">IF(M252="","",IF(M252="S","Weekly caregiver pay, week ending "&amp;TEXT(WeekEnd,"m/d/yyyy"),INDEX(in_Svc,N252)&amp;" "&amp;INDEX(in_ClientID,N252)&amp;", "&amp;INDEX(in_Units,N252)&amp;" units"&amp;IF(N(INDEX(in_Miles,N252))&gt;0,", "&amp;INDEX(in_Miles,N252)&amp;" miles","")))</f>
        <v/>
      </c>
      <c r="M252" s="60" t="str">
        <f aca="false">IF(246&gt;acc_TotalLines,"",IF(246&lt;=acc_SumLines,"S","P"))</f>
        <v/>
      </c>
      <c r="N252" s="42" t="str">
        <f aca="false">IF(M252="","",IF(M252="S",MATCH(246,acc_SumSeq,0),MATCH(246-acc_SumLines,in_Seq,0)))</f>
        <v/>
      </c>
    </row>
    <row r="253" customFormat="false" ht="15" hidden="false" customHeight="false" outlineLevel="0" collapsed="false">
      <c r="A253" s="26" t="str">
        <f aca="false">IF(M253="","",JrnPrefix&amp;"-"&amp;TEXT(WeekEnd,"yyyymmdd"))</f>
        <v/>
      </c>
      <c r="B253" s="58" t="str">
        <f aca="false">IF(M253="","",WeekEnd)</f>
        <v/>
      </c>
      <c r="C253" s="52" t="str">
        <f aca="false">IF(M253="","",247)</f>
        <v/>
      </c>
      <c r="D253" s="26" t="str">
        <f aca="false">IF(M253="","",IF(M253="S",IF(INDEX(acc_SumAcct,N253)=MileGL,"Mileage summary","Expense summary"),"Caregiver payable"))</f>
        <v/>
      </c>
      <c r="E253" s="40" t="str">
        <f aca="false">IF(M253="","",IF(M253="S",INDEX(acc_SumAcct,N253),APGL))</f>
        <v/>
      </c>
      <c r="F253" s="26" t="str">
        <f aca="false">IF(M253="","",IF(M253="S",INDEX(acc_SumName,N253),APGLName))</f>
        <v/>
      </c>
      <c r="G253" s="59" t="str">
        <f aca="false">IF(M253="","",IF(M253="S",INDEX(acc_SumAmt,N253),0))</f>
        <v/>
      </c>
      <c r="H253" s="59" t="str">
        <f aca="false">IF(M253="","",IF(M253="S",0,INDEX(in_Payable,N253)))</f>
        <v/>
      </c>
      <c r="I253" s="40" t="str">
        <f aca="false">IF(M253&lt;&gt;"P","",IFERROR(INDEX(cg_Vendor,MATCH(INDEX(in_CGID,N253),cg_ID,0)),""))</f>
        <v/>
      </c>
      <c r="J253" s="26" t="str">
        <f aca="false">IF(M253&lt;&gt;"P","",INDEX(in_CGName,N253))</f>
        <v/>
      </c>
      <c r="K253" s="26" t="str">
        <f aca="false">IF(M253&lt;&gt;"P","",IFERROR(INDEX(cl_Payer,MATCH(INDEX(in_ClientID,N253),cl_ID,0)),"Unassigned"))</f>
        <v/>
      </c>
      <c r="L253" s="26" t="str">
        <f aca="false">IF(M253="","",IF(M253="S","Weekly caregiver pay, week ending "&amp;TEXT(WeekEnd,"m/d/yyyy"),INDEX(in_Svc,N253)&amp;" "&amp;INDEX(in_ClientID,N253)&amp;", "&amp;INDEX(in_Units,N253)&amp;" units"&amp;IF(N(INDEX(in_Miles,N253))&gt;0,", "&amp;INDEX(in_Miles,N253)&amp;" miles","")))</f>
        <v/>
      </c>
      <c r="M253" s="60" t="str">
        <f aca="false">IF(247&gt;acc_TotalLines,"",IF(247&lt;=acc_SumLines,"S","P"))</f>
        <v/>
      </c>
      <c r="N253" s="42" t="str">
        <f aca="false">IF(M253="","",IF(M253="S",MATCH(247,acc_SumSeq,0),MATCH(247-acc_SumLines,in_Seq,0)))</f>
        <v/>
      </c>
    </row>
    <row r="254" customFormat="false" ht="15" hidden="false" customHeight="false" outlineLevel="0" collapsed="false">
      <c r="A254" s="26" t="str">
        <f aca="false">IF(M254="","",JrnPrefix&amp;"-"&amp;TEXT(WeekEnd,"yyyymmdd"))</f>
        <v/>
      </c>
      <c r="B254" s="58" t="str">
        <f aca="false">IF(M254="","",WeekEnd)</f>
        <v/>
      </c>
      <c r="C254" s="52" t="str">
        <f aca="false">IF(M254="","",248)</f>
        <v/>
      </c>
      <c r="D254" s="26" t="str">
        <f aca="false">IF(M254="","",IF(M254="S",IF(INDEX(acc_SumAcct,N254)=MileGL,"Mileage summary","Expense summary"),"Caregiver payable"))</f>
        <v/>
      </c>
      <c r="E254" s="40" t="str">
        <f aca="false">IF(M254="","",IF(M254="S",INDEX(acc_SumAcct,N254),APGL))</f>
        <v/>
      </c>
      <c r="F254" s="26" t="str">
        <f aca="false">IF(M254="","",IF(M254="S",INDEX(acc_SumName,N254),APGLName))</f>
        <v/>
      </c>
      <c r="G254" s="59" t="str">
        <f aca="false">IF(M254="","",IF(M254="S",INDEX(acc_SumAmt,N254),0))</f>
        <v/>
      </c>
      <c r="H254" s="59" t="str">
        <f aca="false">IF(M254="","",IF(M254="S",0,INDEX(in_Payable,N254)))</f>
        <v/>
      </c>
      <c r="I254" s="40" t="str">
        <f aca="false">IF(M254&lt;&gt;"P","",IFERROR(INDEX(cg_Vendor,MATCH(INDEX(in_CGID,N254),cg_ID,0)),""))</f>
        <v/>
      </c>
      <c r="J254" s="26" t="str">
        <f aca="false">IF(M254&lt;&gt;"P","",INDEX(in_CGName,N254))</f>
        <v/>
      </c>
      <c r="K254" s="26" t="str">
        <f aca="false">IF(M254&lt;&gt;"P","",IFERROR(INDEX(cl_Payer,MATCH(INDEX(in_ClientID,N254),cl_ID,0)),"Unassigned"))</f>
        <v/>
      </c>
      <c r="L254" s="26" t="str">
        <f aca="false">IF(M254="","",IF(M254="S","Weekly caregiver pay, week ending "&amp;TEXT(WeekEnd,"m/d/yyyy"),INDEX(in_Svc,N254)&amp;" "&amp;INDEX(in_ClientID,N254)&amp;", "&amp;INDEX(in_Units,N254)&amp;" units"&amp;IF(N(INDEX(in_Miles,N254))&gt;0,", "&amp;INDEX(in_Miles,N254)&amp;" miles","")))</f>
        <v/>
      </c>
      <c r="M254" s="60" t="str">
        <f aca="false">IF(248&gt;acc_TotalLines,"",IF(248&lt;=acc_SumLines,"S","P"))</f>
        <v/>
      </c>
      <c r="N254" s="42" t="str">
        <f aca="false">IF(M254="","",IF(M254="S",MATCH(248,acc_SumSeq,0),MATCH(248-acc_SumLines,in_Seq,0)))</f>
        <v/>
      </c>
    </row>
    <row r="255" customFormat="false" ht="15" hidden="false" customHeight="false" outlineLevel="0" collapsed="false">
      <c r="A255" s="26" t="str">
        <f aca="false">IF(M255="","",JrnPrefix&amp;"-"&amp;TEXT(WeekEnd,"yyyymmdd"))</f>
        <v/>
      </c>
      <c r="B255" s="58" t="str">
        <f aca="false">IF(M255="","",WeekEnd)</f>
        <v/>
      </c>
      <c r="C255" s="52" t="str">
        <f aca="false">IF(M255="","",249)</f>
        <v/>
      </c>
      <c r="D255" s="26" t="str">
        <f aca="false">IF(M255="","",IF(M255="S",IF(INDEX(acc_SumAcct,N255)=MileGL,"Mileage summary","Expense summary"),"Caregiver payable"))</f>
        <v/>
      </c>
      <c r="E255" s="40" t="str">
        <f aca="false">IF(M255="","",IF(M255="S",INDEX(acc_SumAcct,N255),APGL))</f>
        <v/>
      </c>
      <c r="F255" s="26" t="str">
        <f aca="false">IF(M255="","",IF(M255="S",INDEX(acc_SumName,N255),APGLName))</f>
        <v/>
      </c>
      <c r="G255" s="59" t="str">
        <f aca="false">IF(M255="","",IF(M255="S",INDEX(acc_SumAmt,N255),0))</f>
        <v/>
      </c>
      <c r="H255" s="59" t="str">
        <f aca="false">IF(M255="","",IF(M255="S",0,INDEX(in_Payable,N255)))</f>
        <v/>
      </c>
      <c r="I255" s="40" t="str">
        <f aca="false">IF(M255&lt;&gt;"P","",IFERROR(INDEX(cg_Vendor,MATCH(INDEX(in_CGID,N255),cg_ID,0)),""))</f>
        <v/>
      </c>
      <c r="J255" s="26" t="str">
        <f aca="false">IF(M255&lt;&gt;"P","",INDEX(in_CGName,N255))</f>
        <v/>
      </c>
      <c r="K255" s="26" t="str">
        <f aca="false">IF(M255&lt;&gt;"P","",IFERROR(INDEX(cl_Payer,MATCH(INDEX(in_ClientID,N255),cl_ID,0)),"Unassigned"))</f>
        <v/>
      </c>
      <c r="L255" s="26" t="str">
        <f aca="false">IF(M255="","",IF(M255="S","Weekly caregiver pay, week ending "&amp;TEXT(WeekEnd,"m/d/yyyy"),INDEX(in_Svc,N255)&amp;" "&amp;INDEX(in_ClientID,N255)&amp;", "&amp;INDEX(in_Units,N255)&amp;" units"&amp;IF(N(INDEX(in_Miles,N255))&gt;0,", "&amp;INDEX(in_Miles,N255)&amp;" miles","")))</f>
        <v/>
      </c>
      <c r="M255" s="60" t="str">
        <f aca="false">IF(249&gt;acc_TotalLines,"",IF(249&lt;=acc_SumLines,"S","P"))</f>
        <v/>
      </c>
      <c r="N255" s="42" t="str">
        <f aca="false">IF(M255="","",IF(M255="S",MATCH(249,acc_SumSeq,0),MATCH(249-acc_SumLines,in_Seq,0)))</f>
        <v/>
      </c>
    </row>
    <row r="256" customFormat="false" ht="15" hidden="false" customHeight="false" outlineLevel="0" collapsed="false">
      <c r="A256" s="26" t="str">
        <f aca="false">IF(M256="","",JrnPrefix&amp;"-"&amp;TEXT(WeekEnd,"yyyymmdd"))</f>
        <v/>
      </c>
      <c r="B256" s="58" t="str">
        <f aca="false">IF(M256="","",WeekEnd)</f>
        <v/>
      </c>
      <c r="C256" s="52" t="str">
        <f aca="false">IF(M256="","",250)</f>
        <v/>
      </c>
      <c r="D256" s="26" t="str">
        <f aca="false">IF(M256="","",IF(M256="S",IF(INDEX(acc_SumAcct,N256)=MileGL,"Mileage summary","Expense summary"),"Caregiver payable"))</f>
        <v/>
      </c>
      <c r="E256" s="40" t="str">
        <f aca="false">IF(M256="","",IF(M256="S",INDEX(acc_SumAcct,N256),APGL))</f>
        <v/>
      </c>
      <c r="F256" s="26" t="str">
        <f aca="false">IF(M256="","",IF(M256="S",INDEX(acc_SumName,N256),APGLName))</f>
        <v/>
      </c>
      <c r="G256" s="59" t="str">
        <f aca="false">IF(M256="","",IF(M256="S",INDEX(acc_SumAmt,N256),0))</f>
        <v/>
      </c>
      <c r="H256" s="59" t="str">
        <f aca="false">IF(M256="","",IF(M256="S",0,INDEX(in_Payable,N256)))</f>
        <v/>
      </c>
      <c r="I256" s="40" t="str">
        <f aca="false">IF(M256&lt;&gt;"P","",IFERROR(INDEX(cg_Vendor,MATCH(INDEX(in_CGID,N256),cg_ID,0)),""))</f>
        <v/>
      </c>
      <c r="J256" s="26" t="str">
        <f aca="false">IF(M256&lt;&gt;"P","",INDEX(in_CGName,N256))</f>
        <v/>
      </c>
      <c r="K256" s="26" t="str">
        <f aca="false">IF(M256&lt;&gt;"P","",IFERROR(INDEX(cl_Payer,MATCH(INDEX(in_ClientID,N256),cl_ID,0)),"Unassigned"))</f>
        <v/>
      </c>
      <c r="L256" s="26" t="str">
        <f aca="false">IF(M256="","",IF(M256="S","Weekly caregiver pay, week ending "&amp;TEXT(WeekEnd,"m/d/yyyy"),INDEX(in_Svc,N256)&amp;" "&amp;INDEX(in_ClientID,N256)&amp;", "&amp;INDEX(in_Units,N256)&amp;" units"&amp;IF(N(INDEX(in_Miles,N256))&gt;0,", "&amp;INDEX(in_Miles,N256)&amp;" miles","")))</f>
        <v/>
      </c>
      <c r="M256" s="60" t="str">
        <f aca="false">IF(250&gt;acc_TotalLines,"",IF(250&lt;=acc_SumLines,"S","P"))</f>
        <v/>
      </c>
      <c r="N256" s="42" t="str">
        <f aca="false">IF(M256="","",IF(M256="S",MATCH(250,acc_SumSeq,0),MATCH(250-acc_SumLines,in_Seq,0)))</f>
        <v/>
      </c>
    </row>
    <row r="257" customFormat="false" ht="15" hidden="false" customHeight="false" outlineLevel="0" collapsed="false">
      <c r="A257" s="26" t="str">
        <f aca="false">IF(M257="","",JrnPrefix&amp;"-"&amp;TEXT(WeekEnd,"yyyymmdd"))</f>
        <v/>
      </c>
      <c r="B257" s="58" t="str">
        <f aca="false">IF(M257="","",WeekEnd)</f>
        <v/>
      </c>
      <c r="C257" s="52" t="str">
        <f aca="false">IF(M257="","",251)</f>
        <v/>
      </c>
      <c r="D257" s="26" t="str">
        <f aca="false">IF(M257="","",IF(M257="S",IF(INDEX(acc_SumAcct,N257)=MileGL,"Mileage summary","Expense summary"),"Caregiver payable"))</f>
        <v/>
      </c>
      <c r="E257" s="40" t="str">
        <f aca="false">IF(M257="","",IF(M257="S",INDEX(acc_SumAcct,N257),APGL))</f>
        <v/>
      </c>
      <c r="F257" s="26" t="str">
        <f aca="false">IF(M257="","",IF(M257="S",INDEX(acc_SumName,N257),APGLName))</f>
        <v/>
      </c>
      <c r="G257" s="59" t="str">
        <f aca="false">IF(M257="","",IF(M257="S",INDEX(acc_SumAmt,N257),0))</f>
        <v/>
      </c>
      <c r="H257" s="59" t="str">
        <f aca="false">IF(M257="","",IF(M257="S",0,INDEX(in_Payable,N257)))</f>
        <v/>
      </c>
      <c r="I257" s="40" t="str">
        <f aca="false">IF(M257&lt;&gt;"P","",IFERROR(INDEX(cg_Vendor,MATCH(INDEX(in_CGID,N257),cg_ID,0)),""))</f>
        <v/>
      </c>
      <c r="J257" s="26" t="str">
        <f aca="false">IF(M257&lt;&gt;"P","",INDEX(in_CGName,N257))</f>
        <v/>
      </c>
      <c r="K257" s="26" t="str">
        <f aca="false">IF(M257&lt;&gt;"P","",IFERROR(INDEX(cl_Payer,MATCH(INDEX(in_ClientID,N257),cl_ID,0)),"Unassigned"))</f>
        <v/>
      </c>
      <c r="L257" s="26" t="str">
        <f aca="false">IF(M257="","",IF(M257="S","Weekly caregiver pay, week ending "&amp;TEXT(WeekEnd,"m/d/yyyy"),INDEX(in_Svc,N257)&amp;" "&amp;INDEX(in_ClientID,N257)&amp;", "&amp;INDEX(in_Units,N257)&amp;" units"&amp;IF(N(INDEX(in_Miles,N257))&gt;0,", "&amp;INDEX(in_Miles,N257)&amp;" miles","")))</f>
        <v/>
      </c>
      <c r="M257" s="60" t="str">
        <f aca="false">IF(251&gt;acc_TotalLines,"",IF(251&lt;=acc_SumLines,"S","P"))</f>
        <v/>
      </c>
      <c r="N257" s="42" t="str">
        <f aca="false">IF(M257="","",IF(M257="S",MATCH(251,acc_SumSeq,0),MATCH(251-acc_SumLines,in_Seq,0)))</f>
        <v/>
      </c>
    </row>
    <row r="258" customFormat="false" ht="15" hidden="false" customHeight="false" outlineLevel="0" collapsed="false">
      <c r="A258" s="26" t="str">
        <f aca="false">IF(M258="","",JrnPrefix&amp;"-"&amp;TEXT(WeekEnd,"yyyymmdd"))</f>
        <v/>
      </c>
      <c r="B258" s="58" t="str">
        <f aca="false">IF(M258="","",WeekEnd)</f>
        <v/>
      </c>
      <c r="C258" s="52" t="str">
        <f aca="false">IF(M258="","",252)</f>
        <v/>
      </c>
      <c r="D258" s="26" t="str">
        <f aca="false">IF(M258="","",IF(M258="S",IF(INDEX(acc_SumAcct,N258)=MileGL,"Mileage summary","Expense summary"),"Caregiver payable"))</f>
        <v/>
      </c>
      <c r="E258" s="40" t="str">
        <f aca="false">IF(M258="","",IF(M258="S",INDEX(acc_SumAcct,N258),APGL))</f>
        <v/>
      </c>
      <c r="F258" s="26" t="str">
        <f aca="false">IF(M258="","",IF(M258="S",INDEX(acc_SumName,N258),APGLName))</f>
        <v/>
      </c>
      <c r="G258" s="59" t="str">
        <f aca="false">IF(M258="","",IF(M258="S",INDEX(acc_SumAmt,N258),0))</f>
        <v/>
      </c>
      <c r="H258" s="59" t="str">
        <f aca="false">IF(M258="","",IF(M258="S",0,INDEX(in_Payable,N258)))</f>
        <v/>
      </c>
      <c r="I258" s="40" t="str">
        <f aca="false">IF(M258&lt;&gt;"P","",IFERROR(INDEX(cg_Vendor,MATCH(INDEX(in_CGID,N258),cg_ID,0)),""))</f>
        <v/>
      </c>
      <c r="J258" s="26" t="str">
        <f aca="false">IF(M258&lt;&gt;"P","",INDEX(in_CGName,N258))</f>
        <v/>
      </c>
      <c r="K258" s="26" t="str">
        <f aca="false">IF(M258&lt;&gt;"P","",IFERROR(INDEX(cl_Payer,MATCH(INDEX(in_ClientID,N258),cl_ID,0)),"Unassigned"))</f>
        <v/>
      </c>
      <c r="L258" s="26" t="str">
        <f aca="false">IF(M258="","",IF(M258="S","Weekly caregiver pay, week ending "&amp;TEXT(WeekEnd,"m/d/yyyy"),INDEX(in_Svc,N258)&amp;" "&amp;INDEX(in_ClientID,N258)&amp;", "&amp;INDEX(in_Units,N258)&amp;" units"&amp;IF(N(INDEX(in_Miles,N258))&gt;0,", "&amp;INDEX(in_Miles,N258)&amp;" miles","")))</f>
        <v/>
      </c>
      <c r="M258" s="60" t="str">
        <f aca="false">IF(252&gt;acc_TotalLines,"",IF(252&lt;=acc_SumLines,"S","P"))</f>
        <v/>
      </c>
      <c r="N258" s="42" t="str">
        <f aca="false">IF(M258="","",IF(M258="S",MATCH(252,acc_SumSeq,0),MATCH(252-acc_SumLines,in_Seq,0)))</f>
        <v/>
      </c>
    </row>
    <row r="259" customFormat="false" ht="15" hidden="false" customHeight="false" outlineLevel="0" collapsed="false">
      <c r="A259" s="26" t="str">
        <f aca="false">IF(M259="","",JrnPrefix&amp;"-"&amp;TEXT(WeekEnd,"yyyymmdd"))</f>
        <v/>
      </c>
      <c r="B259" s="58" t="str">
        <f aca="false">IF(M259="","",WeekEnd)</f>
        <v/>
      </c>
      <c r="C259" s="52" t="str">
        <f aca="false">IF(M259="","",253)</f>
        <v/>
      </c>
      <c r="D259" s="26" t="str">
        <f aca="false">IF(M259="","",IF(M259="S",IF(INDEX(acc_SumAcct,N259)=MileGL,"Mileage summary","Expense summary"),"Caregiver payable"))</f>
        <v/>
      </c>
      <c r="E259" s="40" t="str">
        <f aca="false">IF(M259="","",IF(M259="S",INDEX(acc_SumAcct,N259),APGL))</f>
        <v/>
      </c>
      <c r="F259" s="26" t="str">
        <f aca="false">IF(M259="","",IF(M259="S",INDEX(acc_SumName,N259),APGLName))</f>
        <v/>
      </c>
      <c r="G259" s="59" t="str">
        <f aca="false">IF(M259="","",IF(M259="S",INDEX(acc_SumAmt,N259),0))</f>
        <v/>
      </c>
      <c r="H259" s="59" t="str">
        <f aca="false">IF(M259="","",IF(M259="S",0,INDEX(in_Payable,N259)))</f>
        <v/>
      </c>
      <c r="I259" s="40" t="str">
        <f aca="false">IF(M259&lt;&gt;"P","",IFERROR(INDEX(cg_Vendor,MATCH(INDEX(in_CGID,N259),cg_ID,0)),""))</f>
        <v/>
      </c>
      <c r="J259" s="26" t="str">
        <f aca="false">IF(M259&lt;&gt;"P","",INDEX(in_CGName,N259))</f>
        <v/>
      </c>
      <c r="K259" s="26" t="str">
        <f aca="false">IF(M259&lt;&gt;"P","",IFERROR(INDEX(cl_Payer,MATCH(INDEX(in_ClientID,N259),cl_ID,0)),"Unassigned"))</f>
        <v/>
      </c>
      <c r="L259" s="26" t="str">
        <f aca="false">IF(M259="","",IF(M259="S","Weekly caregiver pay, week ending "&amp;TEXT(WeekEnd,"m/d/yyyy"),INDEX(in_Svc,N259)&amp;" "&amp;INDEX(in_ClientID,N259)&amp;", "&amp;INDEX(in_Units,N259)&amp;" units"&amp;IF(N(INDEX(in_Miles,N259))&gt;0,", "&amp;INDEX(in_Miles,N259)&amp;" miles","")))</f>
        <v/>
      </c>
      <c r="M259" s="60" t="str">
        <f aca="false">IF(253&gt;acc_TotalLines,"",IF(253&lt;=acc_SumLines,"S","P"))</f>
        <v/>
      </c>
      <c r="N259" s="42" t="str">
        <f aca="false">IF(M259="","",IF(M259="S",MATCH(253,acc_SumSeq,0),MATCH(253-acc_SumLines,in_Seq,0)))</f>
        <v/>
      </c>
    </row>
    <row r="260" customFormat="false" ht="15" hidden="false" customHeight="false" outlineLevel="0" collapsed="false">
      <c r="A260" s="26" t="str">
        <f aca="false">IF(M260="","",JrnPrefix&amp;"-"&amp;TEXT(WeekEnd,"yyyymmdd"))</f>
        <v/>
      </c>
      <c r="B260" s="58" t="str">
        <f aca="false">IF(M260="","",WeekEnd)</f>
        <v/>
      </c>
      <c r="C260" s="52" t="str">
        <f aca="false">IF(M260="","",254)</f>
        <v/>
      </c>
      <c r="D260" s="26" t="str">
        <f aca="false">IF(M260="","",IF(M260="S",IF(INDEX(acc_SumAcct,N260)=MileGL,"Mileage summary","Expense summary"),"Caregiver payable"))</f>
        <v/>
      </c>
      <c r="E260" s="40" t="str">
        <f aca="false">IF(M260="","",IF(M260="S",INDEX(acc_SumAcct,N260),APGL))</f>
        <v/>
      </c>
      <c r="F260" s="26" t="str">
        <f aca="false">IF(M260="","",IF(M260="S",INDEX(acc_SumName,N260),APGLName))</f>
        <v/>
      </c>
      <c r="G260" s="59" t="str">
        <f aca="false">IF(M260="","",IF(M260="S",INDEX(acc_SumAmt,N260),0))</f>
        <v/>
      </c>
      <c r="H260" s="59" t="str">
        <f aca="false">IF(M260="","",IF(M260="S",0,INDEX(in_Payable,N260)))</f>
        <v/>
      </c>
      <c r="I260" s="40" t="str">
        <f aca="false">IF(M260&lt;&gt;"P","",IFERROR(INDEX(cg_Vendor,MATCH(INDEX(in_CGID,N260),cg_ID,0)),""))</f>
        <v/>
      </c>
      <c r="J260" s="26" t="str">
        <f aca="false">IF(M260&lt;&gt;"P","",INDEX(in_CGName,N260))</f>
        <v/>
      </c>
      <c r="K260" s="26" t="str">
        <f aca="false">IF(M260&lt;&gt;"P","",IFERROR(INDEX(cl_Payer,MATCH(INDEX(in_ClientID,N260),cl_ID,0)),"Unassigned"))</f>
        <v/>
      </c>
      <c r="L260" s="26" t="str">
        <f aca="false">IF(M260="","",IF(M260="S","Weekly caregiver pay, week ending "&amp;TEXT(WeekEnd,"m/d/yyyy"),INDEX(in_Svc,N260)&amp;" "&amp;INDEX(in_ClientID,N260)&amp;", "&amp;INDEX(in_Units,N260)&amp;" units"&amp;IF(N(INDEX(in_Miles,N260))&gt;0,", "&amp;INDEX(in_Miles,N260)&amp;" miles","")))</f>
        <v/>
      </c>
      <c r="M260" s="60" t="str">
        <f aca="false">IF(254&gt;acc_TotalLines,"",IF(254&lt;=acc_SumLines,"S","P"))</f>
        <v/>
      </c>
      <c r="N260" s="42" t="str">
        <f aca="false">IF(M260="","",IF(M260="S",MATCH(254,acc_SumSeq,0),MATCH(254-acc_SumLines,in_Seq,0)))</f>
        <v/>
      </c>
    </row>
    <row r="261" customFormat="false" ht="15" hidden="false" customHeight="false" outlineLevel="0" collapsed="false">
      <c r="A261" s="26" t="str">
        <f aca="false">IF(M261="","",JrnPrefix&amp;"-"&amp;TEXT(WeekEnd,"yyyymmdd"))</f>
        <v/>
      </c>
      <c r="B261" s="58" t="str">
        <f aca="false">IF(M261="","",WeekEnd)</f>
        <v/>
      </c>
      <c r="C261" s="52" t="str">
        <f aca="false">IF(M261="","",255)</f>
        <v/>
      </c>
      <c r="D261" s="26" t="str">
        <f aca="false">IF(M261="","",IF(M261="S",IF(INDEX(acc_SumAcct,N261)=MileGL,"Mileage summary","Expense summary"),"Caregiver payable"))</f>
        <v/>
      </c>
      <c r="E261" s="40" t="str">
        <f aca="false">IF(M261="","",IF(M261="S",INDEX(acc_SumAcct,N261),APGL))</f>
        <v/>
      </c>
      <c r="F261" s="26" t="str">
        <f aca="false">IF(M261="","",IF(M261="S",INDEX(acc_SumName,N261),APGLName))</f>
        <v/>
      </c>
      <c r="G261" s="59" t="str">
        <f aca="false">IF(M261="","",IF(M261="S",INDEX(acc_SumAmt,N261),0))</f>
        <v/>
      </c>
      <c r="H261" s="59" t="str">
        <f aca="false">IF(M261="","",IF(M261="S",0,INDEX(in_Payable,N261)))</f>
        <v/>
      </c>
      <c r="I261" s="40" t="str">
        <f aca="false">IF(M261&lt;&gt;"P","",IFERROR(INDEX(cg_Vendor,MATCH(INDEX(in_CGID,N261),cg_ID,0)),""))</f>
        <v/>
      </c>
      <c r="J261" s="26" t="str">
        <f aca="false">IF(M261&lt;&gt;"P","",INDEX(in_CGName,N261))</f>
        <v/>
      </c>
      <c r="K261" s="26" t="str">
        <f aca="false">IF(M261&lt;&gt;"P","",IFERROR(INDEX(cl_Payer,MATCH(INDEX(in_ClientID,N261),cl_ID,0)),"Unassigned"))</f>
        <v/>
      </c>
      <c r="L261" s="26" t="str">
        <f aca="false">IF(M261="","",IF(M261="S","Weekly caregiver pay, week ending "&amp;TEXT(WeekEnd,"m/d/yyyy"),INDEX(in_Svc,N261)&amp;" "&amp;INDEX(in_ClientID,N261)&amp;", "&amp;INDEX(in_Units,N261)&amp;" units"&amp;IF(N(INDEX(in_Miles,N261))&gt;0,", "&amp;INDEX(in_Miles,N261)&amp;" miles","")))</f>
        <v/>
      </c>
      <c r="M261" s="60" t="str">
        <f aca="false">IF(255&gt;acc_TotalLines,"",IF(255&lt;=acc_SumLines,"S","P"))</f>
        <v/>
      </c>
      <c r="N261" s="42" t="str">
        <f aca="false">IF(M261="","",IF(M261="S",MATCH(255,acc_SumSeq,0),MATCH(255-acc_SumLines,in_Seq,0)))</f>
        <v/>
      </c>
    </row>
    <row r="262" customFormat="false" ht="15" hidden="false" customHeight="false" outlineLevel="0" collapsed="false">
      <c r="A262" s="26" t="str">
        <f aca="false">IF(M262="","",JrnPrefix&amp;"-"&amp;TEXT(WeekEnd,"yyyymmdd"))</f>
        <v/>
      </c>
      <c r="B262" s="58" t="str">
        <f aca="false">IF(M262="","",WeekEnd)</f>
        <v/>
      </c>
      <c r="C262" s="52" t="str">
        <f aca="false">IF(M262="","",256)</f>
        <v/>
      </c>
      <c r="D262" s="26" t="str">
        <f aca="false">IF(M262="","",IF(M262="S",IF(INDEX(acc_SumAcct,N262)=MileGL,"Mileage summary","Expense summary"),"Caregiver payable"))</f>
        <v/>
      </c>
      <c r="E262" s="40" t="str">
        <f aca="false">IF(M262="","",IF(M262="S",INDEX(acc_SumAcct,N262),APGL))</f>
        <v/>
      </c>
      <c r="F262" s="26" t="str">
        <f aca="false">IF(M262="","",IF(M262="S",INDEX(acc_SumName,N262),APGLName))</f>
        <v/>
      </c>
      <c r="G262" s="59" t="str">
        <f aca="false">IF(M262="","",IF(M262="S",INDEX(acc_SumAmt,N262),0))</f>
        <v/>
      </c>
      <c r="H262" s="59" t="str">
        <f aca="false">IF(M262="","",IF(M262="S",0,INDEX(in_Payable,N262)))</f>
        <v/>
      </c>
      <c r="I262" s="40" t="str">
        <f aca="false">IF(M262&lt;&gt;"P","",IFERROR(INDEX(cg_Vendor,MATCH(INDEX(in_CGID,N262),cg_ID,0)),""))</f>
        <v/>
      </c>
      <c r="J262" s="26" t="str">
        <f aca="false">IF(M262&lt;&gt;"P","",INDEX(in_CGName,N262))</f>
        <v/>
      </c>
      <c r="K262" s="26" t="str">
        <f aca="false">IF(M262&lt;&gt;"P","",IFERROR(INDEX(cl_Payer,MATCH(INDEX(in_ClientID,N262),cl_ID,0)),"Unassigned"))</f>
        <v/>
      </c>
      <c r="L262" s="26" t="str">
        <f aca="false">IF(M262="","",IF(M262="S","Weekly caregiver pay, week ending "&amp;TEXT(WeekEnd,"m/d/yyyy"),INDEX(in_Svc,N262)&amp;" "&amp;INDEX(in_ClientID,N262)&amp;", "&amp;INDEX(in_Units,N262)&amp;" units"&amp;IF(N(INDEX(in_Miles,N262))&gt;0,", "&amp;INDEX(in_Miles,N262)&amp;" miles","")))</f>
        <v/>
      </c>
      <c r="M262" s="60" t="str">
        <f aca="false">IF(256&gt;acc_TotalLines,"",IF(256&lt;=acc_SumLines,"S","P"))</f>
        <v/>
      </c>
      <c r="N262" s="42" t="str">
        <f aca="false">IF(M262="","",IF(M262="S",MATCH(256,acc_SumSeq,0),MATCH(256-acc_SumLines,in_Seq,0)))</f>
        <v/>
      </c>
    </row>
    <row r="263" customFormat="false" ht="15" hidden="false" customHeight="false" outlineLevel="0" collapsed="false">
      <c r="A263" s="26" t="str">
        <f aca="false">IF(M263="","",JrnPrefix&amp;"-"&amp;TEXT(WeekEnd,"yyyymmdd"))</f>
        <v/>
      </c>
      <c r="B263" s="58" t="str">
        <f aca="false">IF(M263="","",WeekEnd)</f>
        <v/>
      </c>
      <c r="C263" s="52" t="str">
        <f aca="false">IF(M263="","",257)</f>
        <v/>
      </c>
      <c r="D263" s="26" t="str">
        <f aca="false">IF(M263="","",IF(M263="S",IF(INDEX(acc_SumAcct,N263)=MileGL,"Mileage summary","Expense summary"),"Caregiver payable"))</f>
        <v/>
      </c>
      <c r="E263" s="40" t="str">
        <f aca="false">IF(M263="","",IF(M263="S",INDEX(acc_SumAcct,N263),APGL))</f>
        <v/>
      </c>
      <c r="F263" s="26" t="str">
        <f aca="false">IF(M263="","",IF(M263="S",INDEX(acc_SumName,N263),APGLName))</f>
        <v/>
      </c>
      <c r="G263" s="59" t="str">
        <f aca="false">IF(M263="","",IF(M263="S",INDEX(acc_SumAmt,N263),0))</f>
        <v/>
      </c>
      <c r="H263" s="59" t="str">
        <f aca="false">IF(M263="","",IF(M263="S",0,INDEX(in_Payable,N263)))</f>
        <v/>
      </c>
      <c r="I263" s="40" t="str">
        <f aca="false">IF(M263&lt;&gt;"P","",IFERROR(INDEX(cg_Vendor,MATCH(INDEX(in_CGID,N263),cg_ID,0)),""))</f>
        <v/>
      </c>
      <c r="J263" s="26" t="str">
        <f aca="false">IF(M263&lt;&gt;"P","",INDEX(in_CGName,N263))</f>
        <v/>
      </c>
      <c r="K263" s="26" t="str">
        <f aca="false">IF(M263&lt;&gt;"P","",IFERROR(INDEX(cl_Payer,MATCH(INDEX(in_ClientID,N263),cl_ID,0)),"Unassigned"))</f>
        <v/>
      </c>
      <c r="L263" s="26" t="str">
        <f aca="false">IF(M263="","",IF(M263="S","Weekly caregiver pay, week ending "&amp;TEXT(WeekEnd,"m/d/yyyy"),INDEX(in_Svc,N263)&amp;" "&amp;INDEX(in_ClientID,N263)&amp;", "&amp;INDEX(in_Units,N263)&amp;" units"&amp;IF(N(INDEX(in_Miles,N263))&gt;0,", "&amp;INDEX(in_Miles,N263)&amp;" miles","")))</f>
        <v/>
      </c>
      <c r="M263" s="60" t="str">
        <f aca="false">IF(257&gt;acc_TotalLines,"",IF(257&lt;=acc_SumLines,"S","P"))</f>
        <v/>
      </c>
      <c r="N263" s="42" t="str">
        <f aca="false">IF(M263="","",IF(M263="S",MATCH(257,acc_SumSeq,0),MATCH(257-acc_SumLines,in_Seq,0)))</f>
        <v/>
      </c>
    </row>
    <row r="264" customFormat="false" ht="15" hidden="false" customHeight="false" outlineLevel="0" collapsed="false">
      <c r="A264" s="26" t="str">
        <f aca="false">IF(M264="","",JrnPrefix&amp;"-"&amp;TEXT(WeekEnd,"yyyymmdd"))</f>
        <v/>
      </c>
      <c r="B264" s="58" t="str">
        <f aca="false">IF(M264="","",WeekEnd)</f>
        <v/>
      </c>
      <c r="C264" s="52" t="str">
        <f aca="false">IF(M264="","",258)</f>
        <v/>
      </c>
      <c r="D264" s="26" t="str">
        <f aca="false">IF(M264="","",IF(M264="S",IF(INDEX(acc_SumAcct,N264)=MileGL,"Mileage summary","Expense summary"),"Caregiver payable"))</f>
        <v/>
      </c>
      <c r="E264" s="40" t="str">
        <f aca="false">IF(M264="","",IF(M264="S",INDEX(acc_SumAcct,N264),APGL))</f>
        <v/>
      </c>
      <c r="F264" s="26" t="str">
        <f aca="false">IF(M264="","",IF(M264="S",INDEX(acc_SumName,N264),APGLName))</f>
        <v/>
      </c>
      <c r="G264" s="59" t="str">
        <f aca="false">IF(M264="","",IF(M264="S",INDEX(acc_SumAmt,N264),0))</f>
        <v/>
      </c>
      <c r="H264" s="59" t="str">
        <f aca="false">IF(M264="","",IF(M264="S",0,INDEX(in_Payable,N264)))</f>
        <v/>
      </c>
      <c r="I264" s="40" t="str">
        <f aca="false">IF(M264&lt;&gt;"P","",IFERROR(INDEX(cg_Vendor,MATCH(INDEX(in_CGID,N264),cg_ID,0)),""))</f>
        <v/>
      </c>
      <c r="J264" s="26" t="str">
        <f aca="false">IF(M264&lt;&gt;"P","",INDEX(in_CGName,N264))</f>
        <v/>
      </c>
      <c r="K264" s="26" t="str">
        <f aca="false">IF(M264&lt;&gt;"P","",IFERROR(INDEX(cl_Payer,MATCH(INDEX(in_ClientID,N264),cl_ID,0)),"Unassigned"))</f>
        <v/>
      </c>
      <c r="L264" s="26" t="str">
        <f aca="false">IF(M264="","",IF(M264="S","Weekly caregiver pay, week ending "&amp;TEXT(WeekEnd,"m/d/yyyy"),INDEX(in_Svc,N264)&amp;" "&amp;INDEX(in_ClientID,N264)&amp;", "&amp;INDEX(in_Units,N264)&amp;" units"&amp;IF(N(INDEX(in_Miles,N264))&gt;0,", "&amp;INDEX(in_Miles,N264)&amp;" miles","")))</f>
        <v/>
      </c>
      <c r="M264" s="60" t="str">
        <f aca="false">IF(258&gt;acc_TotalLines,"",IF(258&lt;=acc_SumLines,"S","P"))</f>
        <v/>
      </c>
      <c r="N264" s="42" t="str">
        <f aca="false">IF(M264="","",IF(M264="S",MATCH(258,acc_SumSeq,0),MATCH(258-acc_SumLines,in_Seq,0)))</f>
        <v/>
      </c>
    </row>
    <row r="265" customFormat="false" ht="15" hidden="false" customHeight="false" outlineLevel="0" collapsed="false">
      <c r="A265" s="26" t="str">
        <f aca="false">IF(M265="","",JrnPrefix&amp;"-"&amp;TEXT(WeekEnd,"yyyymmdd"))</f>
        <v/>
      </c>
      <c r="B265" s="58" t="str">
        <f aca="false">IF(M265="","",WeekEnd)</f>
        <v/>
      </c>
      <c r="C265" s="52" t="str">
        <f aca="false">IF(M265="","",259)</f>
        <v/>
      </c>
      <c r="D265" s="26" t="str">
        <f aca="false">IF(M265="","",IF(M265="S",IF(INDEX(acc_SumAcct,N265)=MileGL,"Mileage summary","Expense summary"),"Caregiver payable"))</f>
        <v/>
      </c>
      <c r="E265" s="40" t="str">
        <f aca="false">IF(M265="","",IF(M265="S",INDEX(acc_SumAcct,N265),APGL))</f>
        <v/>
      </c>
      <c r="F265" s="26" t="str">
        <f aca="false">IF(M265="","",IF(M265="S",INDEX(acc_SumName,N265),APGLName))</f>
        <v/>
      </c>
      <c r="G265" s="59" t="str">
        <f aca="false">IF(M265="","",IF(M265="S",INDEX(acc_SumAmt,N265),0))</f>
        <v/>
      </c>
      <c r="H265" s="59" t="str">
        <f aca="false">IF(M265="","",IF(M265="S",0,INDEX(in_Payable,N265)))</f>
        <v/>
      </c>
      <c r="I265" s="40" t="str">
        <f aca="false">IF(M265&lt;&gt;"P","",IFERROR(INDEX(cg_Vendor,MATCH(INDEX(in_CGID,N265),cg_ID,0)),""))</f>
        <v/>
      </c>
      <c r="J265" s="26" t="str">
        <f aca="false">IF(M265&lt;&gt;"P","",INDEX(in_CGName,N265))</f>
        <v/>
      </c>
      <c r="K265" s="26" t="str">
        <f aca="false">IF(M265&lt;&gt;"P","",IFERROR(INDEX(cl_Payer,MATCH(INDEX(in_ClientID,N265),cl_ID,0)),"Unassigned"))</f>
        <v/>
      </c>
      <c r="L265" s="26" t="str">
        <f aca="false">IF(M265="","",IF(M265="S","Weekly caregiver pay, week ending "&amp;TEXT(WeekEnd,"m/d/yyyy"),INDEX(in_Svc,N265)&amp;" "&amp;INDEX(in_ClientID,N265)&amp;", "&amp;INDEX(in_Units,N265)&amp;" units"&amp;IF(N(INDEX(in_Miles,N265))&gt;0,", "&amp;INDEX(in_Miles,N265)&amp;" miles","")))</f>
        <v/>
      </c>
      <c r="M265" s="60" t="str">
        <f aca="false">IF(259&gt;acc_TotalLines,"",IF(259&lt;=acc_SumLines,"S","P"))</f>
        <v/>
      </c>
      <c r="N265" s="42" t="str">
        <f aca="false">IF(M265="","",IF(M265="S",MATCH(259,acc_SumSeq,0),MATCH(259-acc_SumLines,in_Seq,0)))</f>
        <v/>
      </c>
    </row>
    <row r="266" customFormat="false" ht="15" hidden="false" customHeight="false" outlineLevel="0" collapsed="false">
      <c r="A266" s="26" t="str">
        <f aca="false">IF(M266="","",JrnPrefix&amp;"-"&amp;TEXT(WeekEnd,"yyyymmdd"))</f>
        <v/>
      </c>
      <c r="B266" s="58" t="str">
        <f aca="false">IF(M266="","",WeekEnd)</f>
        <v/>
      </c>
      <c r="C266" s="52" t="str">
        <f aca="false">IF(M266="","",260)</f>
        <v/>
      </c>
      <c r="D266" s="26" t="str">
        <f aca="false">IF(M266="","",IF(M266="S",IF(INDEX(acc_SumAcct,N266)=MileGL,"Mileage summary","Expense summary"),"Caregiver payable"))</f>
        <v/>
      </c>
      <c r="E266" s="40" t="str">
        <f aca="false">IF(M266="","",IF(M266="S",INDEX(acc_SumAcct,N266),APGL))</f>
        <v/>
      </c>
      <c r="F266" s="26" t="str">
        <f aca="false">IF(M266="","",IF(M266="S",INDEX(acc_SumName,N266),APGLName))</f>
        <v/>
      </c>
      <c r="G266" s="59" t="str">
        <f aca="false">IF(M266="","",IF(M266="S",INDEX(acc_SumAmt,N266),0))</f>
        <v/>
      </c>
      <c r="H266" s="59" t="str">
        <f aca="false">IF(M266="","",IF(M266="S",0,INDEX(in_Payable,N266)))</f>
        <v/>
      </c>
      <c r="I266" s="40" t="str">
        <f aca="false">IF(M266&lt;&gt;"P","",IFERROR(INDEX(cg_Vendor,MATCH(INDEX(in_CGID,N266),cg_ID,0)),""))</f>
        <v/>
      </c>
      <c r="J266" s="26" t="str">
        <f aca="false">IF(M266&lt;&gt;"P","",INDEX(in_CGName,N266))</f>
        <v/>
      </c>
      <c r="K266" s="26" t="str">
        <f aca="false">IF(M266&lt;&gt;"P","",IFERROR(INDEX(cl_Payer,MATCH(INDEX(in_ClientID,N266),cl_ID,0)),"Unassigned"))</f>
        <v/>
      </c>
      <c r="L266" s="26" t="str">
        <f aca="false">IF(M266="","",IF(M266="S","Weekly caregiver pay, week ending "&amp;TEXT(WeekEnd,"m/d/yyyy"),INDEX(in_Svc,N266)&amp;" "&amp;INDEX(in_ClientID,N266)&amp;", "&amp;INDEX(in_Units,N266)&amp;" units"&amp;IF(N(INDEX(in_Miles,N266))&gt;0,", "&amp;INDEX(in_Miles,N266)&amp;" miles","")))</f>
        <v/>
      </c>
      <c r="M266" s="60" t="str">
        <f aca="false">IF(260&gt;acc_TotalLines,"",IF(260&lt;=acc_SumLines,"S","P"))</f>
        <v/>
      </c>
      <c r="N266" s="42" t="str">
        <f aca="false">IF(M266="","",IF(M266="S",MATCH(260,acc_SumSeq,0),MATCH(260-acc_SumLines,in_Seq,0)))</f>
        <v/>
      </c>
    </row>
    <row r="267" customFormat="false" ht="15" hidden="false" customHeight="false" outlineLevel="0" collapsed="false">
      <c r="A267" s="26" t="str">
        <f aca="false">IF(M267="","",JrnPrefix&amp;"-"&amp;TEXT(WeekEnd,"yyyymmdd"))</f>
        <v/>
      </c>
      <c r="B267" s="58" t="str">
        <f aca="false">IF(M267="","",WeekEnd)</f>
        <v/>
      </c>
      <c r="C267" s="52" t="str">
        <f aca="false">IF(M267="","",261)</f>
        <v/>
      </c>
      <c r="D267" s="26" t="str">
        <f aca="false">IF(M267="","",IF(M267="S",IF(INDEX(acc_SumAcct,N267)=MileGL,"Mileage summary","Expense summary"),"Caregiver payable"))</f>
        <v/>
      </c>
      <c r="E267" s="40" t="str">
        <f aca="false">IF(M267="","",IF(M267="S",INDEX(acc_SumAcct,N267),APGL))</f>
        <v/>
      </c>
      <c r="F267" s="26" t="str">
        <f aca="false">IF(M267="","",IF(M267="S",INDEX(acc_SumName,N267),APGLName))</f>
        <v/>
      </c>
      <c r="G267" s="59" t="str">
        <f aca="false">IF(M267="","",IF(M267="S",INDEX(acc_SumAmt,N267),0))</f>
        <v/>
      </c>
      <c r="H267" s="59" t="str">
        <f aca="false">IF(M267="","",IF(M267="S",0,INDEX(in_Payable,N267)))</f>
        <v/>
      </c>
      <c r="I267" s="40" t="str">
        <f aca="false">IF(M267&lt;&gt;"P","",IFERROR(INDEX(cg_Vendor,MATCH(INDEX(in_CGID,N267),cg_ID,0)),""))</f>
        <v/>
      </c>
      <c r="J267" s="26" t="str">
        <f aca="false">IF(M267&lt;&gt;"P","",INDEX(in_CGName,N267))</f>
        <v/>
      </c>
      <c r="K267" s="26" t="str">
        <f aca="false">IF(M267&lt;&gt;"P","",IFERROR(INDEX(cl_Payer,MATCH(INDEX(in_ClientID,N267),cl_ID,0)),"Unassigned"))</f>
        <v/>
      </c>
      <c r="L267" s="26" t="str">
        <f aca="false">IF(M267="","",IF(M267="S","Weekly caregiver pay, week ending "&amp;TEXT(WeekEnd,"m/d/yyyy"),INDEX(in_Svc,N267)&amp;" "&amp;INDEX(in_ClientID,N267)&amp;", "&amp;INDEX(in_Units,N267)&amp;" units"&amp;IF(N(INDEX(in_Miles,N267))&gt;0,", "&amp;INDEX(in_Miles,N267)&amp;" miles","")))</f>
        <v/>
      </c>
      <c r="M267" s="60" t="str">
        <f aca="false">IF(261&gt;acc_TotalLines,"",IF(261&lt;=acc_SumLines,"S","P"))</f>
        <v/>
      </c>
      <c r="N267" s="42" t="str">
        <f aca="false">IF(M267="","",IF(M267="S",MATCH(261,acc_SumSeq,0),MATCH(261-acc_SumLines,in_Seq,0)))</f>
        <v/>
      </c>
    </row>
    <row r="268" customFormat="false" ht="15" hidden="false" customHeight="false" outlineLevel="0" collapsed="false">
      <c r="A268" s="26" t="str">
        <f aca="false">IF(M268="","",JrnPrefix&amp;"-"&amp;TEXT(WeekEnd,"yyyymmdd"))</f>
        <v/>
      </c>
      <c r="B268" s="58" t="str">
        <f aca="false">IF(M268="","",WeekEnd)</f>
        <v/>
      </c>
      <c r="C268" s="52" t="str">
        <f aca="false">IF(M268="","",262)</f>
        <v/>
      </c>
      <c r="D268" s="26" t="str">
        <f aca="false">IF(M268="","",IF(M268="S",IF(INDEX(acc_SumAcct,N268)=MileGL,"Mileage summary","Expense summary"),"Caregiver payable"))</f>
        <v/>
      </c>
      <c r="E268" s="40" t="str">
        <f aca="false">IF(M268="","",IF(M268="S",INDEX(acc_SumAcct,N268),APGL))</f>
        <v/>
      </c>
      <c r="F268" s="26" t="str">
        <f aca="false">IF(M268="","",IF(M268="S",INDEX(acc_SumName,N268),APGLName))</f>
        <v/>
      </c>
      <c r="G268" s="59" t="str">
        <f aca="false">IF(M268="","",IF(M268="S",INDEX(acc_SumAmt,N268),0))</f>
        <v/>
      </c>
      <c r="H268" s="59" t="str">
        <f aca="false">IF(M268="","",IF(M268="S",0,INDEX(in_Payable,N268)))</f>
        <v/>
      </c>
      <c r="I268" s="40" t="str">
        <f aca="false">IF(M268&lt;&gt;"P","",IFERROR(INDEX(cg_Vendor,MATCH(INDEX(in_CGID,N268),cg_ID,0)),""))</f>
        <v/>
      </c>
      <c r="J268" s="26" t="str">
        <f aca="false">IF(M268&lt;&gt;"P","",INDEX(in_CGName,N268))</f>
        <v/>
      </c>
      <c r="K268" s="26" t="str">
        <f aca="false">IF(M268&lt;&gt;"P","",IFERROR(INDEX(cl_Payer,MATCH(INDEX(in_ClientID,N268),cl_ID,0)),"Unassigned"))</f>
        <v/>
      </c>
      <c r="L268" s="26" t="str">
        <f aca="false">IF(M268="","",IF(M268="S","Weekly caregiver pay, week ending "&amp;TEXT(WeekEnd,"m/d/yyyy"),INDEX(in_Svc,N268)&amp;" "&amp;INDEX(in_ClientID,N268)&amp;", "&amp;INDEX(in_Units,N268)&amp;" units"&amp;IF(N(INDEX(in_Miles,N268))&gt;0,", "&amp;INDEX(in_Miles,N268)&amp;" miles","")))</f>
        <v/>
      </c>
      <c r="M268" s="60" t="str">
        <f aca="false">IF(262&gt;acc_TotalLines,"",IF(262&lt;=acc_SumLines,"S","P"))</f>
        <v/>
      </c>
      <c r="N268" s="42" t="str">
        <f aca="false">IF(M268="","",IF(M268="S",MATCH(262,acc_SumSeq,0),MATCH(262-acc_SumLines,in_Seq,0)))</f>
        <v/>
      </c>
    </row>
    <row r="269" customFormat="false" ht="15" hidden="false" customHeight="false" outlineLevel="0" collapsed="false">
      <c r="A269" s="26" t="str">
        <f aca="false">IF(M269="","",JrnPrefix&amp;"-"&amp;TEXT(WeekEnd,"yyyymmdd"))</f>
        <v/>
      </c>
      <c r="B269" s="58" t="str">
        <f aca="false">IF(M269="","",WeekEnd)</f>
        <v/>
      </c>
      <c r="C269" s="52" t="str">
        <f aca="false">IF(M269="","",263)</f>
        <v/>
      </c>
      <c r="D269" s="26" t="str">
        <f aca="false">IF(M269="","",IF(M269="S",IF(INDEX(acc_SumAcct,N269)=MileGL,"Mileage summary","Expense summary"),"Caregiver payable"))</f>
        <v/>
      </c>
      <c r="E269" s="40" t="str">
        <f aca="false">IF(M269="","",IF(M269="S",INDEX(acc_SumAcct,N269),APGL))</f>
        <v/>
      </c>
      <c r="F269" s="26" t="str">
        <f aca="false">IF(M269="","",IF(M269="S",INDEX(acc_SumName,N269),APGLName))</f>
        <v/>
      </c>
      <c r="G269" s="59" t="str">
        <f aca="false">IF(M269="","",IF(M269="S",INDEX(acc_SumAmt,N269),0))</f>
        <v/>
      </c>
      <c r="H269" s="59" t="str">
        <f aca="false">IF(M269="","",IF(M269="S",0,INDEX(in_Payable,N269)))</f>
        <v/>
      </c>
      <c r="I269" s="40" t="str">
        <f aca="false">IF(M269&lt;&gt;"P","",IFERROR(INDEX(cg_Vendor,MATCH(INDEX(in_CGID,N269),cg_ID,0)),""))</f>
        <v/>
      </c>
      <c r="J269" s="26" t="str">
        <f aca="false">IF(M269&lt;&gt;"P","",INDEX(in_CGName,N269))</f>
        <v/>
      </c>
      <c r="K269" s="26" t="str">
        <f aca="false">IF(M269&lt;&gt;"P","",IFERROR(INDEX(cl_Payer,MATCH(INDEX(in_ClientID,N269),cl_ID,0)),"Unassigned"))</f>
        <v/>
      </c>
      <c r="L269" s="26" t="str">
        <f aca="false">IF(M269="","",IF(M269="S","Weekly caregiver pay, week ending "&amp;TEXT(WeekEnd,"m/d/yyyy"),INDEX(in_Svc,N269)&amp;" "&amp;INDEX(in_ClientID,N269)&amp;", "&amp;INDEX(in_Units,N269)&amp;" units"&amp;IF(N(INDEX(in_Miles,N269))&gt;0,", "&amp;INDEX(in_Miles,N269)&amp;" miles","")))</f>
        <v/>
      </c>
      <c r="M269" s="60" t="str">
        <f aca="false">IF(263&gt;acc_TotalLines,"",IF(263&lt;=acc_SumLines,"S","P"))</f>
        <v/>
      </c>
      <c r="N269" s="42" t="str">
        <f aca="false">IF(M269="","",IF(M269="S",MATCH(263,acc_SumSeq,0),MATCH(263-acc_SumLines,in_Seq,0)))</f>
        <v/>
      </c>
    </row>
    <row r="270" customFormat="false" ht="15" hidden="false" customHeight="false" outlineLevel="0" collapsed="false">
      <c r="A270" s="26" t="str">
        <f aca="false">IF(M270="","",JrnPrefix&amp;"-"&amp;TEXT(WeekEnd,"yyyymmdd"))</f>
        <v/>
      </c>
      <c r="B270" s="58" t="str">
        <f aca="false">IF(M270="","",WeekEnd)</f>
        <v/>
      </c>
      <c r="C270" s="52" t="str">
        <f aca="false">IF(M270="","",264)</f>
        <v/>
      </c>
      <c r="D270" s="26" t="str">
        <f aca="false">IF(M270="","",IF(M270="S",IF(INDEX(acc_SumAcct,N270)=MileGL,"Mileage summary","Expense summary"),"Caregiver payable"))</f>
        <v/>
      </c>
      <c r="E270" s="40" t="str">
        <f aca="false">IF(M270="","",IF(M270="S",INDEX(acc_SumAcct,N270),APGL))</f>
        <v/>
      </c>
      <c r="F270" s="26" t="str">
        <f aca="false">IF(M270="","",IF(M270="S",INDEX(acc_SumName,N270),APGLName))</f>
        <v/>
      </c>
      <c r="G270" s="59" t="str">
        <f aca="false">IF(M270="","",IF(M270="S",INDEX(acc_SumAmt,N270),0))</f>
        <v/>
      </c>
      <c r="H270" s="59" t="str">
        <f aca="false">IF(M270="","",IF(M270="S",0,INDEX(in_Payable,N270)))</f>
        <v/>
      </c>
      <c r="I270" s="40" t="str">
        <f aca="false">IF(M270&lt;&gt;"P","",IFERROR(INDEX(cg_Vendor,MATCH(INDEX(in_CGID,N270),cg_ID,0)),""))</f>
        <v/>
      </c>
      <c r="J270" s="26" t="str">
        <f aca="false">IF(M270&lt;&gt;"P","",INDEX(in_CGName,N270))</f>
        <v/>
      </c>
      <c r="K270" s="26" t="str">
        <f aca="false">IF(M270&lt;&gt;"P","",IFERROR(INDEX(cl_Payer,MATCH(INDEX(in_ClientID,N270),cl_ID,0)),"Unassigned"))</f>
        <v/>
      </c>
      <c r="L270" s="26" t="str">
        <f aca="false">IF(M270="","",IF(M270="S","Weekly caregiver pay, week ending "&amp;TEXT(WeekEnd,"m/d/yyyy"),INDEX(in_Svc,N270)&amp;" "&amp;INDEX(in_ClientID,N270)&amp;", "&amp;INDEX(in_Units,N270)&amp;" units"&amp;IF(N(INDEX(in_Miles,N270))&gt;0,", "&amp;INDEX(in_Miles,N270)&amp;" miles","")))</f>
        <v/>
      </c>
      <c r="M270" s="60" t="str">
        <f aca="false">IF(264&gt;acc_TotalLines,"",IF(264&lt;=acc_SumLines,"S","P"))</f>
        <v/>
      </c>
      <c r="N270" s="42" t="str">
        <f aca="false">IF(M270="","",IF(M270="S",MATCH(264,acc_SumSeq,0),MATCH(264-acc_SumLines,in_Seq,0)))</f>
        <v/>
      </c>
    </row>
    <row r="271" customFormat="false" ht="15" hidden="false" customHeight="false" outlineLevel="0" collapsed="false">
      <c r="A271" s="26" t="str">
        <f aca="false">IF(M271="","",JrnPrefix&amp;"-"&amp;TEXT(WeekEnd,"yyyymmdd"))</f>
        <v/>
      </c>
      <c r="B271" s="58" t="str">
        <f aca="false">IF(M271="","",WeekEnd)</f>
        <v/>
      </c>
      <c r="C271" s="52" t="str">
        <f aca="false">IF(M271="","",265)</f>
        <v/>
      </c>
      <c r="D271" s="26" t="str">
        <f aca="false">IF(M271="","",IF(M271="S",IF(INDEX(acc_SumAcct,N271)=MileGL,"Mileage summary","Expense summary"),"Caregiver payable"))</f>
        <v/>
      </c>
      <c r="E271" s="40" t="str">
        <f aca="false">IF(M271="","",IF(M271="S",INDEX(acc_SumAcct,N271),APGL))</f>
        <v/>
      </c>
      <c r="F271" s="26" t="str">
        <f aca="false">IF(M271="","",IF(M271="S",INDEX(acc_SumName,N271),APGLName))</f>
        <v/>
      </c>
      <c r="G271" s="59" t="str">
        <f aca="false">IF(M271="","",IF(M271="S",INDEX(acc_SumAmt,N271),0))</f>
        <v/>
      </c>
      <c r="H271" s="59" t="str">
        <f aca="false">IF(M271="","",IF(M271="S",0,INDEX(in_Payable,N271)))</f>
        <v/>
      </c>
      <c r="I271" s="40" t="str">
        <f aca="false">IF(M271&lt;&gt;"P","",IFERROR(INDEX(cg_Vendor,MATCH(INDEX(in_CGID,N271),cg_ID,0)),""))</f>
        <v/>
      </c>
      <c r="J271" s="26" t="str">
        <f aca="false">IF(M271&lt;&gt;"P","",INDEX(in_CGName,N271))</f>
        <v/>
      </c>
      <c r="K271" s="26" t="str">
        <f aca="false">IF(M271&lt;&gt;"P","",IFERROR(INDEX(cl_Payer,MATCH(INDEX(in_ClientID,N271),cl_ID,0)),"Unassigned"))</f>
        <v/>
      </c>
      <c r="L271" s="26" t="str">
        <f aca="false">IF(M271="","",IF(M271="S","Weekly caregiver pay, week ending "&amp;TEXT(WeekEnd,"m/d/yyyy"),INDEX(in_Svc,N271)&amp;" "&amp;INDEX(in_ClientID,N271)&amp;", "&amp;INDEX(in_Units,N271)&amp;" units"&amp;IF(N(INDEX(in_Miles,N271))&gt;0,", "&amp;INDEX(in_Miles,N271)&amp;" miles","")))</f>
        <v/>
      </c>
      <c r="M271" s="60" t="str">
        <f aca="false">IF(265&gt;acc_TotalLines,"",IF(265&lt;=acc_SumLines,"S","P"))</f>
        <v/>
      </c>
      <c r="N271" s="42" t="str">
        <f aca="false">IF(M271="","",IF(M271="S",MATCH(265,acc_SumSeq,0),MATCH(265-acc_SumLines,in_Seq,0)))</f>
        <v/>
      </c>
    </row>
    <row r="272" customFormat="false" ht="15" hidden="false" customHeight="false" outlineLevel="0" collapsed="false">
      <c r="A272" s="26" t="str">
        <f aca="false">IF(M272="","",JrnPrefix&amp;"-"&amp;TEXT(WeekEnd,"yyyymmdd"))</f>
        <v/>
      </c>
      <c r="B272" s="58" t="str">
        <f aca="false">IF(M272="","",WeekEnd)</f>
        <v/>
      </c>
      <c r="C272" s="52" t="str">
        <f aca="false">IF(M272="","",266)</f>
        <v/>
      </c>
      <c r="D272" s="26" t="str">
        <f aca="false">IF(M272="","",IF(M272="S",IF(INDEX(acc_SumAcct,N272)=MileGL,"Mileage summary","Expense summary"),"Caregiver payable"))</f>
        <v/>
      </c>
      <c r="E272" s="40" t="str">
        <f aca="false">IF(M272="","",IF(M272="S",INDEX(acc_SumAcct,N272),APGL))</f>
        <v/>
      </c>
      <c r="F272" s="26" t="str">
        <f aca="false">IF(M272="","",IF(M272="S",INDEX(acc_SumName,N272),APGLName))</f>
        <v/>
      </c>
      <c r="G272" s="59" t="str">
        <f aca="false">IF(M272="","",IF(M272="S",INDEX(acc_SumAmt,N272),0))</f>
        <v/>
      </c>
      <c r="H272" s="59" t="str">
        <f aca="false">IF(M272="","",IF(M272="S",0,INDEX(in_Payable,N272)))</f>
        <v/>
      </c>
      <c r="I272" s="40" t="str">
        <f aca="false">IF(M272&lt;&gt;"P","",IFERROR(INDEX(cg_Vendor,MATCH(INDEX(in_CGID,N272),cg_ID,0)),""))</f>
        <v/>
      </c>
      <c r="J272" s="26" t="str">
        <f aca="false">IF(M272&lt;&gt;"P","",INDEX(in_CGName,N272))</f>
        <v/>
      </c>
      <c r="K272" s="26" t="str">
        <f aca="false">IF(M272&lt;&gt;"P","",IFERROR(INDEX(cl_Payer,MATCH(INDEX(in_ClientID,N272),cl_ID,0)),"Unassigned"))</f>
        <v/>
      </c>
      <c r="L272" s="26" t="str">
        <f aca="false">IF(M272="","",IF(M272="S","Weekly caregiver pay, week ending "&amp;TEXT(WeekEnd,"m/d/yyyy"),INDEX(in_Svc,N272)&amp;" "&amp;INDEX(in_ClientID,N272)&amp;", "&amp;INDEX(in_Units,N272)&amp;" units"&amp;IF(N(INDEX(in_Miles,N272))&gt;0,", "&amp;INDEX(in_Miles,N272)&amp;" miles","")))</f>
        <v/>
      </c>
      <c r="M272" s="60" t="str">
        <f aca="false">IF(266&gt;acc_TotalLines,"",IF(266&lt;=acc_SumLines,"S","P"))</f>
        <v/>
      </c>
      <c r="N272" s="42" t="str">
        <f aca="false">IF(M272="","",IF(M272="S",MATCH(266,acc_SumSeq,0),MATCH(266-acc_SumLines,in_Seq,0)))</f>
        <v/>
      </c>
    </row>
    <row r="273" customFormat="false" ht="15" hidden="false" customHeight="false" outlineLevel="0" collapsed="false">
      <c r="A273" s="26" t="str">
        <f aca="false">IF(M273="","",JrnPrefix&amp;"-"&amp;TEXT(WeekEnd,"yyyymmdd"))</f>
        <v/>
      </c>
      <c r="B273" s="58" t="str">
        <f aca="false">IF(M273="","",WeekEnd)</f>
        <v/>
      </c>
      <c r="C273" s="52" t="str">
        <f aca="false">IF(M273="","",267)</f>
        <v/>
      </c>
      <c r="D273" s="26" t="str">
        <f aca="false">IF(M273="","",IF(M273="S",IF(INDEX(acc_SumAcct,N273)=MileGL,"Mileage summary","Expense summary"),"Caregiver payable"))</f>
        <v/>
      </c>
      <c r="E273" s="40" t="str">
        <f aca="false">IF(M273="","",IF(M273="S",INDEX(acc_SumAcct,N273),APGL))</f>
        <v/>
      </c>
      <c r="F273" s="26" t="str">
        <f aca="false">IF(M273="","",IF(M273="S",INDEX(acc_SumName,N273),APGLName))</f>
        <v/>
      </c>
      <c r="G273" s="59" t="str">
        <f aca="false">IF(M273="","",IF(M273="S",INDEX(acc_SumAmt,N273),0))</f>
        <v/>
      </c>
      <c r="H273" s="59" t="str">
        <f aca="false">IF(M273="","",IF(M273="S",0,INDEX(in_Payable,N273)))</f>
        <v/>
      </c>
      <c r="I273" s="40" t="str">
        <f aca="false">IF(M273&lt;&gt;"P","",IFERROR(INDEX(cg_Vendor,MATCH(INDEX(in_CGID,N273),cg_ID,0)),""))</f>
        <v/>
      </c>
      <c r="J273" s="26" t="str">
        <f aca="false">IF(M273&lt;&gt;"P","",INDEX(in_CGName,N273))</f>
        <v/>
      </c>
      <c r="K273" s="26" t="str">
        <f aca="false">IF(M273&lt;&gt;"P","",IFERROR(INDEX(cl_Payer,MATCH(INDEX(in_ClientID,N273),cl_ID,0)),"Unassigned"))</f>
        <v/>
      </c>
      <c r="L273" s="26" t="str">
        <f aca="false">IF(M273="","",IF(M273="S","Weekly caregiver pay, week ending "&amp;TEXT(WeekEnd,"m/d/yyyy"),INDEX(in_Svc,N273)&amp;" "&amp;INDEX(in_ClientID,N273)&amp;", "&amp;INDEX(in_Units,N273)&amp;" units"&amp;IF(N(INDEX(in_Miles,N273))&gt;0,", "&amp;INDEX(in_Miles,N273)&amp;" miles","")))</f>
        <v/>
      </c>
      <c r="M273" s="60" t="str">
        <f aca="false">IF(267&gt;acc_TotalLines,"",IF(267&lt;=acc_SumLines,"S","P"))</f>
        <v/>
      </c>
      <c r="N273" s="42" t="str">
        <f aca="false">IF(M273="","",IF(M273="S",MATCH(267,acc_SumSeq,0),MATCH(267-acc_SumLines,in_Seq,0)))</f>
        <v/>
      </c>
    </row>
    <row r="274" customFormat="false" ht="15" hidden="false" customHeight="false" outlineLevel="0" collapsed="false">
      <c r="A274" s="26" t="str">
        <f aca="false">IF(M274="","",JrnPrefix&amp;"-"&amp;TEXT(WeekEnd,"yyyymmdd"))</f>
        <v/>
      </c>
      <c r="B274" s="58" t="str">
        <f aca="false">IF(M274="","",WeekEnd)</f>
        <v/>
      </c>
      <c r="C274" s="52" t="str">
        <f aca="false">IF(M274="","",268)</f>
        <v/>
      </c>
      <c r="D274" s="26" t="str">
        <f aca="false">IF(M274="","",IF(M274="S",IF(INDEX(acc_SumAcct,N274)=MileGL,"Mileage summary","Expense summary"),"Caregiver payable"))</f>
        <v/>
      </c>
      <c r="E274" s="40" t="str">
        <f aca="false">IF(M274="","",IF(M274="S",INDEX(acc_SumAcct,N274),APGL))</f>
        <v/>
      </c>
      <c r="F274" s="26" t="str">
        <f aca="false">IF(M274="","",IF(M274="S",INDEX(acc_SumName,N274),APGLName))</f>
        <v/>
      </c>
      <c r="G274" s="59" t="str">
        <f aca="false">IF(M274="","",IF(M274="S",INDEX(acc_SumAmt,N274),0))</f>
        <v/>
      </c>
      <c r="H274" s="59" t="str">
        <f aca="false">IF(M274="","",IF(M274="S",0,INDEX(in_Payable,N274)))</f>
        <v/>
      </c>
      <c r="I274" s="40" t="str">
        <f aca="false">IF(M274&lt;&gt;"P","",IFERROR(INDEX(cg_Vendor,MATCH(INDEX(in_CGID,N274),cg_ID,0)),""))</f>
        <v/>
      </c>
      <c r="J274" s="26" t="str">
        <f aca="false">IF(M274&lt;&gt;"P","",INDEX(in_CGName,N274))</f>
        <v/>
      </c>
      <c r="K274" s="26" t="str">
        <f aca="false">IF(M274&lt;&gt;"P","",IFERROR(INDEX(cl_Payer,MATCH(INDEX(in_ClientID,N274),cl_ID,0)),"Unassigned"))</f>
        <v/>
      </c>
      <c r="L274" s="26" t="str">
        <f aca="false">IF(M274="","",IF(M274="S","Weekly caregiver pay, week ending "&amp;TEXT(WeekEnd,"m/d/yyyy"),INDEX(in_Svc,N274)&amp;" "&amp;INDEX(in_ClientID,N274)&amp;", "&amp;INDEX(in_Units,N274)&amp;" units"&amp;IF(N(INDEX(in_Miles,N274))&gt;0,", "&amp;INDEX(in_Miles,N274)&amp;" miles","")))</f>
        <v/>
      </c>
      <c r="M274" s="60" t="str">
        <f aca="false">IF(268&gt;acc_TotalLines,"",IF(268&lt;=acc_SumLines,"S","P"))</f>
        <v/>
      </c>
      <c r="N274" s="42" t="str">
        <f aca="false">IF(M274="","",IF(M274="S",MATCH(268,acc_SumSeq,0),MATCH(268-acc_SumLines,in_Seq,0)))</f>
        <v/>
      </c>
    </row>
    <row r="275" customFormat="false" ht="15" hidden="false" customHeight="false" outlineLevel="0" collapsed="false">
      <c r="A275" s="26" t="str">
        <f aca="false">IF(M275="","",JrnPrefix&amp;"-"&amp;TEXT(WeekEnd,"yyyymmdd"))</f>
        <v/>
      </c>
      <c r="B275" s="58" t="str">
        <f aca="false">IF(M275="","",WeekEnd)</f>
        <v/>
      </c>
      <c r="C275" s="52" t="str">
        <f aca="false">IF(M275="","",269)</f>
        <v/>
      </c>
      <c r="D275" s="26" t="str">
        <f aca="false">IF(M275="","",IF(M275="S",IF(INDEX(acc_SumAcct,N275)=MileGL,"Mileage summary","Expense summary"),"Caregiver payable"))</f>
        <v/>
      </c>
      <c r="E275" s="40" t="str">
        <f aca="false">IF(M275="","",IF(M275="S",INDEX(acc_SumAcct,N275),APGL))</f>
        <v/>
      </c>
      <c r="F275" s="26" t="str">
        <f aca="false">IF(M275="","",IF(M275="S",INDEX(acc_SumName,N275),APGLName))</f>
        <v/>
      </c>
      <c r="G275" s="59" t="str">
        <f aca="false">IF(M275="","",IF(M275="S",INDEX(acc_SumAmt,N275),0))</f>
        <v/>
      </c>
      <c r="H275" s="59" t="str">
        <f aca="false">IF(M275="","",IF(M275="S",0,INDEX(in_Payable,N275)))</f>
        <v/>
      </c>
      <c r="I275" s="40" t="str">
        <f aca="false">IF(M275&lt;&gt;"P","",IFERROR(INDEX(cg_Vendor,MATCH(INDEX(in_CGID,N275),cg_ID,0)),""))</f>
        <v/>
      </c>
      <c r="J275" s="26" t="str">
        <f aca="false">IF(M275&lt;&gt;"P","",INDEX(in_CGName,N275))</f>
        <v/>
      </c>
      <c r="K275" s="26" t="str">
        <f aca="false">IF(M275&lt;&gt;"P","",IFERROR(INDEX(cl_Payer,MATCH(INDEX(in_ClientID,N275),cl_ID,0)),"Unassigned"))</f>
        <v/>
      </c>
      <c r="L275" s="26" t="str">
        <f aca="false">IF(M275="","",IF(M275="S","Weekly caregiver pay, week ending "&amp;TEXT(WeekEnd,"m/d/yyyy"),INDEX(in_Svc,N275)&amp;" "&amp;INDEX(in_ClientID,N275)&amp;", "&amp;INDEX(in_Units,N275)&amp;" units"&amp;IF(N(INDEX(in_Miles,N275))&gt;0,", "&amp;INDEX(in_Miles,N275)&amp;" miles","")))</f>
        <v/>
      </c>
      <c r="M275" s="60" t="str">
        <f aca="false">IF(269&gt;acc_TotalLines,"",IF(269&lt;=acc_SumLines,"S","P"))</f>
        <v/>
      </c>
      <c r="N275" s="42" t="str">
        <f aca="false">IF(M275="","",IF(M275="S",MATCH(269,acc_SumSeq,0),MATCH(269-acc_SumLines,in_Seq,0)))</f>
        <v/>
      </c>
    </row>
    <row r="276" customFormat="false" ht="15" hidden="false" customHeight="false" outlineLevel="0" collapsed="false">
      <c r="A276" s="26" t="str">
        <f aca="false">IF(M276="","",JrnPrefix&amp;"-"&amp;TEXT(WeekEnd,"yyyymmdd"))</f>
        <v/>
      </c>
      <c r="B276" s="58" t="str">
        <f aca="false">IF(M276="","",WeekEnd)</f>
        <v/>
      </c>
      <c r="C276" s="52" t="str">
        <f aca="false">IF(M276="","",270)</f>
        <v/>
      </c>
      <c r="D276" s="26" t="str">
        <f aca="false">IF(M276="","",IF(M276="S",IF(INDEX(acc_SumAcct,N276)=MileGL,"Mileage summary","Expense summary"),"Caregiver payable"))</f>
        <v/>
      </c>
      <c r="E276" s="40" t="str">
        <f aca="false">IF(M276="","",IF(M276="S",INDEX(acc_SumAcct,N276),APGL))</f>
        <v/>
      </c>
      <c r="F276" s="26" t="str">
        <f aca="false">IF(M276="","",IF(M276="S",INDEX(acc_SumName,N276),APGLName))</f>
        <v/>
      </c>
      <c r="G276" s="59" t="str">
        <f aca="false">IF(M276="","",IF(M276="S",INDEX(acc_SumAmt,N276),0))</f>
        <v/>
      </c>
      <c r="H276" s="59" t="str">
        <f aca="false">IF(M276="","",IF(M276="S",0,INDEX(in_Payable,N276)))</f>
        <v/>
      </c>
      <c r="I276" s="40" t="str">
        <f aca="false">IF(M276&lt;&gt;"P","",IFERROR(INDEX(cg_Vendor,MATCH(INDEX(in_CGID,N276),cg_ID,0)),""))</f>
        <v/>
      </c>
      <c r="J276" s="26" t="str">
        <f aca="false">IF(M276&lt;&gt;"P","",INDEX(in_CGName,N276))</f>
        <v/>
      </c>
      <c r="K276" s="26" t="str">
        <f aca="false">IF(M276&lt;&gt;"P","",IFERROR(INDEX(cl_Payer,MATCH(INDEX(in_ClientID,N276),cl_ID,0)),"Unassigned"))</f>
        <v/>
      </c>
      <c r="L276" s="26" t="str">
        <f aca="false">IF(M276="","",IF(M276="S","Weekly caregiver pay, week ending "&amp;TEXT(WeekEnd,"m/d/yyyy"),INDEX(in_Svc,N276)&amp;" "&amp;INDEX(in_ClientID,N276)&amp;", "&amp;INDEX(in_Units,N276)&amp;" units"&amp;IF(N(INDEX(in_Miles,N276))&gt;0,", "&amp;INDEX(in_Miles,N276)&amp;" miles","")))</f>
        <v/>
      </c>
      <c r="M276" s="60" t="str">
        <f aca="false">IF(270&gt;acc_TotalLines,"",IF(270&lt;=acc_SumLines,"S","P"))</f>
        <v/>
      </c>
      <c r="N276" s="42" t="str">
        <f aca="false">IF(M276="","",IF(M276="S",MATCH(270,acc_SumSeq,0),MATCH(270-acc_SumLines,in_Seq,0)))</f>
        <v/>
      </c>
    </row>
    <row r="277" customFormat="false" ht="15" hidden="false" customHeight="false" outlineLevel="0" collapsed="false">
      <c r="A277" s="26" t="str">
        <f aca="false">IF(M277="","",JrnPrefix&amp;"-"&amp;TEXT(WeekEnd,"yyyymmdd"))</f>
        <v/>
      </c>
      <c r="B277" s="58" t="str">
        <f aca="false">IF(M277="","",WeekEnd)</f>
        <v/>
      </c>
      <c r="C277" s="52" t="str">
        <f aca="false">IF(M277="","",271)</f>
        <v/>
      </c>
      <c r="D277" s="26" t="str">
        <f aca="false">IF(M277="","",IF(M277="S",IF(INDEX(acc_SumAcct,N277)=MileGL,"Mileage summary","Expense summary"),"Caregiver payable"))</f>
        <v/>
      </c>
      <c r="E277" s="40" t="str">
        <f aca="false">IF(M277="","",IF(M277="S",INDEX(acc_SumAcct,N277),APGL))</f>
        <v/>
      </c>
      <c r="F277" s="26" t="str">
        <f aca="false">IF(M277="","",IF(M277="S",INDEX(acc_SumName,N277),APGLName))</f>
        <v/>
      </c>
      <c r="G277" s="59" t="str">
        <f aca="false">IF(M277="","",IF(M277="S",INDEX(acc_SumAmt,N277),0))</f>
        <v/>
      </c>
      <c r="H277" s="59" t="str">
        <f aca="false">IF(M277="","",IF(M277="S",0,INDEX(in_Payable,N277)))</f>
        <v/>
      </c>
      <c r="I277" s="40" t="str">
        <f aca="false">IF(M277&lt;&gt;"P","",IFERROR(INDEX(cg_Vendor,MATCH(INDEX(in_CGID,N277),cg_ID,0)),""))</f>
        <v/>
      </c>
      <c r="J277" s="26" t="str">
        <f aca="false">IF(M277&lt;&gt;"P","",INDEX(in_CGName,N277))</f>
        <v/>
      </c>
      <c r="K277" s="26" t="str">
        <f aca="false">IF(M277&lt;&gt;"P","",IFERROR(INDEX(cl_Payer,MATCH(INDEX(in_ClientID,N277),cl_ID,0)),"Unassigned"))</f>
        <v/>
      </c>
      <c r="L277" s="26" t="str">
        <f aca="false">IF(M277="","",IF(M277="S","Weekly caregiver pay, week ending "&amp;TEXT(WeekEnd,"m/d/yyyy"),INDEX(in_Svc,N277)&amp;" "&amp;INDEX(in_ClientID,N277)&amp;", "&amp;INDEX(in_Units,N277)&amp;" units"&amp;IF(N(INDEX(in_Miles,N277))&gt;0,", "&amp;INDEX(in_Miles,N277)&amp;" miles","")))</f>
        <v/>
      </c>
      <c r="M277" s="60" t="str">
        <f aca="false">IF(271&gt;acc_TotalLines,"",IF(271&lt;=acc_SumLines,"S","P"))</f>
        <v/>
      </c>
      <c r="N277" s="42" t="str">
        <f aca="false">IF(M277="","",IF(M277="S",MATCH(271,acc_SumSeq,0),MATCH(271-acc_SumLines,in_Seq,0)))</f>
        <v/>
      </c>
    </row>
    <row r="278" customFormat="false" ht="15" hidden="false" customHeight="false" outlineLevel="0" collapsed="false">
      <c r="A278" s="26" t="str">
        <f aca="false">IF(M278="","",JrnPrefix&amp;"-"&amp;TEXT(WeekEnd,"yyyymmdd"))</f>
        <v/>
      </c>
      <c r="B278" s="58" t="str">
        <f aca="false">IF(M278="","",WeekEnd)</f>
        <v/>
      </c>
      <c r="C278" s="52" t="str">
        <f aca="false">IF(M278="","",272)</f>
        <v/>
      </c>
      <c r="D278" s="26" t="str">
        <f aca="false">IF(M278="","",IF(M278="S",IF(INDEX(acc_SumAcct,N278)=MileGL,"Mileage summary","Expense summary"),"Caregiver payable"))</f>
        <v/>
      </c>
      <c r="E278" s="40" t="str">
        <f aca="false">IF(M278="","",IF(M278="S",INDEX(acc_SumAcct,N278),APGL))</f>
        <v/>
      </c>
      <c r="F278" s="26" t="str">
        <f aca="false">IF(M278="","",IF(M278="S",INDEX(acc_SumName,N278),APGLName))</f>
        <v/>
      </c>
      <c r="G278" s="59" t="str">
        <f aca="false">IF(M278="","",IF(M278="S",INDEX(acc_SumAmt,N278),0))</f>
        <v/>
      </c>
      <c r="H278" s="59" t="str">
        <f aca="false">IF(M278="","",IF(M278="S",0,INDEX(in_Payable,N278)))</f>
        <v/>
      </c>
      <c r="I278" s="40" t="str">
        <f aca="false">IF(M278&lt;&gt;"P","",IFERROR(INDEX(cg_Vendor,MATCH(INDEX(in_CGID,N278),cg_ID,0)),""))</f>
        <v/>
      </c>
      <c r="J278" s="26" t="str">
        <f aca="false">IF(M278&lt;&gt;"P","",INDEX(in_CGName,N278))</f>
        <v/>
      </c>
      <c r="K278" s="26" t="str">
        <f aca="false">IF(M278&lt;&gt;"P","",IFERROR(INDEX(cl_Payer,MATCH(INDEX(in_ClientID,N278),cl_ID,0)),"Unassigned"))</f>
        <v/>
      </c>
      <c r="L278" s="26" t="str">
        <f aca="false">IF(M278="","",IF(M278="S","Weekly caregiver pay, week ending "&amp;TEXT(WeekEnd,"m/d/yyyy"),INDEX(in_Svc,N278)&amp;" "&amp;INDEX(in_ClientID,N278)&amp;", "&amp;INDEX(in_Units,N278)&amp;" units"&amp;IF(N(INDEX(in_Miles,N278))&gt;0,", "&amp;INDEX(in_Miles,N278)&amp;" miles","")))</f>
        <v/>
      </c>
      <c r="M278" s="60" t="str">
        <f aca="false">IF(272&gt;acc_TotalLines,"",IF(272&lt;=acc_SumLines,"S","P"))</f>
        <v/>
      </c>
      <c r="N278" s="42" t="str">
        <f aca="false">IF(M278="","",IF(M278="S",MATCH(272,acc_SumSeq,0),MATCH(272-acc_SumLines,in_Seq,0)))</f>
        <v/>
      </c>
    </row>
    <row r="279" customFormat="false" ht="15" hidden="false" customHeight="false" outlineLevel="0" collapsed="false">
      <c r="A279" s="26" t="str">
        <f aca="false">IF(M279="","",JrnPrefix&amp;"-"&amp;TEXT(WeekEnd,"yyyymmdd"))</f>
        <v/>
      </c>
      <c r="B279" s="58" t="str">
        <f aca="false">IF(M279="","",WeekEnd)</f>
        <v/>
      </c>
      <c r="C279" s="52" t="str">
        <f aca="false">IF(M279="","",273)</f>
        <v/>
      </c>
      <c r="D279" s="26" t="str">
        <f aca="false">IF(M279="","",IF(M279="S",IF(INDEX(acc_SumAcct,N279)=MileGL,"Mileage summary","Expense summary"),"Caregiver payable"))</f>
        <v/>
      </c>
      <c r="E279" s="40" t="str">
        <f aca="false">IF(M279="","",IF(M279="S",INDEX(acc_SumAcct,N279),APGL))</f>
        <v/>
      </c>
      <c r="F279" s="26" t="str">
        <f aca="false">IF(M279="","",IF(M279="S",INDEX(acc_SumName,N279),APGLName))</f>
        <v/>
      </c>
      <c r="G279" s="59" t="str">
        <f aca="false">IF(M279="","",IF(M279="S",INDEX(acc_SumAmt,N279),0))</f>
        <v/>
      </c>
      <c r="H279" s="59" t="str">
        <f aca="false">IF(M279="","",IF(M279="S",0,INDEX(in_Payable,N279)))</f>
        <v/>
      </c>
      <c r="I279" s="40" t="str">
        <f aca="false">IF(M279&lt;&gt;"P","",IFERROR(INDEX(cg_Vendor,MATCH(INDEX(in_CGID,N279),cg_ID,0)),""))</f>
        <v/>
      </c>
      <c r="J279" s="26" t="str">
        <f aca="false">IF(M279&lt;&gt;"P","",INDEX(in_CGName,N279))</f>
        <v/>
      </c>
      <c r="K279" s="26" t="str">
        <f aca="false">IF(M279&lt;&gt;"P","",IFERROR(INDEX(cl_Payer,MATCH(INDEX(in_ClientID,N279),cl_ID,0)),"Unassigned"))</f>
        <v/>
      </c>
      <c r="L279" s="26" t="str">
        <f aca="false">IF(M279="","",IF(M279="S","Weekly caregiver pay, week ending "&amp;TEXT(WeekEnd,"m/d/yyyy"),INDEX(in_Svc,N279)&amp;" "&amp;INDEX(in_ClientID,N279)&amp;", "&amp;INDEX(in_Units,N279)&amp;" units"&amp;IF(N(INDEX(in_Miles,N279))&gt;0,", "&amp;INDEX(in_Miles,N279)&amp;" miles","")))</f>
        <v/>
      </c>
      <c r="M279" s="60" t="str">
        <f aca="false">IF(273&gt;acc_TotalLines,"",IF(273&lt;=acc_SumLines,"S","P"))</f>
        <v/>
      </c>
      <c r="N279" s="42" t="str">
        <f aca="false">IF(M279="","",IF(M279="S",MATCH(273,acc_SumSeq,0),MATCH(273-acc_SumLines,in_Seq,0)))</f>
        <v/>
      </c>
    </row>
    <row r="280" customFormat="false" ht="15" hidden="false" customHeight="false" outlineLevel="0" collapsed="false">
      <c r="A280" s="26" t="str">
        <f aca="false">IF(M280="","",JrnPrefix&amp;"-"&amp;TEXT(WeekEnd,"yyyymmdd"))</f>
        <v/>
      </c>
      <c r="B280" s="58" t="str">
        <f aca="false">IF(M280="","",WeekEnd)</f>
        <v/>
      </c>
      <c r="C280" s="52" t="str">
        <f aca="false">IF(M280="","",274)</f>
        <v/>
      </c>
      <c r="D280" s="26" t="str">
        <f aca="false">IF(M280="","",IF(M280="S",IF(INDEX(acc_SumAcct,N280)=MileGL,"Mileage summary","Expense summary"),"Caregiver payable"))</f>
        <v/>
      </c>
      <c r="E280" s="40" t="str">
        <f aca="false">IF(M280="","",IF(M280="S",INDEX(acc_SumAcct,N280),APGL))</f>
        <v/>
      </c>
      <c r="F280" s="26" t="str">
        <f aca="false">IF(M280="","",IF(M280="S",INDEX(acc_SumName,N280),APGLName))</f>
        <v/>
      </c>
      <c r="G280" s="59" t="str">
        <f aca="false">IF(M280="","",IF(M280="S",INDEX(acc_SumAmt,N280),0))</f>
        <v/>
      </c>
      <c r="H280" s="59" t="str">
        <f aca="false">IF(M280="","",IF(M280="S",0,INDEX(in_Payable,N280)))</f>
        <v/>
      </c>
      <c r="I280" s="40" t="str">
        <f aca="false">IF(M280&lt;&gt;"P","",IFERROR(INDEX(cg_Vendor,MATCH(INDEX(in_CGID,N280),cg_ID,0)),""))</f>
        <v/>
      </c>
      <c r="J280" s="26" t="str">
        <f aca="false">IF(M280&lt;&gt;"P","",INDEX(in_CGName,N280))</f>
        <v/>
      </c>
      <c r="K280" s="26" t="str">
        <f aca="false">IF(M280&lt;&gt;"P","",IFERROR(INDEX(cl_Payer,MATCH(INDEX(in_ClientID,N280),cl_ID,0)),"Unassigned"))</f>
        <v/>
      </c>
      <c r="L280" s="26" t="str">
        <f aca="false">IF(M280="","",IF(M280="S","Weekly caregiver pay, week ending "&amp;TEXT(WeekEnd,"m/d/yyyy"),INDEX(in_Svc,N280)&amp;" "&amp;INDEX(in_ClientID,N280)&amp;", "&amp;INDEX(in_Units,N280)&amp;" units"&amp;IF(N(INDEX(in_Miles,N280))&gt;0,", "&amp;INDEX(in_Miles,N280)&amp;" miles","")))</f>
        <v/>
      </c>
      <c r="M280" s="60" t="str">
        <f aca="false">IF(274&gt;acc_TotalLines,"",IF(274&lt;=acc_SumLines,"S","P"))</f>
        <v/>
      </c>
      <c r="N280" s="42" t="str">
        <f aca="false">IF(M280="","",IF(M280="S",MATCH(274,acc_SumSeq,0),MATCH(274-acc_SumLines,in_Seq,0)))</f>
        <v/>
      </c>
    </row>
    <row r="281" customFormat="false" ht="15" hidden="false" customHeight="false" outlineLevel="0" collapsed="false">
      <c r="A281" s="26" t="str">
        <f aca="false">IF(M281="","",JrnPrefix&amp;"-"&amp;TEXT(WeekEnd,"yyyymmdd"))</f>
        <v/>
      </c>
      <c r="B281" s="58" t="str">
        <f aca="false">IF(M281="","",WeekEnd)</f>
        <v/>
      </c>
      <c r="C281" s="52" t="str">
        <f aca="false">IF(M281="","",275)</f>
        <v/>
      </c>
      <c r="D281" s="26" t="str">
        <f aca="false">IF(M281="","",IF(M281="S",IF(INDEX(acc_SumAcct,N281)=MileGL,"Mileage summary","Expense summary"),"Caregiver payable"))</f>
        <v/>
      </c>
      <c r="E281" s="40" t="str">
        <f aca="false">IF(M281="","",IF(M281="S",INDEX(acc_SumAcct,N281),APGL))</f>
        <v/>
      </c>
      <c r="F281" s="26" t="str">
        <f aca="false">IF(M281="","",IF(M281="S",INDEX(acc_SumName,N281),APGLName))</f>
        <v/>
      </c>
      <c r="G281" s="59" t="str">
        <f aca="false">IF(M281="","",IF(M281="S",INDEX(acc_SumAmt,N281),0))</f>
        <v/>
      </c>
      <c r="H281" s="59" t="str">
        <f aca="false">IF(M281="","",IF(M281="S",0,INDEX(in_Payable,N281)))</f>
        <v/>
      </c>
      <c r="I281" s="40" t="str">
        <f aca="false">IF(M281&lt;&gt;"P","",IFERROR(INDEX(cg_Vendor,MATCH(INDEX(in_CGID,N281),cg_ID,0)),""))</f>
        <v/>
      </c>
      <c r="J281" s="26" t="str">
        <f aca="false">IF(M281&lt;&gt;"P","",INDEX(in_CGName,N281))</f>
        <v/>
      </c>
      <c r="K281" s="26" t="str">
        <f aca="false">IF(M281&lt;&gt;"P","",IFERROR(INDEX(cl_Payer,MATCH(INDEX(in_ClientID,N281),cl_ID,0)),"Unassigned"))</f>
        <v/>
      </c>
      <c r="L281" s="26" t="str">
        <f aca="false">IF(M281="","",IF(M281="S","Weekly caregiver pay, week ending "&amp;TEXT(WeekEnd,"m/d/yyyy"),INDEX(in_Svc,N281)&amp;" "&amp;INDEX(in_ClientID,N281)&amp;", "&amp;INDEX(in_Units,N281)&amp;" units"&amp;IF(N(INDEX(in_Miles,N281))&gt;0,", "&amp;INDEX(in_Miles,N281)&amp;" miles","")))</f>
        <v/>
      </c>
      <c r="M281" s="60" t="str">
        <f aca="false">IF(275&gt;acc_TotalLines,"",IF(275&lt;=acc_SumLines,"S","P"))</f>
        <v/>
      </c>
      <c r="N281" s="42" t="str">
        <f aca="false">IF(M281="","",IF(M281="S",MATCH(275,acc_SumSeq,0),MATCH(275-acc_SumLines,in_Seq,0)))</f>
        <v/>
      </c>
    </row>
    <row r="282" customFormat="false" ht="15" hidden="false" customHeight="false" outlineLevel="0" collapsed="false">
      <c r="A282" s="26" t="str">
        <f aca="false">IF(M282="","",JrnPrefix&amp;"-"&amp;TEXT(WeekEnd,"yyyymmdd"))</f>
        <v/>
      </c>
      <c r="B282" s="58" t="str">
        <f aca="false">IF(M282="","",WeekEnd)</f>
        <v/>
      </c>
      <c r="C282" s="52" t="str">
        <f aca="false">IF(M282="","",276)</f>
        <v/>
      </c>
      <c r="D282" s="26" t="str">
        <f aca="false">IF(M282="","",IF(M282="S",IF(INDEX(acc_SumAcct,N282)=MileGL,"Mileage summary","Expense summary"),"Caregiver payable"))</f>
        <v/>
      </c>
      <c r="E282" s="40" t="str">
        <f aca="false">IF(M282="","",IF(M282="S",INDEX(acc_SumAcct,N282),APGL))</f>
        <v/>
      </c>
      <c r="F282" s="26" t="str">
        <f aca="false">IF(M282="","",IF(M282="S",INDEX(acc_SumName,N282),APGLName))</f>
        <v/>
      </c>
      <c r="G282" s="59" t="str">
        <f aca="false">IF(M282="","",IF(M282="S",INDEX(acc_SumAmt,N282),0))</f>
        <v/>
      </c>
      <c r="H282" s="59" t="str">
        <f aca="false">IF(M282="","",IF(M282="S",0,INDEX(in_Payable,N282)))</f>
        <v/>
      </c>
      <c r="I282" s="40" t="str">
        <f aca="false">IF(M282&lt;&gt;"P","",IFERROR(INDEX(cg_Vendor,MATCH(INDEX(in_CGID,N282),cg_ID,0)),""))</f>
        <v/>
      </c>
      <c r="J282" s="26" t="str">
        <f aca="false">IF(M282&lt;&gt;"P","",INDEX(in_CGName,N282))</f>
        <v/>
      </c>
      <c r="K282" s="26" t="str">
        <f aca="false">IF(M282&lt;&gt;"P","",IFERROR(INDEX(cl_Payer,MATCH(INDEX(in_ClientID,N282),cl_ID,0)),"Unassigned"))</f>
        <v/>
      </c>
      <c r="L282" s="26" t="str">
        <f aca="false">IF(M282="","",IF(M282="S","Weekly caregiver pay, week ending "&amp;TEXT(WeekEnd,"m/d/yyyy"),INDEX(in_Svc,N282)&amp;" "&amp;INDEX(in_ClientID,N282)&amp;", "&amp;INDEX(in_Units,N282)&amp;" units"&amp;IF(N(INDEX(in_Miles,N282))&gt;0,", "&amp;INDEX(in_Miles,N282)&amp;" miles","")))</f>
        <v/>
      </c>
      <c r="M282" s="60" t="str">
        <f aca="false">IF(276&gt;acc_TotalLines,"",IF(276&lt;=acc_SumLines,"S","P"))</f>
        <v/>
      </c>
      <c r="N282" s="42" t="str">
        <f aca="false">IF(M282="","",IF(M282="S",MATCH(276,acc_SumSeq,0),MATCH(276-acc_SumLines,in_Seq,0)))</f>
        <v/>
      </c>
    </row>
    <row r="283" customFormat="false" ht="15" hidden="false" customHeight="false" outlineLevel="0" collapsed="false">
      <c r="A283" s="26" t="str">
        <f aca="false">IF(M283="","",JrnPrefix&amp;"-"&amp;TEXT(WeekEnd,"yyyymmdd"))</f>
        <v/>
      </c>
      <c r="B283" s="58" t="str">
        <f aca="false">IF(M283="","",WeekEnd)</f>
        <v/>
      </c>
      <c r="C283" s="52" t="str">
        <f aca="false">IF(M283="","",277)</f>
        <v/>
      </c>
      <c r="D283" s="26" t="str">
        <f aca="false">IF(M283="","",IF(M283="S",IF(INDEX(acc_SumAcct,N283)=MileGL,"Mileage summary","Expense summary"),"Caregiver payable"))</f>
        <v/>
      </c>
      <c r="E283" s="40" t="str">
        <f aca="false">IF(M283="","",IF(M283="S",INDEX(acc_SumAcct,N283),APGL))</f>
        <v/>
      </c>
      <c r="F283" s="26" t="str">
        <f aca="false">IF(M283="","",IF(M283="S",INDEX(acc_SumName,N283),APGLName))</f>
        <v/>
      </c>
      <c r="G283" s="59" t="str">
        <f aca="false">IF(M283="","",IF(M283="S",INDEX(acc_SumAmt,N283),0))</f>
        <v/>
      </c>
      <c r="H283" s="59" t="str">
        <f aca="false">IF(M283="","",IF(M283="S",0,INDEX(in_Payable,N283)))</f>
        <v/>
      </c>
      <c r="I283" s="40" t="str">
        <f aca="false">IF(M283&lt;&gt;"P","",IFERROR(INDEX(cg_Vendor,MATCH(INDEX(in_CGID,N283),cg_ID,0)),""))</f>
        <v/>
      </c>
      <c r="J283" s="26" t="str">
        <f aca="false">IF(M283&lt;&gt;"P","",INDEX(in_CGName,N283))</f>
        <v/>
      </c>
      <c r="K283" s="26" t="str">
        <f aca="false">IF(M283&lt;&gt;"P","",IFERROR(INDEX(cl_Payer,MATCH(INDEX(in_ClientID,N283),cl_ID,0)),"Unassigned"))</f>
        <v/>
      </c>
      <c r="L283" s="26" t="str">
        <f aca="false">IF(M283="","",IF(M283="S","Weekly caregiver pay, week ending "&amp;TEXT(WeekEnd,"m/d/yyyy"),INDEX(in_Svc,N283)&amp;" "&amp;INDEX(in_ClientID,N283)&amp;", "&amp;INDEX(in_Units,N283)&amp;" units"&amp;IF(N(INDEX(in_Miles,N283))&gt;0,", "&amp;INDEX(in_Miles,N283)&amp;" miles","")))</f>
        <v/>
      </c>
      <c r="M283" s="60" t="str">
        <f aca="false">IF(277&gt;acc_TotalLines,"",IF(277&lt;=acc_SumLines,"S","P"))</f>
        <v/>
      </c>
      <c r="N283" s="42" t="str">
        <f aca="false">IF(M283="","",IF(M283="S",MATCH(277,acc_SumSeq,0),MATCH(277-acc_SumLines,in_Seq,0)))</f>
        <v/>
      </c>
    </row>
    <row r="284" customFormat="false" ht="15" hidden="false" customHeight="false" outlineLevel="0" collapsed="false">
      <c r="A284" s="26" t="str">
        <f aca="false">IF(M284="","",JrnPrefix&amp;"-"&amp;TEXT(WeekEnd,"yyyymmdd"))</f>
        <v/>
      </c>
      <c r="B284" s="58" t="str">
        <f aca="false">IF(M284="","",WeekEnd)</f>
        <v/>
      </c>
      <c r="C284" s="52" t="str">
        <f aca="false">IF(M284="","",278)</f>
        <v/>
      </c>
      <c r="D284" s="26" t="str">
        <f aca="false">IF(M284="","",IF(M284="S",IF(INDEX(acc_SumAcct,N284)=MileGL,"Mileage summary","Expense summary"),"Caregiver payable"))</f>
        <v/>
      </c>
      <c r="E284" s="40" t="str">
        <f aca="false">IF(M284="","",IF(M284="S",INDEX(acc_SumAcct,N284),APGL))</f>
        <v/>
      </c>
      <c r="F284" s="26" t="str">
        <f aca="false">IF(M284="","",IF(M284="S",INDEX(acc_SumName,N284),APGLName))</f>
        <v/>
      </c>
      <c r="G284" s="59" t="str">
        <f aca="false">IF(M284="","",IF(M284="S",INDEX(acc_SumAmt,N284),0))</f>
        <v/>
      </c>
      <c r="H284" s="59" t="str">
        <f aca="false">IF(M284="","",IF(M284="S",0,INDEX(in_Payable,N284)))</f>
        <v/>
      </c>
      <c r="I284" s="40" t="str">
        <f aca="false">IF(M284&lt;&gt;"P","",IFERROR(INDEX(cg_Vendor,MATCH(INDEX(in_CGID,N284),cg_ID,0)),""))</f>
        <v/>
      </c>
      <c r="J284" s="26" t="str">
        <f aca="false">IF(M284&lt;&gt;"P","",INDEX(in_CGName,N284))</f>
        <v/>
      </c>
      <c r="K284" s="26" t="str">
        <f aca="false">IF(M284&lt;&gt;"P","",IFERROR(INDEX(cl_Payer,MATCH(INDEX(in_ClientID,N284),cl_ID,0)),"Unassigned"))</f>
        <v/>
      </c>
      <c r="L284" s="26" t="str">
        <f aca="false">IF(M284="","",IF(M284="S","Weekly caregiver pay, week ending "&amp;TEXT(WeekEnd,"m/d/yyyy"),INDEX(in_Svc,N284)&amp;" "&amp;INDEX(in_ClientID,N284)&amp;", "&amp;INDEX(in_Units,N284)&amp;" units"&amp;IF(N(INDEX(in_Miles,N284))&gt;0,", "&amp;INDEX(in_Miles,N284)&amp;" miles","")))</f>
        <v/>
      </c>
      <c r="M284" s="60" t="str">
        <f aca="false">IF(278&gt;acc_TotalLines,"",IF(278&lt;=acc_SumLines,"S","P"))</f>
        <v/>
      </c>
      <c r="N284" s="42" t="str">
        <f aca="false">IF(M284="","",IF(M284="S",MATCH(278,acc_SumSeq,0),MATCH(278-acc_SumLines,in_Seq,0)))</f>
        <v/>
      </c>
    </row>
    <row r="285" customFormat="false" ht="15" hidden="false" customHeight="false" outlineLevel="0" collapsed="false">
      <c r="A285" s="26" t="str">
        <f aca="false">IF(M285="","",JrnPrefix&amp;"-"&amp;TEXT(WeekEnd,"yyyymmdd"))</f>
        <v/>
      </c>
      <c r="B285" s="58" t="str">
        <f aca="false">IF(M285="","",WeekEnd)</f>
        <v/>
      </c>
      <c r="C285" s="52" t="str">
        <f aca="false">IF(M285="","",279)</f>
        <v/>
      </c>
      <c r="D285" s="26" t="str">
        <f aca="false">IF(M285="","",IF(M285="S",IF(INDEX(acc_SumAcct,N285)=MileGL,"Mileage summary","Expense summary"),"Caregiver payable"))</f>
        <v/>
      </c>
      <c r="E285" s="40" t="str">
        <f aca="false">IF(M285="","",IF(M285="S",INDEX(acc_SumAcct,N285),APGL))</f>
        <v/>
      </c>
      <c r="F285" s="26" t="str">
        <f aca="false">IF(M285="","",IF(M285="S",INDEX(acc_SumName,N285),APGLName))</f>
        <v/>
      </c>
      <c r="G285" s="59" t="str">
        <f aca="false">IF(M285="","",IF(M285="S",INDEX(acc_SumAmt,N285),0))</f>
        <v/>
      </c>
      <c r="H285" s="59" t="str">
        <f aca="false">IF(M285="","",IF(M285="S",0,INDEX(in_Payable,N285)))</f>
        <v/>
      </c>
      <c r="I285" s="40" t="str">
        <f aca="false">IF(M285&lt;&gt;"P","",IFERROR(INDEX(cg_Vendor,MATCH(INDEX(in_CGID,N285),cg_ID,0)),""))</f>
        <v/>
      </c>
      <c r="J285" s="26" t="str">
        <f aca="false">IF(M285&lt;&gt;"P","",INDEX(in_CGName,N285))</f>
        <v/>
      </c>
      <c r="K285" s="26" t="str">
        <f aca="false">IF(M285&lt;&gt;"P","",IFERROR(INDEX(cl_Payer,MATCH(INDEX(in_ClientID,N285),cl_ID,0)),"Unassigned"))</f>
        <v/>
      </c>
      <c r="L285" s="26" t="str">
        <f aca="false">IF(M285="","",IF(M285="S","Weekly caregiver pay, week ending "&amp;TEXT(WeekEnd,"m/d/yyyy"),INDEX(in_Svc,N285)&amp;" "&amp;INDEX(in_ClientID,N285)&amp;", "&amp;INDEX(in_Units,N285)&amp;" units"&amp;IF(N(INDEX(in_Miles,N285))&gt;0,", "&amp;INDEX(in_Miles,N285)&amp;" miles","")))</f>
        <v/>
      </c>
      <c r="M285" s="60" t="str">
        <f aca="false">IF(279&gt;acc_TotalLines,"",IF(279&lt;=acc_SumLines,"S","P"))</f>
        <v/>
      </c>
      <c r="N285" s="42" t="str">
        <f aca="false">IF(M285="","",IF(M285="S",MATCH(279,acc_SumSeq,0),MATCH(279-acc_SumLines,in_Seq,0)))</f>
        <v/>
      </c>
    </row>
    <row r="286" customFormat="false" ht="15" hidden="false" customHeight="false" outlineLevel="0" collapsed="false">
      <c r="A286" s="26" t="str">
        <f aca="false">IF(M286="","",JrnPrefix&amp;"-"&amp;TEXT(WeekEnd,"yyyymmdd"))</f>
        <v/>
      </c>
      <c r="B286" s="58" t="str">
        <f aca="false">IF(M286="","",WeekEnd)</f>
        <v/>
      </c>
      <c r="C286" s="52" t="str">
        <f aca="false">IF(M286="","",280)</f>
        <v/>
      </c>
      <c r="D286" s="26" t="str">
        <f aca="false">IF(M286="","",IF(M286="S",IF(INDEX(acc_SumAcct,N286)=MileGL,"Mileage summary","Expense summary"),"Caregiver payable"))</f>
        <v/>
      </c>
      <c r="E286" s="40" t="str">
        <f aca="false">IF(M286="","",IF(M286="S",INDEX(acc_SumAcct,N286),APGL))</f>
        <v/>
      </c>
      <c r="F286" s="26" t="str">
        <f aca="false">IF(M286="","",IF(M286="S",INDEX(acc_SumName,N286),APGLName))</f>
        <v/>
      </c>
      <c r="G286" s="59" t="str">
        <f aca="false">IF(M286="","",IF(M286="S",INDEX(acc_SumAmt,N286),0))</f>
        <v/>
      </c>
      <c r="H286" s="59" t="str">
        <f aca="false">IF(M286="","",IF(M286="S",0,INDEX(in_Payable,N286)))</f>
        <v/>
      </c>
      <c r="I286" s="40" t="str">
        <f aca="false">IF(M286&lt;&gt;"P","",IFERROR(INDEX(cg_Vendor,MATCH(INDEX(in_CGID,N286),cg_ID,0)),""))</f>
        <v/>
      </c>
      <c r="J286" s="26" t="str">
        <f aca="false">IF(M286&lt;&gt;"P","",INDEX(in_CGName,N286))</f>
        <v/>
      </c>
      <c r="K286" s="26" t="str">
        <f aca="false">IF(M286&lt;&gt;"P","",IFERROR(INDEX(cl_Payer,MATCH(INDEX(in_ClientID,N286),cl_ID,0)),"Unassigned"))</f>
        <v/>
      </c>
      <c r="L286" s="26" t="str">
        <f aca="false">IF(M286="","",IF(M286="S","Weekly caregiver pay, week ending "&amp;TEXT(WeekEnd,"m/d/yyyy"),INDEX(in_Svc,N286)&amp;" "&amp;INDEX(in_ClientID,N286)&amp;", "&amp;INDEX(in_Units,N286)&amp;" units"&amp;IF(N(INDEX(in_Miles,N286))&gt;0,", "&amp;INDEX(in_Miles,N286)&amp;" miles","")))</f>
        <v/>
      </c>
      <c r="M286" s="60" t="str">
        <f aca="false">IF(280&gt;acc_TotalLines,"",IF(280&lt;=acc_SumLines,"S","P"))</f>
        <v/>
      </c>
      <c r="N286" s="42" t="str">
        <f aca="false">IF(M286="","",IF(M286="S",MATCH(280,acc_SumSeq,0),MATCH(280-acc_SumLines,in_Seq,0)))</f>
        <v/>
      </c>
    </row>
    <row r="287" customFormat="false" ht="15" hidden="false" customHeight="false" outlineLevel="0" collapsed="false">
      <c r="A287" s="26" t="str">
        <f aca="false">IF(M287="","",JrnPrefix&amp;"-"&amp;TEXT(WeekEnd,"yyyymmdd"))</f>
        <v/>
      </c>
      <c r="B287" s="58" t="str">
        <f aca="false">IF(M287="","",WeekEnd)</f>
        <v/>
      </c>
      <c r="C287" s="52" t="str">
        <f aca="false">IF(M287="","",281)</f>
        <v/>
      </c>
      <c r="D287" s="26" t="str">
        <f aca="false">IF(M287="","",IF(M287="S",IF(INDEX(acc_SumAcct,N287)=MileGL,"Mileage summary","Expense summary"),"Caregiver payable"))</f>
        <v/>
      </c>
      <c r="E287" s="40" t="str">
        <f aca="false">IF(M287="","",IF(M287="S",INDEX(acc_SumAcct,N287),APGL))</f>
        <v/>
      </c>
      <c r="F287" s="26" t="str">
        <f aca="false">IF(M287="","",IF(M287="S",INDEX(acc_SumName,N287),APGLName))</f>
        <v/>
      </c>
      <c r="G287" s="59" t="str">
        <f aca="false">IF(M287="","",IF(M287="S",INDEX(acc_SumAmt,N287),0))</f>
        <v/>
      </c>
      <c r="H287" s="59" t="str">
        <f aca="false">IF(M287="","",IF(M287="S",0,INDEX(in_Payable,N287)))</f>
        <v/>
      </c>
      <c r="I287" s="40" t="str">
        <f aca="false">IF(M287&lt;&gt;"P","",IFERROR(INDEX(cg_Vendor,MATCH(INDEX(in_CGID,N287),cg_ID,0)),""))</f>
        <v/>
      </c>
      <c r="J287" s="26" t="str">
        <f aca="false">IF(M287&lt;&gt;"P","",INDEX(in_CGName,N287))</f>
        <v/>
      </c>
      <c r="K287" s="26" t="str">
        <f aca="false">IF(M287&lt;&gt;"P","",IFERROR(INDEX(cl_Payer,MATCH(INDEX(in_ClientID,N287),cl_ID,0)),"Unassigned"))</f>
        <v/>
      </c>
      <c r="L287" s="26" t="str">
        <f aca="false">IF(M287="","",IF(M287="S","Weekly caregiver pay, week ending "&amp;TEXT(WeekEnd,"m/d/yyyy"),INDEX(in_Svc,N287)&amp;" "&amp;INDEX(in_ClientID,N287)&amp;", "&amp;INDEX(in_Units,N287)&amp;" units"&amp;IF(N(INDEX(in_Miles,N287))&gt;0,", "&amp;INDEX(in_Miles,N287)&amp;" miles","")))</f>
        <v/>
      </c>
      <c r="M287" s="60" t="str">
        <f aca="false">IF(281&gt;acc_TotalLines,"",IF(281&lt;=acc_SumLines,"S","P"))</f>
        <v/>
      </c>
      <c r="N287" s="42" t="str">
        <f aca="false">IF(M287="","",IF(M287="S",MATCH(281,acc_SumSeq,0),MATCH(281-acc_SumLines,in_Seq,0)))</f>
        <v/>
      </c>
    </row>
    <row r="288" customFormat="false" ht="15" hidden="false" customHeight="false" outlineLevel="0" collapsed="false">
      <c r="A288" s="26" t="str">
        <f aca="false">IF(M288="","",JrnPrefix&amp;"-"&amp;TEXT(WeekEnd,"yyyymmdd"))</f>
        <v/>
      </c>
      <c r="B288" s="58" t="str">
        <f aca="false">IF(M288="","",WeekEnd)</f>
        <v/>
      </c>
      <c r="C288" s="52" t="str">
        <f aca="false">IF(M288="","",282)</f>
        <v/>
      </c>
      <c r="D288" s="26" t="str">
        <f aca="false">IF(M288="","",IF(M288="S",IF(INDEX(acc_SumAcct,N288)=MileGL,"Mileage summary","Expense summary"),"Caregiver payable"))</f>
        <v/>
      </c>
      <c r="E288" s="40" t="str">
        <f aca="false">IF(M288="","",IF(M288="S",INDEX(acc_SumAcct,N288),APGL))</f>
        <v/>
      </c>
      <c r="F288" s="26" t="str">
        <f aca="false">IF(M288="","",IF(M288="S",INDEX(acc_SumName,N288),APGLName))</f>
        <v/>
      </c>
      <c r="G288" s="59" t="str">
        <f aca="false">IF(M288="","",IF(M288="S",INDEX(acc_SumAmt,N288),0))</f>
        <v/>
      </c>
      <c r="H288" s="59" t="str">
        <f aca="false">IF(M288="","",IF(M288="S",0,INDEX(in_Payable,N288)))</f>
        <v/>
      </c>
      <c r="I288" s="40" t="str">
        <f aca="false">IF(M288&lt;&gt;"P","",IFERROR(INDEX(cg_Vendor,MATCH(INDEX(in_CGID,N288),cg_ID,0)),""))</f>
        <v/>
      </c>
      <c r="J288" s="26" t="str">
        <f aca="false">IF(M288&lt;&gt;"P","",INDEX(in_CGName,N288))</f>
        <v/>
      </c>
      <c r="K288" s="26" t="str">
        <f aca="false">IF(M288&lt;&gt;"P","",IFERROR(INDEX(cl_Payer,MATCH(INDEX(in_ClientID,N288),cl_ID,0)),"Unassigned"))</f>
        <v/>
      </c>
      <c r="L288" s="26" t="str">
        <f aca="false">IF(M288="","",IF(M288="S","Weekly caregiver pay, week ending "&amp;TEXT(WeekEnd,"m/d/yyyy"),INDEX(in_Svc,N288)&amp;" "&amp;INDEX(in_ClientID,N288)&amp;", "&amp;INDEX(in_Units,N288)&amp;" units"&amp;IF(N(INDEX(in_Miles,N288))&gt;0,", "&amp;INDEX(in_Miles,N288)&amp;" miles","")))</f>
        <v/>
      </c>
      <c r="M288" s="60" t="str">
        <f aca="false">IF(282&gt;acc_TotalLines,"",IF(282&lt;=acc_SumLines,"S","P"))</f>
        <v/>
      </c>
      <c r="N288" s="42" t="str">
        <f aca="false">IF(M288="","",IF(M288="S",MATCH(282,acc_SumSeq,0),MATCH(282-acc_SumLines,in_Seq,0)))</f>
        <v/>
      </c>
    </row>
    <row r="289" customFormat="false" ht="15" hidden="false" customHeight="false" outlineLevel="0" collapsed="false">
      <c r="A289" s="26" t="str">
        <f aca="false">IF(M289="","",JrnPrefix&amp;"-"&amp;TEXT(WeekEnd,"yyyymmdd"))</f>
        <v/>
      </c>
      <c r="B289" s="58" t="str">
        <f aca="false">IF(M289="","",WeekEnd)</f>
        <v/>
      </c>
      <c r="C289" s="52" t="str">
        <f aca="false">IF(M289="","",283)</f>
        <v/>
      </c>
      <c r="D289" s="26" t="str">
        <f aca="false">IF(M289="","",IF(M289="S",IF(INDEX(acc_SumAcct,N289)=MileGL,"Mileage summary","Expense summary"),"Caregiver payable"))</f>
        <v/>
      </c>
      <c r="E289" s="40" t="str">
        <f aca="false">IF(M289="","",IF(M289="S",INDEX(acc_SumAcct,N289),APGL))</f>
        <v/>
      </c>
      <c r="F289" s="26" t="str">
        <f aca="false">IF(M289="","",IF(M289="S",INDEX(acc_SumName,N289),APGLName))</f>
        <v/>
      </c>
      <c r="G289" s="59" t="str">
        <f aca="false">IF(M289="","",IF(M289="S",INDEX(acc_SumAmt,N289),0))</f>
        <v/>
      </c>
      <c r="H289" s="59" t="str">
        <f aca="false">IF(M289="","",IF(M289="S",0,INDEX(in_Payable,N289)))</f>
        <v/>
      </c>
      <c r="I289" s="40" t="str">
        <f aca="false">IF(M289&lt;&gt;"P","",IFERROR(INDEX(cg_Vendor,MATCH(INDEX(in_CGID,N289),cg_ID,0)),""))</f>
        <v/>
      </c>
      <c r="J289" s="26" t="str">
        <f aca="false">IF(M289&lt;&gt;"P","",INDEX(in_CGName,N289))</f>
        <v/>
      </c>
      <c r="K289" s="26" t="str">
        <f aca="false">IF(M289&lt;&gt;"P","",IFERROR(INDEX(cl_Payer,MATCH(INDEX(in_ClientID,N289),cl_ID,0)),"Unassigned"))</f>
        <v/>
      </c>
      <c r="L289" s="26" t="str">
        <f aca="false">IF(M289="","",IF(M289="S","Weekly caregiver pay, week ending "&amp;TEXT(WeekEnd,"m/d/yyyy"),INDEX(in_Svc,N289)&amp;" "&amp;INDEX(in_ClientID,N289)&amp;", "&amp;INDEX(in_Units,N289)&amp;" units"&amp;IF(N(INDEX(in_Miles,N289))&gt;0,", "&amp;INDEX(in_Miles,N289)&amp;" miles","")))</f>
        <v/>
      </c>
      <c r="M289" s="60" t="str">
        <f aca="false">IF(283&gt;acc_TotalLines,"",IF(283&lt;=acc_SumLines,"S","P"))</f>
        <v/>
      </c>
      <c r="N289" s="42" t="str">
        <f aca="false">IF(M289="","",IF(M289="S",MATCH(283,acc_SumSeq,0),MATCH(283-acc_SumLines,in_Seq,0)))</f>
        <v/>
      </c>
    </row>
    <row r="290" customFormat="false" ht="15" hidden="false" customHeight="false" outlineLevel="0" collapsed="false">
      <c r="A290" s="26" t="str">
        <f aca="false">IF(M290="","",JrnPrefix&amp;"-"&amp;TEXT(WeekEnd,"yyyymmdd"))</f>
        <v/>
      </c>
      <c r="B290" s="58" t="str">
        <f aca="false">IF(M290="","",WeekEnd)</f>
        <v/>
      </c>
      <c r="C290" s="52" t="str">
        <f aca="false">IF(M290="","",284)</f>
        <v/>
      </c>
      <c r="D290" s="26" t="str">
        <f aca="false">IF(M290="","",IF(M290="S",IF(INDEX(acc_SumAcct,N290)=MileGL,"Mileage summary","Expense summary"),"Caregiver payable"))</f>
        <v/>
      </c>
      <c r="E290" s="40" t="str">
        <f aca="false">IF(M290="","",IF(M290="S",INDEX(acc_SumAcct,N290),APGL))</f>
        <v/>
      </c>
      <c r="F290" s="26" t="str">
        <f aca="false">IF(M290="","",IF(M290="S",INDEX(acc_SumName,N290),APGLName))</f>
        <v/>
      </c>
      <c r="G290" s="59" t="str">
        <f aca="false">IF(M290="","",IF(M290="S",INDEX(acc_SumAmt,N290),0))</f>
        <v/>
      </c>
      <c r="H290" s="59" t="str">
        <f aca="false">IF(M290="","",IF(M290="S",0,INDEX(in_Payable,N290)))</f>
        <v/>
      </c>
      <c r="I290" s="40" t="str">
        <f aca="false">IF(M290&lt;&gt;"P","",IFERROR(INDEX(cg_Vendor,MATCH(INDEX(in_CGID,N290),cg_ID,0)),""))</f>
        <v/>
      </c>
      <c r="J290" s="26" t="str">
        <f aca="false">IF(M290&lt;&gt;"P","",INDEX(in_CGName,N290))</f>
        <v/>
      </c>
      <c r="K290" s="26" t="str">
        <f aca="false">IF(M290&lt;&gt;"P","",IFERROR(INDEX(cl_Payer,MATCH(INDEX(in_ClientID,N290),cl_ID,0)),"Unassigned"))</f>
        <v/>
      </c>
      <c r="L290" s="26" t="str">
        <f aca="false">IF(M290="","",IF(M290="S","Weekly caregiver pay, week ending "&amp;TEXT(WeekEnd,"m/d/yyyy"),INDEX(in_Svc,N290)&amp;" "&amp;INDEX(in_ClientID,N290)&amp;", "&amp;INDEX(in_Units,N290)&amp;" units"&amp;IF(N(INDEX(in_Miles,N290))&gt;0,", "&amp;INDEX(in_Miles,N290)&amp;" miles","")))</f>
        <v/>
      </c>
      <c r="M290" s="60" t="str">
        <f aca="false">IF(284&gt;acc_TotalLines,"",IF(284&lt;=acc_SumLines,"S","P"))</f>
        <v/>
      </c>
      <c r="N290" s="42" t="str">
        <f aca="false">IF(M290="","",IF(M290="S",MATCH(284,acc_SumSeq,0),MATCH(284-acc_SumLines,in_Seq,0)))</f>
        <v/>
      </c>
    </row>
    <row r="291" customFormat="false" ht="15" hidden="false" customHeight="false" outlineLevel="0" collapsed="false">
      <c r="A291" s="26" t="str">
        <f aca="false">IF(M291="","",JrnPrefix&amp;"-"&amp;TEXT(WeekEnd,"yyyymmdd"))</f>
        <v/>
      </c>
      <c r="B291" s="58" t="str">
        <f aca="false">IF(M291="","",WeekEnd)</f>
        <v/>
      </c>
      <c r="C291" s="52" t="str">
        <f aca="false">IF(M291="","",285)</f>
        <v/>
      </c>
      <c r="D291" s="26" t="str">
        <f aca="false">IF(M291="","",IF(M291="S",IF(INDEX(acc_SumAcct,N291)=MileGL,"Mileage summary","Expense summary"),"Caregiver payable"))</f>
        <v/>
      </c>
      <c r="E291" s="40" t="str">
        <f aca="false">IF(M291="","",IF(M291="S",INDEX(acc_SumAcct,N291),APGL))</f>
        <v/>
      </c>
      <c r="F291" s="26" t="str">
        <f aca="false">IF(M291="","",IF(M291="S",INDEX(acc_SumName,N291),APGLName))</f>
        <v/>
      </c>
      <c r="G291" s="59" t="str">
        <f aca="false">IF(M291="","",IF(M291="S",INDEX(acc_SumAmt,N291),0))</f>
        <v/>
      </c>
      <c r="H291" s="59" t="str">
        <f aca="false">IF(M291="","",IF(M291="S",0,INDEX(in_Payable,N291)))</f>
        <v/>
      </c>
      <c r="I291" s="40" t="str">
        <f aca="false">IF(M291&lt;&gt;"P","",IFERROR(INDEX(cg_Vendor,MATCH(INDEX(in_CGID,N291),cg_ID,0)),""))</f>
        <v/>
      </c>
      <c r="J291" s="26" t="str">
        <f aca="false">IF(M291&lt;&gt;"P","",INDEX(in_CGName,N291))</f>
        <v/>
      </c>
      <c r="K291" s="26" t="str">
        <f aca="false">IF(M291&lt;&gt;"P","",IFERROR(INDEX(cl_Payer,MATCH(INDEX(in_ClientID,N291),cl_ID,0)),"Unassigned"))</f>
        <v/>
      </c>
      <c r="L291" s="26" t="str">
        <f aca="false">IF(M291="","",IF(M291="S","Weekly caregiver pay, week ending "&amp;TEXT(WeekEnd,"m/d/yyyy"),INDEX(in_Svc,N291)&amp;" "&amp;INDEX(in_ClientID,N291)&amp;", "&amp;INDEX(in_Units,N291)&amp;" units"&amp;IF(N(INDEX(in_Miles,N291))&gt;0,", "&amp;INDEX(in_Miles,N291)&amp;" miles","")))</f>
        <v/>
      </c>
      <c r="M291" s="60" t="str">
        <f aca="false">IF(285&gt;acc_TotalLines,"",IF(285&lt;=acc_SumLines,"S","P"))</f>
        <v/>
      </c>
      <c r="N291" s="42" t="str">
        <f aca="false">IF(M291="","",IF(M291="S",MATCH(285,acc_SumSeq,0),MATCH(285-acc_SumLines,in_Seq,0)))</f>
        <v/>
      </c>
    </row>
    <row r="292" customFormat="false" ht="15" hidden="false" customHeight="false" outlineLevel="0" collapsed="false">
      <c r="A292" s="26" t="str">
        <f aca="false">IF(M292="","",JrnPrefix&amp;"-"&amp;TEXT(WeekEnd,"yyyymmdd"))</f>
        <v/>
      </c>
      <c r="B292" s="58" t="str">
        <f aca="false">IF(M292="","",WeekEnd)</f>
        <v/>
      </c>
      <c r="C292" s="52" t="str">
        <f aca="false">IF(M292="","",286)</f>
        <v/>
      </c>
      <c r="D292" s="26" t="str">
        <f aca="false">IF(M292="","",IF(M292="S",IF(INDEX(acc_SumAcct,N292)=MileGL,"Mileage summary","Expense summary"),"Caregiver payable"))</f>
        <v/>
      </c>
      <c r="E292" s="40" t="str">
        <f aca="false">IF(M292="","",IF(M292="S",INDEX(acc_SumAcct,N292),APGL))</f>
        <v/>
      </c>
      <c r="F292" s="26" t="str">
        <f aca="false">IF(M292="","",IF(M292="S",INDEX(acc_SumName,N292),APGLName))</f>
        <v/>
      </c>
      <c r="G292" s="59" t="str">
        <f aca="false">IF(M292="","",IF(M292="S",INDEX(acc_SumAmt,N292),0))</f>
        <v/>
      </c>
      <c r="H292" s="59" t="str">
        <f aca="false">IF(M292="","",IF(M292="S",0,INDEX(in_Payable,N292)))</f>
        <v/>
      </c>
      <c r="I292" s="40" t="str">
        <f aca="false">IF(M292&lt;&gt;"P","",IFERROR(INDEX(cg_Vendor,MATCH(INDEX(in_CGID,N292),cg_ID,0)),""))</f>
        <v/>
      </c>
      <c r="J292" s="26" t="str">
        <f aca="false">IF(M292&lt;&gt;"P","",INDEX(in_CGName,N292))</f>
        <v/>
      </c>
      <c r="K292" s="26" t="str">
        <f aca="false">IF(M292&lt;&gt;"P","",IFERROR(INDEX(cl_Payer,MATCH(INDEX(in_ClientID,N292),cl_ID,0)),"Unassigned"))</f>
        <v/>
      </c>
      <c r="L292" s="26" t="str">
        <f aca="false">IF(M292="","",IF(M292="S","Weekly caregiver pay, week ending "&amp;TEXT(WeekEnd,"m/d/yyyy"),INDEX(in_Svc,N292)&amp;" "&amp;INDEX(in_ClientID,N292)&amp;", "&amp;INDEX(in_Units,N292)&amp;" units"&amp;IF(N(INDEX(in_Miles,N292))&gt;0,", "&amp;INDEX(in_Miles,N292)&amp;" miles","")))</f>
        <v/>
      </c>
      <c r="M292" s="60" t="str">
        <f aca="false">IF(286&gt;acc_TotalLines,"",IF(286&lt;=acc_SumLines,"S","P"))</f>
        <v/>
      </c>
      <c r="N292" s="42" t="str">
        <f aca="false">IF(M292="","",IF(M292="S",MATCH(286,acc_SumSeq,0),MATCH(286-acc_SumLines,in_Seq,0)))</f>
        <v/>
      </c>
    </row>
    <row r="293" customFormat="false" ht="15" hidden="false" customHeight="false" outlineLevel="0" collapsed="false">
      <c r="A293" s="26" t="str">
        <f aca="false">IF(M293="","",JrnPrefix&amp;"-"&amp;TEXT(WeekEnd,"yyyymmdd"))</f>
        <v/>
      </c>
      <c r="B293" s="58" t="str">
        <f aca="false">IF(M293="","",WeekEnd)</f>
        <v/>
      </c>
      <c r="C293" s="52" t="str">
        <f aca="false">IF(M293="","",287)</f>
        <v/>
      </c>
      <c r="D293" s="26" t="str">
        <f aca="false">IF(M293="","",IF(M293="S",IF(INDEX(acc_SumAcct,N293)=MileGL,"Mileage summary","Expense summary"),"Caregiver payable"))</f>
        <v/>
      </c>
      <c r="E293" s="40" t="str">
        <f aca="false">IF(M293="","",IF(M293="S",INDEX(acc_SumAcct,N293),APGL))</f>
        <v/>
      </c>
      <c r="F293" s="26" t="str">
        <f aca="false">IF(M293="","",IF(M293="S",INDEX(acc_SumName,N293),APGLName))</f>
        <v/>
      </c>
      <c r="G293" s="59" t="str">
        <f aca="false">IF(M293="","",IF(M293="S",INDEX(acc_SumAmt,N293),0))</f>
        <v/>
      </c>
      <c r="H293" s="59" t="str">
        <f aca="false">IF(M293="","",IF(M293="S",0,INDEX(in_Payable,N293)))</f>
        <v/>
      </c>
      <c r="I293" s="40" t="str">
        <f aca="false">IF(M293&lt;&gt;"P","",IFERROR(INDEX(cg_Vendor,MATCH(INDEX(in_CGID,N293),cg_ID,0)),""))</f>
        <v/>
      </c>
      <c r="J293" s="26" t="str">
        <f aca="false">IF(M293&lt;&gt;"P","",INDEX(in_CGName,N293))</f>
        <v/>
      </c>
      <c r="K293" s="26" t="str">
        <f aca="false">IF(M293&lt;&gt;"P","",IFERROR(INDEX(cl_Payer,MATCH(INDEX(in_ClientID,N293),cl_ID,0)),"Unassigned"))</f>
        <v/>
      </c>
      <c r="L293" s="26" t="str">
        <f aca="false">IF(M293="","",IF(M293="S","Weekly caregiver pay, week ending "&amp;TEXT(WeekEnd,"m/d/yyyy"),INDEX(in_Svc,N293)&amp;" "&amp;INDEX(in_ClientID,N293)&amp;", "&amp;INDEX(in_Units,N293)&amp;" units"&amp;IF(N(INDEX(in_Miles,N293))&gt;0,", "&amp;INDEX(in_Miles,N293)&amp;" miles","")))</f>
        <v/>
      </c>
      <c r="M293" s="60" t="str">
        <f aca="false">IF(287&gt;acc_TotalLines,"",IF(287&lt;=acc_SumLines,"S","P"))</f>
        <v/>
      </c>
      <c r="N293" s="42" t="str">
        <f aca="false">IF(M293="","",IF(M293="S",MATCH(287,acc_SumSeq,0),MATCH(287-acc_SumLines,in_Seq,0)))</f>
        <v/>
      </c>
    </row>
    <row r="294" customFormat="false" ht="15" hidden="false" customHeight="false" outlineLevel="0" collapsed="false">
      <c r="A294" s="26" t="str">
        <f aca="false">IF(M294="","",JrnPrefix&amp;"-"&amp;TEXT(WeekEnd,"yyyymmdd"))</f>
        <v/>
      </c>
      <c r="B294" s="58" t="str">
        <f aca="false">IF(M294="","",WeekEnd)</f>
        <v/>
      </c>
      <c r="C294" s="52" t="str">
        <f aca="false">IF(M294="","",288)</f>
        <v/>
      </c>
      <c r="D294" s="26" t="str">
        <f aca="false">IF(M294="","",IF(M294="S",IF(INDEX(acc_SumAcct,N294)=MileGL,"Mileage summary","Expense summary"),"Caregiver payable"))</f>
        <v/>
      </c>
      <c r="E294" s="40" t="str">
        <f aca="false">IF(M294="","",IF(M294="S",INDEX(acc_SumAcct,N294),APGL))</f>
        <v/>
      </c>
      <c r="F294" s="26" t="str">
        <f aca="false">IF(M294="","",IF(M294="S",INDEX(acc_SumName,N294),APGLName))</f>
        <v/>
      </c>
      <c r="G294" s="59" t="str">
        <f aca="false">IF(M294="","",IF(M294="S",INDEX(acc_SumAmt,N294),0))</f>
        <v/>
      </c>
      <c r="H294" s="59" t="str">
        <f aca="false">IF(M294="","",IF(M294="S",0,INDEX(in_Payable,N294)))</f>
        <v/>
      </c>
      <c r="I294" s="40" t="str">
        <f aca="false">IF(M294&lt;&gt;"P","",IFERROR(INDEX(cg_Vendor,MATCH(INDEX(in_CGID,N294),cg_ID,0)),""))</f>
        <v/>
      </c>
      <c r="J294" s="26" t="str">
        <f aca="false">IF(M294&lt;&gt;"P","",INDEX(in_CGName,N294))</f>
        <v/>
      </c>
      <c r="K294" s="26" t="str">
        <f aca="false">IF(M294&lt;&gt;"P","",IFERROR(INDEX(cl_Payer,MATCH(INDEX(in_ClientID,N294),cl_ID,0)),"Unassigned"))</f>
        <v/>
      </c>
      <c r="L294" s="26" t="str">
        <f aca="false">IF(M294="","",IF(M294="S","Weekly caregiver pay, week ending "&amp;TEXT(WeekEnd,"m/d/yyyy"),INDEX(in_Svc,N294)&amp;" "&amp;INDEX(in_ClientID,N294)&amp;", "&amp;INDEX(in_Units,N294)&amp;" units"&amp;IF(N(INDEX(in_Miles,N294))&gt;0,", "&amp;INDEX(in_Miles,N294)&amp;" miles","")))</f>
        <v/>
      </c>
      <c r="M294" s="60" t="str">
        <f aca="false">IF(288&gt;acc_TotalLines,"",IF(288&lt;=acc_SumLines,"S","P"))</f>
        <v/>
      </c>
      <c r="N294" s="42" t="str">
        <f aca="false">IF(M294="","",IF(M294="S",MATCH(288,acc_SumSeq,0),MATCH(288-acc_SumLines,in_Seq,0)))</f>
        <v/>
      </c>
    </row>
    <row r="295" customFormat="false" ht="15" hidden="false" customHeight="false" outlineLevel="0" collapsed="false">
      <c r="A295" s="26" t="str">
        <f aca="false">IF(M295="","",JrnPrefix&amp;"-"&amp;TEXT(WeekEnd,"yyyymmdd"))</f>
        <v/>
      </c>
      <c r="B295" s="58" t="str">
        <f aca="false">IF(M295="","",WeekEnd)</f>
        <v/>
      </c>
      <c r="C295" s="52" t="str">
        <f aca="false">IF(M295="","",289)</f>
        <v/>
      </c>
      <c r="D295" s="26" t="str">
        <f aca="false">IF(M295="","",IF(M295="S",IF(INDEX(acc_SumAcct,N295)=MileGL,"Mileage summary","Expense summary"),"Caregiver payable"))</f>
        <v/>
      </c>
      <c r="E295" s="40" t="str">
        <f aca="false">IF(M295="","",IF(M295="S",INDEX(acc_SumAcct,N295),APGL))</f>
        <v/>
      </c>
      <c r="F295" s="26" t="str">
        <f aca="false">IF(M295="","",IF(M295="S",INDEX(acc_SumName,N295),APGLName))</f>
        <v/>
      </c>
      <c r="G295" s="59" t="str">
        <f aca="false">IF(M295="","",IF(M295="S",INDEX(acc_SumAmt,N295),0))</f>
        <v/>
      </c>
      <c r="H295" s="59" t="str">
        <f aca="false">IF(M295="","",IF(M295="S",0,INDEX(in_Payable,N295)))</f>
        <v/>
      </c>
      <c r="I295" s="40" t="str">
        <f aca="false">IF(M295&lt;&gt;"P","",IFERROR(INDEX(cg_Vendor,MATCH(INDEX(in_CGID,N295),cg_ID,0)),""))</f>
        <v/>
      </c>
      <c r="J295" s="26" t="str">
        <f aca="false">IF(M295&lt;&gt;"P","",INDEX(in_CGName,N295))</f>
        <v/>
      </c>
      <c r="K295" s="26" t="str">
        <f aca="false">IF(M295&lt;&gt;"P","",IFERROR(INDEX(cl_Payer,MATCH(INDEX(in_ClientID,N295),cl_ID,0)),"Unassigned"))</f>
        <v/>
      </c>
      <c r="L295" s="26" t="str">
        <f aca="false">IF(M295="","",IF(M295="S","Weekly caregiver pay, week ending "&amp;TEXT(WeekEnd,"m/d/yyyy"),INDEX(in_Svc,N295)&amp;" "&amp;INDEX(in_ClientID,N295)&amp;", "&amp;INDEX(in_Units,N295)&amp;" units"&amp;IF(N(INDEX(in_Miles,N295))&gt;0,", "&amp;INDEX(in_Miles,N295)&amp;" miles","")))</f>
        <v/>
      </c>
      <c r="M295" s="60" t="str">
        <f aca="false">IF(289&gt;acc_TotalLines,"",IF(289&lt;=acc_SumLines,"S","P"))</f>
        <v/>
      </c>
      <c r="N295" s="42" t="str">
        <f aca="false">IF(M295="","",IF(M295="S",MATCH(289,acc_SumSeq,0),MATCH(289-acc_SumLines,in_Seq,0)))</f>
        <v/>
      </c>
    </row>
    <row r="296" customFormat="false" ht="15" hidden="false" customHeight="false" outlineLevel="0" collapsed="false">
      <c r="A296" s="26" t="str">
        <f aca="false">IF(M296="","",JrnPrefix&amp;"-"&amp;TEXT(WeekEnd,"yyyymmdd"))</f>
        <v/>
      </c>
      <c r="B296" s="58" t="str">
        <f aca="false">IF(M296="","",WeekEnd)</f>
        <v/>
      </c>
      <c r="C296" s="52" t="str">
        <f aca="false">IF(M296="","",290)</f>
        <v/>
      </c>
      <c r="D296" s="26" t="str">
        <f aca="false">IF(M296="","",IF(M296="S",IF(INDEX(acc_SumAcct,N296)=MileGL,"Mileage summary","Expense summary"),"Caregiver payable"))</f>
        <v/>
      </c>
      <c r="E296" s="40" t="str">
        <f aca="false">IF(M296="","",IF(M296="S",INDEX(acc_SumAcct,N296),APGL))</f>
        <v/>
      </c>
      <c r="F296" s="26" t="str">
        <f aca="false">IF(M296="","",IF(M296="S",INDEX(acc_SumName,N296),APGLName))</f>
        <v/>
      </c>
      <c r="G296" s="59" t="str">
        <f aca="false">IF(M296="","",IF(M296="S",INDEX(acc_SumAmt,N296),0))</f>
        <v/>
      </c>
      <c r="H296" s="59" t="str">
        <f aca="false">IF(M296="","",IF(M296="S",0,INDEX(in_Payable,N296)))</f>
        <v/>
      </c>
      <c r="I296" s="40" t="str">
        <f aca="false">IF(M296&lt;&gt;"P","",IFERROR(INDEX(cg_Vendor,MATCH(INDEX(in_CGID,N296),cg_ID,0)),""))</f>
        <v/>
      </c>
      <c r="J296" s="26" t="str">
        <f aca="false">IF(M296&lt;&gt;"P","",INDEX(in_CGName,N296))</f>
        <v/>
      </c>
      <c r="K296" s="26" t="str">
        <f aca="false">IF(M296&lt;&gt;"P","",IFERROR(INDEX(cl_Payer,MATCH(INDEX(in_ClientID,N296),cl_ID,0)),"Unassigned"))</f>
        <v/>
      </c>
      <c r="L296" s="26" t="str">
        <f aca="false">IF(M296="","",IF(M296="S","Weekly caregiver pay, week ending "&amp;TEXT(WeekEnd,"m/d/yyyy"),INDEX(in_Svc,N296)&amp;" "&amp;INDEX(in_ClientID,N296)&amp;", "&amp;INDEX(in_Units,N296)&amp;" units"&amp;IF(N(INDEX(in_Miles,N296))&gt;0,", "&amp;INDEX(in_Miles,N296)&amp;" miles","")))</f>
        <v/>
      </c>
      <c r="M296" s="60" t="str">
        <f aca="false">IF(290&gt;acc_TotalLines,"",IF(290&lt;=acc_SumLines,"S","P"))</f>
        <v/>
      </c>
      <c r="N296" s="42" t="str">
        <f aca="false">IF(M296="","",IF(M296="S",MATCH(290,acc_SumSeq,0),MATCH(290-acc_SumLines,in_Seq,0)))</f>
        <v/>
      </c>
    </row>
    <row r="297" customFormat="false" ht="15" hidden="false" customHeight="false" outlineLevel="0" collapsed="false">
      <c r="A297" s="26" t="str">
        <f aca="false">IF(M297="","",JrnPrefix&amp;"-"&amp;TEXT(WeekEnd,"yyyymmdd"))</f>
        <v/>
      </c>
      <c r="B297" s="58" t="str">
        <f aca="false">IF(M297="","",WeekEnd)</f>
        <v/>
      </c>
      <c r="C297" s="52" t="str">
        <f aca="false">IF(M297="","",291)</f>
        <v/>
      </c>
      <c r="D297" s="26" t="str">
        <f aca="false">IF(M297="","",IF(M297="S",IF(INDEX(acc_SumAcct,N297)=MileGL,"Mileage summary","Expense summary"),"Caregiver payable"))</f>
        <v/>
      </c>
      <c r="E297" s="40" t="str">
        <f aca="false">IF(M297="","",IF(M297="S",INDEX(acc_SumAcct,N297),APGL))</f>
        <v/>
      </c>
      <c r="F297" s="26" t="str">
        <f aca="false">IF(M297="","",IF(M297="S",INDEX(acc_SumName,N297),APGLName))</f>
        <v/>
      </c>
      <c r="G297" s="59" t="str">
        <f aca="false">IF(M297="","",IF(M297="S",INDEX(acc_SumAmt,N297),0))</f>
        <v/>
      </c>
      <c r="H297" s="59" t="str">
        <f aca="false">IF(M297="","",IF(M297="S",0,INDEX(in_Payable,N297)))</f>
        <v/>
      </c>
      <c r="I297" s="40" t="str">
        <f aca="false">IF(M297&lt;&gt;"P","",IFERROR(INDEX(cg_Vendor,MATCH(INDEX(in_CGID,N297),cg_ID,0)),""))</f>
        <v/>
      </c>
      <c r="J297" s="26" t="str">
        <f aca="false">IF(M297&lt;&gt;"P","",INDEX(in_CGName,N297))</f>
        <v/>
      </c>
      <c r="K297" s="26" t="str">
        <f aca="false">IF(M297&lt;&gt;"P","",IFERROR(INDEX(cl_Payer,MATCH(INDEX(in_ClientID,N297),cl_ID,0)),"Unassigned"))</f>
        <v/>
      </c>
      <c r="L297" s="26" t="str">
        <f aca="false">IF(M297="","",IF(M297="S","Weekly caregiver pay, week ending "&amp;TEXT(WeekEnd,"m/d/yyyy"),INDEX(in_Svc,N297)&amp;" "&amp;INDEX(in_ClientID,N297)&amp;", "&amp;INDEX(in_Units,N297)&amp;" units"&amp;IF(N(INDEX(in_Miles,N297))&gt;0,", "&amp;INDEX(in_Miles,N297)&amp;" miles","")))</f>
        <v/>
      </c>
      <c r="M297" s="60" t="str">
        <f aca="false">IF(291&gt;acc_TotalLines,"",IF(291&lt;=acc_SumLines,"S","P"))</f>
        <v/>
      </c>
      <c r="N297" s="42" t="str">
        <f aca="false">IF(M297="","",IF(M297="S",MATCH(291,acc_SumSeq,0),MATCH(291-acc_SumLines,in_Seq,0)))</f>
        <v/>
      </c>
    </row>
    <row r="298" customFormat="false" ht="15" hidden="false" customHeight="false" outlineLevel="0" collapsed="false">
      <c r="A298" s="26" t="str">
        <f aca="false">IF(M298="","",JrnPrefix&amp;"-"&amp;TEXT(WeekEnd,"yyyymmdd"))</f>
        <v/>
      </c>
      <c r="B298" s="58" t="str">
        <f aca="false">IF(M298="","",WeekEnd)</f>
        <v/>
      </c>
      <c r="C298" s="52" t="str">
        <f aca="false">IF(M298="","",292)</f>
        <v/>
      </c>
      <c r="D298" s="26" t="str">
        <f aca="false">IF(M298="","",IF(M298="S",IF(INDEX(acc_SumAcct,N298)=MileGL,"Mileage summary","Expense summary"),"Caregiver payable"))</f>
        <v/>
      </c>
      <c r="E298" s="40" t="str">
        <f aca="false">IF(M298="","",IF(M298="S",INDEX(acc_SumAcct,N298),APGL))</f>
        <v/>
      </c>
      <c r="F298" s="26" t="str">
        <f aca="false">IF(M298="","",IF(M298="S",INDEX(acc_SumName,N298),APGLName))</f>
        <v/>
      </c>
      <c r="G298" s="59" t="str">
        <f aca="false">IF(M298="","",IF(M298="S",INDEX(acc_SumAmt,N298),0))</f>
        <v/>
      </c>
      <c r="H298" s="59" t="str">
        <f aca="false">IF(M298="","",IF(M298="S",0,INDEX(in_Payable,N298)))</f>
        <v/>
      </c>
      <c r="I298" s="40" t="str">
        <f aca="false">IF(M298&lt;&gt;"P","",IFERROR(INDEX(cg_Vendor,MATCH(INDEX(in_CGID,N298),cg_ID,0)),""))</f>
        <v/>
      </c>
      <c r="J298" s="26" t="str">
        <f aca="false">IF(M298&lt;&gt;"P","",INDEX(in_CGName,N298))</f>
        <v/>
      </c>
      <c r="K298" s="26" t="str">
        <f aca="false">IF(M298&lt;&gt;"P","",IFERROR(INDEX(cl_Payer,MATCH(INDEX(in_ClientID,N298),cl_ID,0)),"Unassigned"))</f>
        <v/>
      </c>
      <c r="L298" s="26" t="str">
        <f aca="false">IF(M298="","",IF(M298="S","Weekly caregiver pay, week ending "&amp;TEXT(WeekEnd,"m/d/yyyy"),INDEX(in_Svc,N298)&amp;" "&amp;INDEX(in_ClientID,N298)&amp;", "&amp;INDEX(in_Units,N298)&amp;" units"&amp;IF(N(INDEX(in_Miles,N298))&gt;0,", "&amp;INDEX(in_Miles,N298)&amp;" miles","")))</f>
        <v/>
      </c>
      <c r="M298" s="60" t="str">
        <f aca="false">IF(292&gt;acc_TotalLines,"",IF(292&lt;=acc_SumLines,"S","P"))</f>
        <v/>
      </c>
      <c r="N298" s="42" t="str">
        <f aca="false">IF(M298="","",IF(M298="S",MATCH(292,acc_SumSeq,0),MATCH(292-acc_SumLines,in_Seq,0)))</f>
        <v/>
      </c>
    </row>
    <row r="299" customFormat="false" ht="15" hidden="false" customHeight="false" outlineLevel="0" collapsed="false">
      <c r="A299" s="26" t="str">
        <f aca="false">IF(M299="","",JrnPrefix&amp;"-"&amp;TEXT(WeekEnd,"yyyymmdd"))</f>
        <v/>
      </c>
      <c r="B299" s="58" t="str">
        <f aca="false">IF(M299="","",WeekEnd)</f>
        <v/>
      </c>
      <c r="C299" s="52" t="str">
        <f aca="false">IF(M299="","",293)</f>
        <v/>
      </c>
      <c r="D299" s="26" t="str">
        <f aca="false">IF(M299="","",IF(M299="S",IF(INDEX(acc_SumAcct,N299)=MileGL,"Mileage summary","Expense summary"),"Caregiver payable"))</f>
        <v/>
      </c>
      <c r="E299" s="40" t="str">
        <f aca="false">IF(M299="","",IF(M299="S",INDEX(acc_SumAcct,N299),APGL))</f>
        <v/>
      </c>
      <c r="F299" s="26" t="str">
        <f aca="false">IF(M299="","",IF(M299="S",INDEX(acc_SumName,N299),APGLName))</f>
        <v/>
      </c>
      <c r="G299" s="59" t="str">
        <f aca="false">IF(M299="","",IF(M299="S",INDEX(acc_SumAmt,N299),0))</f>
        <v/>
      </c>
      <c r="H299" s="59" t="str">
        <f aca="false">IF(M299="","",IF(M299="S",0,INDEX(in_Payable,N299)))</f>
        <v/>
      </c>
      <c r="I299" s="40" t="str">
        <f aca="false">IF(M299&lt;&gt;"P","",IFERROR(INDEX(cg_Vendor,MATCH(INDEX(in_CGID,N299),cg_ID,0)),""))</f>
        <v/>
      </c>
      <c r="J299" s="26" t="str">
        <f aca="false">IF(M299&lt;&gt;"P","",INDEX(in_CGName,N299))</f>
        <v/>
      </c>
      <c r="K299" s="26" t="str">
        <f aca="false">IF(M299&lt;&gt;"P","",IFERROR(INDEX(cl_Payer,MATCH(INDEX(in_ClientID,N299),cl_ID,0)),"Unassigned"))</f>
        <v/>
      </c>
      <c r="L299" s="26" t="str">
        <f aca="false">IF(M299="","",IF(M299="S","Weekly caregiver pay, week ending "&amp;TEXT(WeekEnd,"m/d/yyyy"),INDEX(in_Svc,N299)&amp;" "&amp;INDEX(in_ClientID,N299)&amp;", "&amp;INDEX(in_Units,N299)&amp;" units"&amp;IF(N(INDEX(in_Miles,N299))&gt;0,", "&amp;INDEX(in_Miles,N299)&amp;" miles","")))</f>
        <v/>
      </c>
      <c r="M299" s="60" t="str">
        <f aca="false">IF(293&gt;acc_TotalLines,"",IF(293&lt;=acc_SumLines,"S","P"))</f>
        <v/>
      </c>
      <c r="N299" s="42" t="str">
        <f aca="false">IF(M299="","",IF(M299="S",MATCH(293,acc_SumSeq,0),MATCH(293-acc_SumLines,in_Seq,0)))</f>
        <v/>
      </c>
    </row>
    <row r="300" customFormat="false" ht="15" hidden="false" customHeight="false" outlineLevel="0" collapsed="false">
      <c r="A300" s="26" t="str">
        <f aca="false">IF(M300="","",JrnPrefix&amp;"-"&amp;TEXT(WeekEnd,"yyyymmdd"))</f>
        <v/>
      </c>
      <c r="B300" s="58" t="str">
        <f aca="false">IF(M300="","",WeekEnd)</f>
        <v/>
      </c>
      <c r="C300" s="52" t="str">
        <f aca="false">IF(M300="","",294)</f>
        <v/>
      </c>
      <c r="D300" s="26" t="str">
        <f aca="false">IF(M300="","",IF(M300="S",IF(INDEX(acc_SumAcct,N300)=MileGL,"Mileage summary","Expense summary"),"Caregiver payable"))</f>
        <v/>
      </c>
      <c r="E300" s="40" t="str">
        <f aca="false">IF(M300="","",IF(M300="S",INDEX(acc_SumAcct,N300),APGL))</f>
        <v/>
      </c>
      <c r="F300" s="26" t="str">
        <f aca="false">IF(M300="","",IF(M300="S",INDEX(acc_SumName,N300),APGLName))</f>
        <v/>
      </c>
      <c r="G300" s="59" t="str">
        <f aca="false">IF(M300="","",IF(M300="S",INDEX(acc_SumAmt,N300),0))</f>
        <v/>
      </c>
      <c r="H300" s="59" t="str">
        <f aca="false">IF(M300="","",IF(M300="S",0,INDEX(in_Payable,N300)))</f>
        <v/>
      </c>
      <c r="I300" s="40" t="str">
        <f aca="false">IF(M300&lt;&gt;"P","",IFERROR(INDEX(cg_Vendor,MATCH(INDEX(in_CGID,N300),cg_ID,0)),""))</f>
        <v/>
      </c>
      <c r="J300" s="26" t="str">
        <f aca="false">IF(M300&lt;&gt;"P","",INDEX(in_CGName,N300))</f>
        <v/>
      </c>
      <c r="K300" s="26" t="str">
        <f aca="false">IF(M300&lt;&gt;"P","",IFERROR(INDEX(cl_Payer,MATCH(INDEX(in_ClientID,N300),cl_ID,0)),"Unassigned"))</f>
        <v/>
      </c>
      <c r="L300" s="26" t="str">
        <f aca="false">IF(M300="","",IF(M300="S","Weekly caregiver pay, week ending "&amp;TEXT(WeekEnd,"m/d/yyyy"),INDEX(in_Svc,N300)&amp;" "&amp;INDEX(in_ClientID,N300)&amp;", "&amp;INDEX(in_Units,N300)&amp;" units"&amp;IF(N(INDEX(in_Miles,N300))&gt;0,", "&amp;INDEX(in_Miles,N300)&amp;" miles","")))</f>
        <v/>
      </c>
      <c r="M300" s="60" t="str">
        <f aca="false">IF(294&gt;acc_TotalLines,"",IF(294&lt;=acc_SumLines,"S","P"))</f>
        <v/>
      </c>
      <c r="N300" s="42" t="str">
        <f aca="false">IF(M300="","",IF(M300="S",MATCH(294,acc_SumSeq,0),MATCH(294-acc_SumLines,in_Seq,0)))</f>
        <v/>
      </c>
    </row>
    <row r="301" customFormat="false" ht="15" hidden="false" customHeight="false" outlineLevel="0" collapsed="false">
      <c r="A301" s="26" t="str">
        <f aca="false">IF(M301="","",JrnPrefix&amp;"-"&amp;TEXT(WeekEnd,"yyyymmdd"))</f>
        <v/>
      </c>
      <c r="B301" s="58" t="str">
        <f aca="false">IF(M301="","",WeekEnd)</f>
        <v/>
      </c>
      <c r="C301" s="52" t="str">
        <f aca="false">IF(M301="","",295)</f>
        <v/>
      </c>
      <c r="D301" s="26" t="str">
        <f aca="false">IF(M301="","",IF(M301="S",IF(INDEX(acc_SumAcct,N301)=MileGL,"Mileage summary","Expense summary"),"Caregiver payable"))</f>
        <v/>
      </c>
      <c r="E301" s="40" t="str">
        <f aca="false">IF(M301="","",IF(M301="S",INDEX(acc_SumAcct,N301),APGL))</f>
        <v/>
      </c>
      <c r="F301" s="26" t="str">
        <f aca="false">IF(M301="","",IF(M301="S",INDEX(acc_SumName,N301),APGLName))</f>
        <v/>
      </c>
      <c r="G301" s="59" t="str">
        <f aca="false">IF(M301="","",IF(M301="S",INDEX(acc_SumAmt,N301),0))</f>
        <v/>
      </c>
      <c r="H301" s="59" t="str">
        <f aca="false">IF(M301="","",IF(M301="S",0,INDEX(in_Payable,N301)))</f>
        <v/>
      </c>
      <c r="I301" s="40" t="str">
        <f aca="false">IF(M301&lt;&gt;"P","",IFERROR(INDEX(cg_Vendor,MATCH(INDEX(in_CGID,N301),cg_ID,0)),""))</f>
        <v/>
      </c>
      <c r="J301" s="26" t="str">
        <f aca="false">IF(M301&lt;&gt;"P","",INDEX(in_CGName,N301))</f>
        <v/>
      </c>
      <c r="K301" s="26" t="str">
        <f aca="false">IF(M301&lt;&gt;"P","",IFERROR(INDEX(cl_Payer,MATCH(INDEX(in_ClientID,N301),cl_ID,0)),"Unassigned"))</f>
        <v/>
      </c>
      <c r="L301" s="26" t="str">
        <f aca="false">IF(M301="","",IF(M301="S","Weekly caregiver pay, week ending "&amp;TEXT(WeekEnd,"m/d/yyyy"),INDEX(in_Svc,N301)&amp;" "&amp;INDEX(in_ClientID,N301)&amp;", "&amp;INDEX(in_Units,N301)&amp;" units"&amp;IF(N(INDEX(in_Miles,N301))&gt;0,", "&amp;INDEX(in_Miles,N301)&amp;" miles","")))</f>
        <v/>
      </c>
      <c r="M301" s="60" t="str">
        <f aca="false">IF(295&gt;acc_TotalLines,"",IF(295&lt;=acc_SumLines,"S","P"))</f>
        <v/>
      </c>
      <c r="N301" s="42" t="str">
        <f aca="false">IF(M301="","",IF(M301="S",MATCH(295,acc_SumSeq,0),MATCH(295-acc_SumLines,in_Seq,0)))</f>
        <v/>
      </c>
    </row>
    <row r="302" customFormat="false" ht="15" hidden="false" customHeight="false" outlineLevel="0" collapsed="false">
      <c r="A302" s="26" t="str">
        <f aca="false">IF(M302="","",JrnPrefix&amp;"-"&amp;TEXT(WeekEnd,"yyyymmdd"))</f>
        <v/>
      </c>
      <c r="B302" s="58" t="str">
        <f aca="false">IF(M302="","",WeekEnd)</f>
        <v/>
      </c>
      <c r="C302" s="52" t="str">
        <f aca="false">IF(M302="","",296)</f>
        <v/>
      </c>
      <c r="D302" s="26" t="str">
        <f aca="false">IF(M302="","",IF(M302="S",IF(INDEX(acc_SumAcct,N302)=MileGL,"Mileage summary","Expense summary"),"Caregiver payable"))</f>
        <v/>
      </c>
      <c r="E302" s="40" t="str">
        <f aca="false">IF(M302="","",IF(M302="S",INDEX(acc_SumAcct,N302),APGL))</f>
        <v/>
      </c>
      <c r="F302" s="26" t="str">
        <f aca="false">IF(M302="","",IF(M302="S",INDEX(acc_SumName,N302),APGLName))</f>
        <v/>
      </c>
      <c r="G302" s="59" t="str">
        <f aca="false">IF(M302="","",IF(M302="S",INDEX(acc_SumAmt,N302),0))</f>
        <v/>
      </c>
      <c r="H302" s="59" t="str">
        <f aca="false">IF(M302="","",IF(M302="S",0,INDEX(in_Payable,N302)))</f>
        <v/>
      </c>
      <c r="I302" s="40" t="str">
        <f aca="false">IF(M302&lt;&gt;"P","",IFERROR(INDEX(cg_Vendor,MATCH(INDEX(in_CGID,N302),cg_ID,0)),""))</f>
        <v/>
      </c>
      <c r="J302" s="26" t="str">
        <f aca="false">IF(M302&lt;&gt;"P","",INDEX(in_CGName,N302))</f>
        <v/>
      </c>
      <c r="K302" s="26" t="str">
        <f aca="false">IF(M302&lt;&gt;"P","",IFERROR(INDEX(cl_Payer,MATCH(INDEX(in_ClientID,N302),cl_ID,0)),"Unassigned"))</f>
        <v/>
      </c>
      <c r="L302" s="26" t="str">
        <f aca="false">IF(M302="","",IF(M302="S","Weekly caregiver pay, week ending "&amp;TEXT(WeekEnd,"m/d/yyyy"),INDEX(in_Svc,N302)&amp;" "&amp;INDEX(in_ClientID,N302)&amp;", "&amp;INDEX(in_Units,N302)&amp;" units"&amp;IF(N(INDEX(in_Miles,N302))&gt;0,", "&amp;INDEX(in_Miles,N302)&amp;" miles","")))</f>
        <v/>
      </c>
      <c r="M302" s="60" t="str">
        <f aca="false">IF(296&gt;acc_TotalLines,"",IF(296&lt;=acc_SumLines,"S","P"))</f>
        <v/>
      </c>
      <c r="N302" s="42" t="str">
        <f aca="false">IF(M302="","",IF(M302="S",MATCH(296,acc_SumSeq,0),MATCH(296-acc_SumLines,in_Seq,0)))</f>
        <v/>
      </c>
    </row>
    <row r="303" customFormat="false" ht="15" hidden="false" customHeight="false" outlineLevel="0" collapsed="false">
      <c r="A303" s="26" t="str">
        <f aca="false">IF(M303="","",JrnPrefix&amp;"-"&amp;TEXT(WeekEnd,"yyyymmdd"))</f>
        <v/>
      </c>
      <c r="B303" s="58" t="str">
        <f aca="false">IF(M303="","",WeekEnd)</f>
        <v/>
      </c>
      <c r="C303" s="52" t="str">
        <f aca="false">IF(M303="","",297)</f>
        <v/>
      </c>
      <c r="D303" s="26" t="str">
        <f aca="false">IF(M303="","",IF(M303="S",IF(INDEX(acc_SumAcct,N303)=MileGL,"Mileage summary","Expense summary"),"Caregiver payable"))</f>
        <v/>
      </c>
      <c r="E303" s="40" t="str">
        <f aca="false">IF(M303="","",IF(M303="S",INDEX(acc_SumAcct,N303),APGL))</f>
        <v/>
      </c>
      <c r="F303" s="26" t="str">
        <f aca="false">IF(M303="","",IF(M303="S",INDEX(acc_SumName,N303),APGLName))</f>
        <v/>
      </c>
      <c r="G303" s="59" t="str">
        <f aca="false">IF(M303="","",IF(M303="S",INDEX(acc_SumAmt,N303),0))</f>
        <v/>
      </c>
      <c r="H303" s="59" t="str">
        <f aca="false">IF(M303="","",IF(M303="S",0,INDEX(in_Payable,N303)))</f>
        <v/>
      </c>
      <c r="I303" s="40" t="str">
        <f aca="false">IF(M303&lt;&gt;"P","",IFERROR(INDEX(cg_Vendor,MATCH(INDEX(in_CGID,N303),cg_ID,0)),""))</f>
        <v/>
      </c>
      <c r="J303" s="26" t="str">
        <f aca="false">IF(M303&lt;&gt;"P","",INDEX(in_CGName,N303))</f>
        <v/>
      </c>
      <c r="K303" s="26" t="str">
        <f aca="false">IF(M303&lt;&gt;"P","",IFERROR(INDEX(cl_Payer,MATCH(INDEX(in_ClientID,N303),cl_ID,0)),"Unassigned"))</f>
        <v/>
      </c>
      <c r="L303" s="26" t="str">
        <f aca="false">IF(M303="","",IF(M303="S","Weekly caregiver pay, week ending "&amp;TEXT(WeekEnd,"m/d/yyyy"),INDEX(in_Svc,N303)&amp;" "&amp;INDEX(in_ClientID,N303)&amp;", "&amp;INDEX(in_Units,N303)&amp;" units"&amp;IF(N(INDEX(in_Miles,N303))&gt;0,", "&amp;INDEX(in_Miles,N303)&amp;" miles","")))</f>
        <v/>
      </c>
      <c r="M303" s="60" t="str">
        <f aca="false">IF(297&gt;acc_TotalLines,"",IF(297&lt;=acc_SumLines,"S","P"))</f>
        <v/>
      </c>
      <c r="N303" s="42" t="str">
        <f aca="false">IF(M303="","",IF(M303="S",MATCH(297,acc_SumSeq,0),MATCH(297-acc_SumLines,in_Seq,0)))</f>
        <v/>
      </c>
    </row>
    <row r="304" customFormat="false" ht="15" hidden="false" customHeight="false" outlineLevel="0" collapsed="false">
      <c r="A304" s="26" t="str">
        <f aca="false">IF(M304="","",JrnPrefix&amp;"-"&amp;TEXT(WeekEnd,"yyyymmdd"))</f>
        <v/>
      </c>
      <c r="B304" s="58" t="str">
        <f aca="false">IF(M304="","",WeekEnd)</f>
        <v/>
      </c>
      <c r="C304" s="52" t="str">
        <f aca="false">IF(M304="","",298)</f>
        <v/>
      </c>
      <c r="D304" s="26" t="str">
        <f aca="false">IF(M304="","",IF(M304="S",IF(INDEX(acc_SumAcct,N304)=MileGL,"Mileage summary","Expense summary"),"Caregiver payable"))</f>
        <v/>
      </c>
      <c r="E304" s="40" t="str">
        <f aca="false">IF(M304="","",IF(M304="S",INDEX(acc_SumAcct,N304),APGL))</f>
        <v/>
      </c>
      <c r="F304" s="26" t="str">
        <f aca="false">IF(M304="","",IF(M304="S",INDEX(acc_SumName,N304),APGLName))</f>
        <v/>
      </c>
      <c r="G304" s="59" t="str">
        <f aca="false">IF(M304="","",IF(M304="S",INDEX(acc_SumAmt,N304),0))</f>
        <v/>
      </c>
      <c r="H304" s="59" t="str">
        <f aca="false">IF(M304="","",IF(M304="S",0,INDEX(in_Payable,N304)))</f>
        <v/>
      </c>
      <c r="I304" s="40" t="str">
        <f aca="false">IF(M304&lt;&gt;"P","",IFERROR(INDEX(cg_Vendor,MATCH(INDEX(in_CGID,N304),cg_ID,0)),""))</f>
        <v/>
      </c>
      <c r="J304" s="26" t="str">
        <f aca="false">IF(M304&lt;&gt;"P","",INDEX(in_CGName,N304))</f>
        <v/>
      </c>
      <c r="K304" s="26" t="str">
        <f aca="false">IF(M304&lt;&gt;"P","",IFERROR(INDEX(cl_Payer,MATCH(INDEX(in_ClientID,N304),cl_ID,0)),"Unassigned"))</f>
        <v/>
      </c>
      <c r="L304" s="26" t="str">
        <f aca="false">IF(M304="","",IF(M304="S","Weekly caregiver pay, week ending "&amp;TEXT(WeekEnd,"m/d/yyyy"),INDEX(in_Svc,N304)&amp;" "&amp;INDEX(in_ClientID,N304)&amp;", "&amp;INDEX(in_Units,N304)&amp;" units"&amp;IF(N(INDEX(in_Miles,N304))&gt;0,", "&amp;INDEX(in_Miles,N304)&amp;" miles","")))</f>
        <v/>
      </c>
      <c r="M304" s="60" t="str">
        <f aca="false">IF(298&gt;acc_TotalLines,"",IF(298&lt;=acc_SumLines,"S","P"))</f>
        <v/>
      </c>
      <c r="N304" s="42" t="str">
        <f aca="false">IF(M304="","",IF(M304="S",MATCH(298,acc_SumSeq,0),MATCH(298-acc_SumLines,in_Seq,0)))</f>
        <v/>
      </c>
    </row>
    <row r="305" customFormat="false" ht="15" hidden="false" customHeight="false" outlineLevel="0" collapsed="false">
      <c r="A305" s="26" t="str">
        <f aca="false">IF(M305="","",JrnPrefix&amp;"-"&amp;TEXT(WeekEnd,"yyyymmdd"))</f>
        <v/>
      </c>
      <c r="B305" s="58" t="str">
        <f aca="false">IF(M305="","",WeekEnd)</f>
        <v/>
      </c>
      <c r="C305" s="52" t="str">
        <f aca="false">IF(M305="","",299)</f>
        <v/>
      </c>
      <c r="D305" s="26" t="str">
        <f aca="false">IF(M305="","",IF(M305="S",IF(INDEX(acc_SumAcct,N305)=MileGL,"Mileage summary","Expense summary"),"Caregiver payable"))</f>
        <v/>
      </c>
      <c r="E305" s="40" t="str">
        <f aca="false">IF(M305="","",IF(M305="S",INDEX(acc_SumAcct,N305),APGL))</f>
        <v/>
      </c>
      <c r="F305" s="26" t="str">
        <f aca="false">IF(M305="","",IF(M305="S",INDEX(acc_SumName,N305),APGLName))</f>
        <v/>
      </c>
      <c r="G305" s="59" t="str">
        <f aca="false">IF(M305="","",IF(M305="S",INDEX(acc_SumAmt,N305),0))</f>
        <v/>
      </c>
      <c r="H305" s="59" t="str">
        <f aca="false">IF(M305="","",IF(M305="S",0,INDEX(in_Payable,N305)))</f>
        <v/>
      </c>
      <c r="I305" s="40" t="str">
        <f aca="false">IF(M305&lt;&gt;"P","",IFERROR(INDEX(cg_Vendor,MATCH(INDEX(in_CGID,N305),cg_ID,0)),""))</f>
        <v/>
      </c>
      <c r="J305" s="26" t="str">
        <f aca="false">IF(M305&lt;&gt;"P","",INDEX(in_CGName,N305))</f>
        <v/>
      </c>
      <c r="K305" s="26" t="str">
        <f aca="false">IF(M305&lt;&gt;"P","",IFERROR(INDEX(cl_Payer,MATCH(INDEX(in_ClientID,N305),cl_ID,0)),"Unassigned"))</f>
        <v/>
      </c>
      <c r="L305" s="26" t="str">
        <f aca="false">IF(M305="","",IF(M305="S","Weekly caregiver pay, week ending "&amp;TEXT(WeekEnd,"m/d/yyyy"),INDEX(in_Svc,N305)&amp;" "&amp;INDEX(in_ClientID,N305)&amp;", "&amp;INDEX(in_Units,N305)&amp;" units"&amp;IF(N(INDEX(in_Miles,N305))&gt;0,", "&amp;INDEX(in_Miles,N305)&amp;" miles","")))</f>
        <v/>
      </c>
      <c r="M305" s="60" t="str">
        <f aca="false">IF(299&gt;acc_TotalLines,"",IF(299&lt;=acc_SumLines,"S","P"))</f>
        <v/>
      </c>
      <c r="N305" s="42" t="str">
        <f aca="false">IF(M305="","",IF(M305="S",MATCH(299,acc_SumSeq,0),MATCH(299-acc_SumLines,in_Seq,0)))</f>
        <v/>
      </c>
    </row>
    <row r="306" customFormat="false" ht="15" hidden="false" customHeight="false" outlineLevel="0" collapsed="false">
      <c r="A306" s="26" t="str">
        <f aca="false">IF(M306="","",JrnPrefix&amp;"-"&amp;TEXT(WeekEnd,"yyyymmdd"))</f>
        <v/>
      </c>
      <c r="B306" s="58" t="str">
        <f aca="false">IF(M306="","",WeekEnd)</f>
        <v/>
      </c>
      <c r="C306" s="52" t="str">
        <f aca="false">IF(M306="","",300)</f>
        <v/>
      </c>
      <c r="D306" s="26" t="str">
        <f aca="false">IF(M306="","",IF(M306="S",IF(INDEX(acc_SumAcct,N306)=MileGL,"Mileage summary","Expense summary"),"Caregiver payable"))</f>
        <v/>
      </c>
      <c r="E306" s="40" t="str">
        <f aca="false">IF(M306="","",IF(M306="S",INDEX(acc_SumAcct,N306),APGL))</f>
        <v/>
      </c>
      <c r="F306" s="26" t="str">
        <f aca="false">IF(M306="","",IF(M306="S",INDEX(acc_SumName,N306),APGLName))</f>
        <v/>
      </c>
      <c r="G306" s="59" t="str">
        <f aca="false">IF(M306="","",IF(M306="S",INDEX(acc_SumAmt,N306),0))</f>
        <v/>
      </c>
      <c r="H306" s="59" t="str">
        <f aca="false">IF(M306="","",IF(M306="S",0,INDEX(in_Payable,N306)))</f>
        <v/>
      </c>
      <c r="I306" s="40" t="str">
        <f aca="false">IF(M306&lt;&gt;"P","",IFERROR(INDEX(cg_Vendor,MATCH(INDEX(in_CGID,N306),cg_ID,0)),""))</f>
        <v/>
      </c>
      <c r="J306" s="26" t="str">
        <f aca="false">IF(M306&lt;&gt;"P","",INDEX(in_CGName,N306))</f>
        <v/>
      </c>
      <c r="K306" s="26" t="str">
        <f aca="false">IF(M306&lt;&gt;"P","",IFERROR(INDEX(cl_Payer,MATCH(INDEX(in_ClientID,N306),cl_ID,0)),"Unassigned"))</f>
        <v/>
      </c>
      <c r="L306" s="26" t="str">
        <f aca="false">IF(M306="","",IF(M306="S","Weekly caregiver pay, week ending "&amp;TEXT(WeekEnd,"m/d/yyyy"),INDEX(in_Svc,N306)&amp;" "&amp;INDEX(in_ClientID,N306)&amp;", "&amp;INDEX(in_Units,N306)&amp;" units"&amp;IF(N(INDEX(in_Miles,N306))&gt;0,", "&amp;INDEX(in_Miles,N306)&amp;" miles","")))</f>
        <v/>
      </c>
      <c r="M306" s="60" t="str">
        <f aca="false">IF(300&gt;acc_TotalLines,"",IF(300&lt;=acc_SumLines,"S","P"))</f>
        <v/>
      </c>
      <c r="N306" s="42" t="str">
        <f aca="false">IF(M306="","",IF(M306="S",MATCH(300,acc_SumSeq,0),MATCH(300-acc_SumLines,in_Seq,0)))</f>
        <v/>
      </c>
    </row>
  </sheetData>
  <sheetProtection sheet="true" formatColumns="false" formatRows="false" sort="false" autoFilter="false"/>
  <autoFilter ref="A6:L306"/>
  <conditionalFormatting sqref="K4">
    <cfRule type="expression" priority="2" aboveAverage="0" equalAverage="0" bottom="0" percent="0" rank="0" text="" dxfId="0">
      <formula>$K4="OK"</formula>
    </cfRule>
    <cfRule type="expression" priority="3" aboveAverage="0" equalAverage="0" bottom="0" percent="0" rank="0" text="" dxfId="1">
      <formula>AND($K4&lt;&gt;"",$K4&lt;&gt;"OK")</formula>
    </cfRule>
  </conditionalFormatting>
  <conditionalFormatting sqref="A7:L306">
    <cfRule type="expression" priority="4" aboveAverage="0" equalAverage="0" bottom="0" percent="0" rank="0" text="" dxfId="25">
      <formula>$M7="S"</formula>
    </cfRule>
  </conditionalFormatting>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7791F"/>
    <pageSetUpPr fitToPage="true"/>
  </sheetPr>
  <dimension ref="A1:N1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3" min="2" style="0" width="11"/>
    <col collapsed="false" customWidth="true" hidden="false" outlineLevel="0" max="4" min="4" style="0" width="20"/>
    <col collapsed="false" customWidth="true" hidden="false" outlineLevel="0" max="5" min="5" style="0" width="10"/>
    <col collapsed="false" customWidth="true" hidden="false" outlineLevel="0" max="6" min="6" style="0" width="16"/>
    <col collapsed="false" customWidth="true" hidden="false" outlineLevel="0" max="7" min="7" style="0" width="8"/>
    <col collapsed="false" customWidth="true" hidden="false" outlineLevel="0" max="9" min="8" style="0" width="20"/>
    <col collapsed="false" customWidth="true" hidden="false" outlineLevel="0" max="10" min="10" style="0" width="7"/>
    <col collapsed="false" customWidth="true" hidden="false" outlineLevel="0" max="11" min="11" style="0" width="13"/>
    <col collapsed="false" customWidth="true" hidden="false" outlineLevel="0" max="12" min="12" style="0" width="14"/>
    <col collapsed="false" customWidth="true" hidden="false" outlineLevel="0" max="13" min="13" style="0" width="11"/>
    <col collapsed="false" customWidth="true" hidden="false" outlineLevel="0" max="14" min="14" style="0" width="15"/>
  </cols>
  <sheetData>
    <row r="1" customFormat="false" ht="19.5" hidden="false" customHeight="true" outlineLevel="0" collapsed="false">
      <c r="A1" s="62" t="s">
        <v>265</v>
      </c>
      <c r="B1" s="62" t="s">
        <v>266</v>
      </c>
      <c r="C1" s="62" t="s">
        <v>100</v>
      </c>
      <c r="D1" s="62" t="s">
        <v>267</v>
      </c>
      <c r="E1" s="62" t="s">
        <v>101</v>
      </c>
      <c r="F1" s="62" t="s">
        <v>268</v>
      </c>
      <c r="G1" s="62" t="s">
        <v>269</v>
      </c>
      <c r="H1" s="62" t="s">
        <v>270</v>
      </c>
      <c r="I1" s="62" t="s">
        <v>271</v>
      </c>
      <c r="J1" s="62" t="s">
        <v>96</v>
      </c>
      <c r="K1" s="62" t="s">
        <v>272</v>
      </c>
      <c r="L1" s="62" t="s">
        <v>273</v>
      </c>
      <c r="M1" s="63" t="s">
        <v>274</v>
      </c>
      <c r="N1" s="63" t="s">
        <v>275</v>
      </c>
    </row>
    <row r="2" customFormat="false" ht="15" hidden="false" customHeight="false" outlineLevel="0" collapsed="false">
      <c r="A2" s="64" t="s">
        <v>276</v>
      </c>
      <c r="B2" s="65" t="n">
        <v>46279</v>
      </c>
      <c r="C2" s="64" t="s">
        <v>277</v>
      </c>
      <c r="D2" s="64" t="s">
        <v>108</v>
      </c>
      <c r="E2" s="64" t="s">
        <v>278</v>
      </c>
      <c r="F2" s="64" t="s">
        <v>109</v>
      </c>
      <c r="G2" s="64" t="s">
        <v>110</v>
      </c>
      <c r="H2" s="66" t="n">
        <v>46279.2923611111</v>
      </c>
      <c r="I2" s="66" t="n">
        <v>46279.4604166667</v>
      </c>
      <c r="J2" s="64" t="n">
        <v>16</v>
      </c>
      <c r="K2" s="64" t="s">
        <v>279</v>
      </c>
      <c r="L2" s="64" t="s">
        <v>280</v>
      </c>
      <c r="M2" s="67" t="str">
        <f aca="false">IF(A2="","",IF(AND(B2&gt;=WeekStart,B2&lt;=WeekEnd),"Yes","No"))</f>
        <v>Yes</v>
      </c>
      <c r="N2" s="67" t="str">
        <f aca="false">IF(A2="","",IF(L2&lt;&gt;"Verified","Not verified",IF(COUNTIFS(in_CGID,C2,in_ClientID,E2,in_Svc,G2)&gt;0,"Yes","Not entered")))</f>
        <v>Yes</v>
      </c>
    </row>
    <row r="3" customFormat="false" ht="15" hidden="false" customHeight="false" outlineLevel="0" collapsed="false">
      <c r="A3" s="64" t="s">
        <v>281</v>
      </c>
      <c r="B3" s="65" t="n">
        <v>46279</v>
      </c>
      <c r="C3" s="64" t="s">
        <v>282</v>
      </c>
      <c r="D3" s="64" t="s">
        <v>145</v>
      </c>
      <c r="E3" s="64" t="s">
        <v>283</v>
      </c>
      <c r="F3" s="64" t="s">
        <v>147</v>
      </c>
      <c r="G3" s="64" t="s">
        <v>110</v>
      </c>
      <c r="H3" s="66" t="n">
        <v>46279.3097222222</v>
      </c>
      <c r="I3" s="66" t="n">
        <v>46279.3930555556</v>
      </c>
      <c r="J3" s="64" t="n">
        <v>8</v>
      </c>
      <c r="K3" s="64" t="s">
        <v>284</v>
      </c>
      <c r="L3" s="64" t="s">
        <v>280</v>
      </c>
      <c r="M3" s="67" t="str">
        <f aca="false">IF(A3="","",IF(AND(B3&gt;=WeekStart,B3&lt;=WeekEnd),"Yes","No"))</f>
        <v>Yes</v>
      </c>
      <c r="N3" s="67" t="str">
        <f aca="false">IF(A3="","",IF(L3&lt;&gt;"Verified","Not verified",IF(COUNTIFS(in_CGID,C3,in_ClientID,E3,in_Svc,G3)&gt;0,"Yes","Not entered")))</f>
        <v>Yes</v>
      </c>
    </row>
    <row r="4" customFormat="false" ht="15" hidden="false" customHeight="false" outlineLevel="0" collapsed="false">
      <c r="A4" s="64" t="s">
        <v>285</v>
      </c>
      <c r="B4" s="65" t="n">
        <v>46279</v>
      </c>
      <c r="C4" s="64" t="s">
        <v>286</v>
      </c>
      <c r="D4" s="64" t="s">
        <v>139</v>
      </c>
      <c r="E4" s="64" t="s">
        <v>287</v>
      </c>
      <c r="F4" s="64" t="s">
        <v>141</v>
      </c>
      <c r="G4" s="64" t="s">
        <v>133</v>
      </c>
      <c r="H4" s="66" t="n">
        <v>46279.3111111111</v>
      </c>
      <c r="I4" s="66" t="n">
        <v>46279.3972222222</v>
      </c>
      <c r="J4" s="64" t="n">
        <v>8</v>
      </c>
      <c r="K4" s="64" t="s">
        <v>288</v>
      </c>
      <c r="L4" s="64" t="s">
        <v>280</v>
      </c>
      <c r="M4" s="67" t="str">
        <f aca="false">IF(A4="","",IF(AND(B4&gt;=WeekStart,B4&lt;=WeekEnd),"Yes","No"))</f>
        <v>Yes</v>
      </c>
      <c r="N4" s="67" t="str">
        <f aca="false">IF(A4="","",IF(L4&lt;&gt;"Verified","Not verified",IF(COUNTIFS(in_CGID,C4,in_ClientID,E4,in_Svc,G4)&gt;0,"Yes","Not entered")))</f>
        <v>Yes</v>
      </c>
    </row>
    <row r="5" customFormat="false" ht="15" hidden="false" customHeight="false" outlineLevel="0" collapsed="false">
      <c r="A5" s="64" t="s">
        <v>289</v>
      </c>
      <c r="B5" s="65" t="n">
        <v>46279</v>
      </c>
      <c r="C5" s="64" t="s">
        <v>286</v>
      </c>
      <c r="D5" s="64" t="s">
        <v>139</v>
      </c>
      <c r="E5" s="64" t="s">
        <v>290</v>
      </c>
      <c r="F5" s="64" t="s">
        <v>122</v>
      </c>
      <c r="G5" s="64" t="s">
        <v>113</v>
      </c>
      <c r="H5" s="66" t="n">
        <v>46279.3111111111</v>
      </c>
      <c r="I5" s="66" t="n">
        <v>46279.3944444444</v>
      </c>
      <c r="J5" s="64" t="n">
        <v>8</v>
      </c>
      <c r="K5" s="64" t="s">
        <v>284</v>
      </c>
      <c r="L5" s="64" t="s">
        <v>280</v>
      </c>
      <c r="M5" s="67" t="str">
        <f aca="false">IF(A5="","",IF(AND(B5&gt;=WeekStart,B5&lt;=WeekEnd),"Yes","No"))</f>
        <v>Yes</v>
      </c>
      <c r="N5" s="67" t="str">
        <f aca="false">IF(A5="","",IF(L5&lt;&gt;"Verified","Not verified",IF(COUNTIFS(in_CGID,C5,in_ClientID,E5,in_Svc,G5)&gt;0,"Yes","Not entered")))</f>
        <v>Yes</v>
      </c>
    </row>
    <row r="6" customFormat="false" ht="15" hidden="false" customHeight="false" outlineLevel="0" collapsed="false">
      <c r="A6" s="64" t="s">
        <v>291</v>
      </c>
      <c r="B6" s="65" t="n">
        <v>46279</v>
      </c>
      <c r="C6" s="64" t="s">
        <v>277</v>
      </c>
      <c r="D6" s="64" t="s">
        <v>108</v>
      </c>
      <c r="E6" s="64" t="s">
        <v>292</v>
      </c>
      <c r="F6" s="64" t="s">
        <v>114</v>
      </c>
      <c r="G6" s="64" t="s">
        <v>110</v>
      </c>
      <c r="H6" s="66" t="n">
        <v>46279.3125</v>
      </c>
      <c r="I6" s="66" t="n">
        <v>46279.4583333333</v>
      </c>
      <c r="J6" s="64" t="n">
        <v>14</v>
      </c>
      <c r="K6" s="64" t="s">
        <v>284</v>
      </c>
      <c r="L6" s="64" t="s">
        <v>280</v>
      </c>
      <c r="M6" s="67" t="str">
        <f aca="false">IF(A6="","",IF(AND(B6&gt;=WeekStart,B6&lt;=WeekEnd),"Yes","No"))</f>
        <v>Yes</v>
      </c>
      <c r="N6" s="67" t="str">
        <f aca="false">IF(A6="","",IF(L6&lt;&gt;"Verified","Not verified",IF(COUNTIFS(in_CGID,C6,in_ClientID,E6,in_Svc,G6)&gt;0,"Yes","Not entered")))</f>
        <v>Yes</v>
      </c>
    </row>
    <row r="7" customFormat="false" ht="15" hidden="false" customHeight="false" outlineLevel="0" collapsed="false">
      <c r="A7" s="64" t="s">
        <v>293</v>
      </c>
      <c r="B7" s="65" t="n">
        <v>46279</v>
      </c>
      <c r="C7" s="64" t="s">
        <v>294</v>
      </c>
      <c r="D7" s="64" t="s">
        <v>190</v>
      </c>
      <c r="E7" s="64" t="s">
        <v>295</v>
      </c>
      <c r="F7" s="64" t="s">
        <v>153</v>
      </c>
      <c r="G7" s="64" t="s">
        <v>117</v>
      </c>
      <c r="H7" s="66" t="n">
        <v>46279.3125</v>
      </c>
      <c r="I7" s="66" t="n">
        <v>46279.4819444444</v>
      </c>
      <c r="J7" s="64" t="n">
        <v>16</v>
      </c>
      <c r="K7" s="64" t="s">
        <v>284</v>
      </c>
      <c r="L7" s="64" t="s">
        <v>280</v>
      </c>
      <c r="M7" s="67" t="str">
        <f aca="false">IF(A7="","",IF(AND(B7&gt;=WeekStart,B7&lt;=WeekEnd),"Yes","No"))</f>
        <v>Yes</v>
      </c>
      <c r="N7" s="67" t="str">
        <f aca="false">IF(A7="","",IF(L7&lt;&gt;"Verified","Not verified",IF(COUNTIFS(in_CGID,C7,in_ClientID,E7,in_Svc,G7)&gt;0,"Yes","Not entered")))</f>
        <v>Yes</v>
      </c>
    </row>
    <row r="8" customFormat="false" ht="15" hidden="false" customHeight="false" outlineLevel="0" collapsed="false">
      <c r="A8" s="64" t="s">
        <v>296</v>
      </c>
      <c r="B8" s="65" t="n">
        <v>46279</v>
      </c>
      <c r="C8" s="64" t="s">
        <v>297</v>
      </c>
      <c r="D8" s="64" t="s">
        <v>169</v>
      </c>
      <c r="E8" s="64" t="s">
        <v>298</v>
      </c>
      <c r="F8" s="64" t="s">
        <v>170</v>
      </c>
      <c r="G8" s="64" t="s">
        <v>113</v>
      </c>
      <c r="H8" s="66" t="n">
        <v>46279.3305555556</v>
      </c>
      <c r="I8" s="66" t="n">
        <v>46279.4763888889</v>
      </c>
      <c r="J8" s="64" t="n">
        <v>14</v>
      </c>
      <c r="K8" s="64" t="s">
        <v>284</v>
      </c>
      <c r="L8" s="64" t="s">
        <v>280</v>
      </c>
      <c r="M8" s="67" t="str">
        <f aca="false">IF(A8="","",IF(AND(B8&gt;=WeekStart,B8&lt;=WeekEnd),"Yes","No"))</f>
        <v>Yes</v>
      </c>
      <c r="N8" s="67" t="str">
        <f aca="false">IF(A8="","",IF(L8&lt;&gt;"Verified","Not verified",IF(COUNTIFS(in_CGID,C8,in_ClientID,E8,in_Svc,G8)&gt;0,"Yes","Not entered")))</f>
        <v>Yes</v>
      </c>
    </row>
    <row r="9" customFormat="false" ht="15" hidden="false" customHeight="false" outlineLevel="0" collapsed="false">
      <c r="A9" s="64" t="s">
        <v>299</v>
      </c>
      <c r="B9" s="65" t="n">
        <v>46279</v>
      </c>
      <c r="C9" s="64" t="s">
        <v>282</v>
      </c>
      <c r="D9" s="64" t="s">
        <v>145</v>
      </c>
      <c r="E9" s="64" t="s">
        <v>300</v>
      </c>
      <c r="F9" s="64" t="s">
        <v>146</v>
      </c>
      <c r="G9" s="64" t="s">
        <v>117</v>
      </c>
      <c r="H9" s="66" t="n">
        <v>46279.3319444444</v>
      </c>
      <c r="I9" s="66" t="n">
        <v>46279.5847222222</v>
      </c>
      <c r="J9" s="64" t="n">
        <v>24</v>
      </c>
      <c r="K9" s="64" t="s">
        <v>279</v>
      </c>
      <c r="L9" s="64" t="s">
        <v>280</v>
      </c>
      <c r="M9" s="67" t="str">
        <f aca="false">IF(A9="","",IF(AND(B9&gt;=WeekStart,B9&lt;=WeekEnd),"Yes","No"))</f>
        <v>Yes</v>
      </c>
      <c r="N9" s="67" t="str">
        <f aca="false">IF(A9="","",IF(L9&lt;&gt;"Verified","Not verified",IF(COUNTIFS(in_CGID,C9,in_ClientID,E9,in_Svc,G9)&gt;0,"Yes","Not entered")))</f>
        <v>Yes</v>
      </c>
    </row>
    <row r="10" customFormat="false" ht="15" hidden="false" customHeight="false" outlineLevel="0" collapsed="false">
      <c r="A10" s="64" t="s">
        <v>301</v>
      </c>
      <c r="B10" s="65" t="n">
        <v>46279</v>
      </c>
      <c r="C10" s="64" t="s">
        <v>302</v>
      </c>
      <c r="D10" s="64" t="s">
        <v>119</v>
      </c>
      <c r="E10" s="64" t="s">
        <v>303</v>
      </c>
      <c r="F10" s="64" t="s">
        <v>120</v>
      </c>
      <c r="G10" s="64" t="s">
        <v>117</v>
      </c>
      <c r="H10" s="66" t="n">
        <v>46279.3319444444</v>
      </c>
      <c r="I10" s="66" t="n">
        <v>46279.4993055556</v>
      </c>
      <c r="J10" s="64" t="n">
        <v>16</v>
      </c>
      <c r="K10" s="64" t="s">
        <v>284</v>
      </c>
      <c r="L10" s="64" t="s">
        <v>280</v>
      </c>
      <c r="M10" s="67" t="str">
        <f aca="false">IF(A10="","",IF(AND(B10&gt;=WeekStart,B10&lt;=WeekEnd),"Yes","No"))</f>
        <v>Yes</v>
      </c>
      <c r="N10" s="67" t="str">
        <f aca="false">IF(A10="","",IF(L10&lt;&gt;"Verified","Not verified",IF(COUNTIFS(in_CGID,C10,in_ClientID,E10,in_Svc,G10)&gt;0,"Yes","Not entered")))</f>
        <v>Yes</v>
      </c>
    </row>
    <row r="11" customFormat="false" ht="15" hidden="false" customHeight="false" outlineLevel="0" collapsed="false">
      <c r="A11" s="64" t="s">
        <v>304</v>
      </c>
      <c r="B11" s="65" t="n">
        <v>46279</v>
      </c>
      <c r="C11" s="64" t="s">
        <v>305</v>
      </c>
      <c r="D11" s="64" t="s">
        <v>121</v>
      </c>
      <c r="E11" s="64" t="s">
        <v>290</v>
      </c>
      <c r="F11" s="64" t="s">
        <v>122</v>
      </c>
      <c r="G11" s="64" t="s">
        <v>113</v>
      </c>
      <c r="H11" s="66" t="n">
        <v>46279.3319444444</v>
      </c>
      <c r="I11" s="66" t="n">
        <v>46279.5</v>
      </c>
      <c r="J11" s="64" t="n">
        <v>16</v>
      </c>
      <c r="K11" s="64" t="s">
        <v>284</v>
      </c>
      <c r="L11" s="64" t="s">
        <v>280</v>
      </c>
      <c r="M11" s="67" t="str">
        <f aca="false">IF(A11="","",IF(AND(B11&gt;=WeekStart,B11&lt;=WeekEnd),"Yes","No"))</f>
        <v>Yes</v>
      </c>
      <c r="N11" s="67" t="str">
        <f aca="false">IF(A11="","",IF(L11&lt;&gt;"Verified","Not verified",IF(COUNTIFS(in_CGID,C11,in_ClientID,E11,in_Svc,G11)&gt;0,"Yes","Not entered")))</f>
        <v>Yes</v>
      </c>
    </row>
    <row r="12" customFormat="false" ht="15" hidden="false" customHeight="false" outlineLevel="0" collapsed="false">
      <c r="A12" s="64" t="s">
        <v>306</v>
      </c>
      <c r="B12" s="65" t="n">
        <v>46279</v>
      </c>
      <c r="C12" s="64" t="s">
        <v>307</v>
      </c>
      <c r="D12" s="64" t="s">
        <v>166</v>
      </c>
      <c r="E12" s="64" t="s">
        <v>290</v>
      </c>
      <c r="F12" s="64" t="s">
        <v>122</v>
      </c>
      <c r="G12" s="64" t="s">
        <v>133</v>
      </c>
      <c r="H12" s="66" t="n">
        <v>46279.3319444444</v>
      </c>
      <c r="I12" s="66" t="n">
        <v>46279.4138888889</v>
      </c>
      <c r="J12" s="64" t="n">
        <v>8</v>
      </c>
      <c r="K12" s="64" t="s">
        <v>284</v>
      </c>
      <c r="L12" s="64" t="s">
        <v>280</v>
      </c>
      <c r="M12" s="67" t="str">
        <f aca="false">IF(A12="","",IF(AND(B12&gt;=WeekStart,B12&lt;=WeekEnd),"Yes","No"))</f>
        <v>Yes</v>
      </c>
      <c r="N12" s="67" t="str">
        <f aca="false">IF(A12="","",IF(L12&lt;&gt;"Verified","Not verified",IF(COUNTIFS(in_CGID,C12,in_ClientID,E12,in_Svc,G12)&gt;0,"Yes","Not entered")))</f>
        <v>Yes</v>
      </c>
    </row>
    <row r="13" customFormat="false" ht="15" hidden="false" customHeight="false" outlineLevel="0" collapsed="false">
      <c r="A13" s="64" t="s">
        <v>308</v>
      </c>
      <c r="B13" s="65" t="n">
        <v>46279</v>
      </c>
      <c r="C13" s="64" t="s">
        <v>309</v>
      </c>
      <c r="D13" s="64" t="s">
        <v>167</v>
      </c>
      <c r="E13" s="64" t="s">
        <v>310</v>
      </c>
      <c r="F13" s="64" t="s">
        <v>118</v>
      </c>
      <c r="G13" s="64" t="s">
        <v>133</v>
      </c>
      <c r="H13" s="66" t="n">
        <v>46279.3333333333</v>
      </c>
      <c r="I13" s="66" t="n">
        <v>46279.4583333333</v>
      </c>
      <c r="J13" s="64" t="n">
        <v>12</v>
      </c>
      <c r="K13" s="64" t="s">
        <v>284</v>
      </c>
      <c r="L13" s="64" t="s">
        <v>280</v>
      </c>
      <c r="M13" s="67" t="str">
        <f aca="false">IF(A13="","",IF(AND(B13&gt;=WeekStart,B13&lt;=WeekEnd),"Yes","No"))</f>
        <v>Yes</v>
      </c>
      <c r="N13" s="67" t="str">
        <f aca="false">IF(A13="","",IF(L13&lt;&gt;"Verified","Not verified",IF(COUNTIFS(in_CGID,C13,in_ClientID,E13,in_Svc,G13)&gt;0,"Yes","Not entered")))</f>
        <v>Yes</v>
      </c>
    </row>
    <row r="14" customFormat="false" ht="15" hidden="false" customHeight="false" outlineLevel="0" collapsed="false">
      <c r="A14" s="64" t="s">
        <v>311</v>
      </c>
      <c r="B14" s="65" t="n">
        <v>46279</v>
      </c>
      <c r="C14" s="64" t="s">
        <v>312</v>
      </c>
      <c r="D14" s="64" t="s">
        <v>154</v>
      </c>
      <c r="E14" s="64" t="s">
        <v>313</v>
      </c>
      <c r="F14" s="64" t="s">
        <v>155</v>
      </c>
      <c r="G14" s="64" t="s">
        <v>113</v>
      </c>
      <c r="H14" s="66" t="n">
        <v>46279.3333333333</v>
      </c>
      <c r="I14" s="66" t="n">
        <v>46279.5013888889</v>
      </c>
      <c r="J14" s="64" t="n">
        <v>16</v>
      </c>
      <c r="K14" s="64" t="s">
        <v>284</v>
      </c>
      <c r="L14" s="64" t="s">
        <v>280</v>
      </c>
      <c r="M14" s="67" t="str">
        <f aca="false">IF(A14="","",IF(AND(B14&gt;=WeekStart,B14&lt;=WeekEnd),"Yes","No"))</f>
        <v>Yes</v>
      </c>
      <c r="N14" s="67" t="str">
        <f aca="false">IF(A14="","",IF(L14&lt;&gt;"Verified","Not verified",IF(COUNTIFS(in_CGID,C14,in_ClientID,E14,in_Svc,G14)&gt;0,"Yes","Not entered")))</f>
        <v>Yes</v>
      </c>
    </row>
    <row r="15" customFormat="false" ht="15" hidden="false" customHeight="false" outlineLevel="0" collapsed="false">
      <c r="A15" s="64" t="s">
        <v>314</v>
      </c>
      <c r="B15" s="65" t="n">
        <v>46279</v>
      </c>
      <c r="C15" s="64" t="s">
        <v>315</v>
      </c>
      <c r="D15" s="64" t="s">
        <v>158</v>
      </c>
      <c r="E15" s="64" t="s">
        <v>316</v>
      </c>
      <c r="F15" s="64" t="s">
        <v>159</v>
      </c>
      <c r="G15" s="64" t="s">
        <v>113</v>
      </c>
      <c r="H15" s="66" t="n">
        <v>46279.3340277778</v>
      </c>
      <c r="I15" s="66" t="n">
        <v>46279.4805555556</v>
      </c>
      <c r="J15" s="64" t="n">
        <v>14</v>
      </c>
      <c r="K15" s="64" t="s">
        <v>284</v>
      </c>
      <c r="L15" s="64" t="s">
        <v>280</v>
      </c>
      <c r="M15" s="67" t="str">
        <f aca="false">IF(A15="","",IF(AND(B15&gt;=WeekStart,B15&lt;=WeekEnd),"Yes","No"))</f>
        <v>Yes</v>
      </c>
      <c r="N15" s="67" t="str">
        <f aca="false">IF(A15="","",IF(L15&lt;&gt;"Verified","Not verified",IF(COUNTIFS(in_CGID,C15,in_ClientID,E15,in_Svc,G15)&gt;0,"Yes","Not entered")))</f>
        <v>Yes</v>
      </c>
    </row>
    <row r="16" customFormat="false" ht="15" hidden="false" customHeight="false" outlineLevel="0" collapsed="false">
      <c r="A16" s="64" t="s">
        <v>317</v>
      </c>
      <c r="B16" s="65" t="n">
        <v>46279</v>
      </c>
      <c r="C16" s="64" t="s">
        <v>318</v>
      </c>
      <c r="D16" s="64" t="s">
        <v>194</v>
      </c>
      <c r="E16" s="64" t="s">
        <v>319</v>
      </c>
      <c r="F16" s="64" t="s">
        <v>195</v>
      </c>
      <c r="G16" s="64" t="s">
        <v>113</v>
      </c>
      <c r="H16" s="66" t="n">
        <v>46279.3375</v>
      </c>
      <c r="I16" s="66" t="n">
        <v>46279.4444444445</v>
      </c>
      <c r="J16" s="64" t="n">
        <v>10</v>
      </c>
      <c r="K16" s="64" t="s">
        <v>284</v>
      </c>
      <c r="L16" s="64" t="s">
        <v>280</v>
      </c>
      <c r="M16" s="67" t="str">
        <f aca="false">IF(A16="","",IF(AND(B16&gt;=WeekStart,B16&lt;=WeekEnd),"Yes","No"))</f>
        <v>Yes</v>
      </c>
      <c r="N16" s="67" t="str">
        <f aca="false">IF(A16="","",IF(L16&lt;&gt;"Verified","Not verified",IF(COUNTIFS(in_CGID,C16,in_ClientID,E16,in_Svc,G16)&gt;0,"Yes","Not entered")))</f>
        <v>Yes</v>
      </c>
    </row>
    <row r="17" customFormat="false" ht="15" hidden="false" customHeight="false" outlineLevel="0" collapsed="false">
      <c r="A17" s="64" t="s">
        <v>320</v>
      </c>
      <c r="B17" s="65" t="n">
        <v>46279</v>
      </c>
      <c r="C17" s="64" t="s">
        <v>277</v>
      </c>
      <c r="D17" s="64" t="s">
        <v>108</v>
      </c>
      <c r="E17" s="64" t="s">
        <v>321</v>
      </c>
      <c r="F17" s="64" t="s">
        <v>112</v>
      </c>
      <c r="G17" s="64" t="s">
        <v>113</v>
      </c>
      <c r="H17" s="66" t="n">
        <v>46279.3375</v>
      </c>
      <c r="I17" s="66" t="n">
        <v>46279.4416666667</v>
      </c>
      <c r="J17" s="64" t="n">
        <v>10</v>
      </c>
      <c r="K17" s="64" t="s">
        <v>284</v>
      </c>
      <c r="L17" s="64" t="s">
        <v>280</v>
      </c>
      <c r="M17" s="67" t="str">
        <f aca="false">IF(A17="","",IF(AND(B17&gt;=WeekStart,B17&lt;=WeekEnd),"Yes","No"))</f>
        <v>Yes</v>
      </c>
      <c r="N17" s="67" t="str">
        <f aca="false">IF(A17="","",IF(L17&lt;&gt;"Verified","Not verified",IF(COUNTIFS(in_CGID,C17,in_ClientID,E17,in_Svc,G17)&gt;0,"Yes","Not entered")))</f>
        <v>Yes</v>
      </c>
    </row>
    <row r="18" customFormat="false" ht="15" hidden="false" customHeight="false" outlineLevel="0" collapsed="false">
      <c r="A18" s="64" t="s">
        <v>322</v>
      </c>
      <c r="B18" s="65" t="n">
        <v>46279</v>
      </c>
      <c r="C18" s="64" t="s">
        <v>323</v>
      </c>
      <c r="D18" s="64" t="s">
        <v>115</v>
      </c>
      <c r="E18" s="64" t="s">
        <v>310</v>
      </c>
      <c r="F18" s="64" t="s">
        <v>118</v>
      </c>
      <c r="G18" s="64" t="s">
        <v>113</v>
      </c>
      <c r="H18" s="66" t="n">
        <v>46279.375</v>
      </c>
      <c r="I18" s="66" t="n">
        <v>46279.5402777778</v>
      </c>
      <c r="J18" s="64" t="n">
        <v>16</v>
      </c>
      <c r="K18" s="64" t="s">
        <v>284</v>
      </c>
      <c r="L18" s="64" t="s">
        <v>280</v>
      </c>
      <c r="M18" s="67" t="str">
        <f aca="false">IF(A18="","",IF(AND(B18&gt;=WeekStart,B18&lt;=WeekEnd),"Yes","No"))</f>
        <v>Yes</v>
      </c>
      <c r="N18" s="67" t="str">
        <f aca="false">IF(A18="","",IF(L18&lt;&gt;"Verified","Not verified",IF(COUNTIFS(in_CGID,C18,in_ClientID,E18,in_Svc,G18)&gt;0,"Yes","Not entered")))</f>
        <v>Yes</v>
      </c>
    </row>
    <row r="19" customFormat="false" ht="15" hidden="false" customHeight="false" outlineLevel="0" collapsed="false">
      <c r="A19" s="64" t="s">
        <v>324</v>
      </c>
      <c r="B19" s="65" t="n">
        <v>46279</v>
      </c>
      <c r="C19" s="64" t="s">
        <v>309</v>
      </c>
      <c r="D19" s="64" t="s">
        <v>167</v>
      </c>
      <c r="E19" s="64" t="s">
        <v>325</v>
      </c>
      <c r="F19" s="64" t="s">
        <v>168</v>
      </c>
      <c r="G19" s="64" t="s">
        <v>113</v>
      </c>
      <c r="H19" s="66" t="n">
        <v>46279.375</v>
      </c>
      <c r="I19" s="66" t="n">
        <v>46279.5215277778</v>
      </c>
      <c r="J19" s="64" t="n">
        <v>14</v>
      </c>
      <c r="K19" s="64" t="s">
        <v>284</v>
      </c>
      <c r="L19" s="64" t="s">
        <v>280</v>
      </c>
      <c r="M19" s="67" t="str">
        <f aca="false">IF(A19="","",IF(AND(B19&gt;=WeekStart,B19&lt;=WeekEnd),"Yes","No"))</f>
        <v>Yes</v>
      </c>
      <c r="N19" s="67" t="str">
        <f aca="false">IF(A19="","",IF(L19&lt;&gt;"Verified","Not verified",IF(COUNTIFS(in_CGID,C19,in_ClientID,E19,in_Svc,G19)&gt;0,"Yes","Not entered")))</f>
        <v>Yes</v>
      </c>
    </row>
    <row r="20" customFormat="false" ht="15" hidden="false" customHeight="false" outlineLevel="0" collapsed="false">
      <c r="A20" s="64" t="s">
        <v>326</v>
      </c>
      <c r="B20" s="65" t="n">
        <v>46279</v>
      </c>
      <c r="C20" s="64" t="s">
        <v>327</v>
      </c>
      <c r="D20" s="64" t="s">
        <v>187</v>
      </c>
      <c r="E20" s="64" t="s">
        <v>310</v>
      </c>
      <c r="F20" s="64" t="s">
        <v>118</v>
      </c>
      <c r="G20" s="64" t="s">
        <v>110</v>
      </c>
      <c r="H20" s="66" t="n">
        <v>46279.3756944445</v>
      </c>
      <c r="I20" s="66" t="n">
        <v>46279.4805555556</v>
      </c>
      <c r="J20" s="64" t="n">
        <v>10</v>
      </c>
      <c r="K20" s="64" t="s">
        <v>284</v>
      </c>
      <c r="L20" s="64" t="s">
        <v>280</v>
      </c>
      <c r="M20" s="67" t="str">
        <f aca="false">IF(A20="","",IF(AND(B20&gt;=WeekStart,B20&lt;=WeekEnd),"Yes","No"))</f>
        <v>Yes</v>
      </c>
      <c r="N20" s="67" t="str">
        <f aca="false">IF(A20="","",IF(L20&lt;&gt;"Verified","Not verified",IF(COUNTIFS(in_CGID,C20,in_ClientID,E20,in_Svc,G20)&gt;0,"Yes","Not entered")))</f>
        <v>Yes</v>
      </c>
    </row>
    <row r="21" customFormat="false" ht="15" hidden="false" customHeight="false" outlineLevel="0" collapsed="false">
      <c r="A21" s="64" t="s">
        <v>328</v>
      </c>
      <c r="B21" s="65" t="n">
        <v>46279</v>
      </c>
      <c r="C21" s="64" t="s">
        <v>329</v>
      </c>
      <c r="D21" s="64" t="s">
        <v>176</v>
      </c>
      <c r="E21" s="64" t="s">
        <v>330</v>
      </c>
      <c r="F21" s="64" t="s">
        <v>152</v>
      </c>
      <c r="G21" s="64" t="s">
        <v>113</v>
      </c>
      <c r="H21" s="66" t="n">
        <v>46279.3756944445</v>
      </c>
      <c r="I21" s="66" t="n">
        <v>46279.4604166667</v>
      </c>
      <c r="J21" s="64" t="n">
        <v>8</v>
      </c>
      <c r="K21" s="64" t="s">
        <v>284</v>
      </c>
      <c r="L21" s="64" t="s">
        <v>280</v>
      </c>
      <c r="M21" s="67" t="str">
        <f aca="false">IF(A21="","",IF(AND(B21&gt;=WeekStart,B21&lt;=WeekEnd),"Yes","No"))</f>
        <v>Yes</v>
      </c>
      <c r="N21" s="67" t="str">
        <f aca="false">IF(A21="","",IF(L21&lt;&gt;"Verified","Not verified",IF(COUNTIFS(in_CGID,C21,in_ClientID,E21,in_Svc,G21)&gt;0,"Yes","Not entered")))</f>
        <v>Yes</v>
      </c>
    </row>
    <row r="22" customFormat="false" ht="15" hidden="false" customHeight="false" outlineLevel="0" collapsed="false">
      <c r="A22" s="64" t="s">
        <v>331</v>
      </c>
      <c r="B22" s="65" t="n">
        <v>46279</v>
      </c>
      <c r="C22" s="64" t="s">
        <v>332</v>
      </c>
      <c r="D22" s="64" t="s">
        <v>171</v>
      </c>
      <c r="E22" s="64" t="s">
        <v>333</v>
      </c>
      <c r="F22" s="64" t="s">
        <v>172</v>
      </c>
      <c r="G22" s="64" t="s">
        <v>113</v>
      </c>
      <c r="H22" s="66" t="n">
        <v>46279.3930555556</v>
      </c>
      <c r="I22" s="66" t="n">
        <v>46279.5180555556</v>
      </c>
      <c r="J22" s="64" t="n">
        <v>12</v>
      </c>
      <c r="K22" s="64" t="s">
        <v>284</v>
      </c>
      <c r="L22" s="64" t="s">
        <v>280</v>
      </c>
      <c r="M22" s="67" t="str">
        <f aca="false">IF(A22="","",IF(AND(B22&gt;=WeekStart,B22&lt;=WeekEnd),"Yes","No"))</f>
        <v>Yes</v>
      </c>
      <c r="N22" s="67" t="str">
        <f aca="false">IF(A22="","",IF(L22&lt;&gt;"Verified","Not verified",IF(COUNTIFS(in_CGID,C22,in_ClientID,E22,in_Svc,G22)&gt;0,"Yes","Not entered")))</f>
        <v>Yes</v>
      </c>
    </row>
    <row r="23" customFormat="false" ht="15" hidden="false" customHeight="false" outlineLevel="0" collapsed="false">
      <c r="A23" s="64" t="s">
        <v>334</v>
      </c>
      <c r="B23" s="65" t="n">
        <v>46279</v>
      </c>
      <c r="C23" s="64" t="s">
        <v>335</v>
      </c>
      <c r="D23" s="64" t="s">
        <v>151</v>
      </c>
      <c r="E23" s="64" t="s">
        <v>330</v>
      </c>
      <c r="F23" s="64" t="s">
        <v>152</v>
      </c>
      <c r="G23" s="64" t="s">
        <v>113</v>
      </c>
      <c r="H23" s="66" t="n">
        <v>46279.3944444444</v>
      </c>
      <c r="I23" s="66" t="n">
        <v>46279.4791666667</v>
      </c>
      <c r="J23" s="64" t="n">
        <v>8</v>
      </c>
      <c r="K23" s="64" t="s">
        <v>284</v>
      </c>
      <c r="L23" s="64" t="s">
        <v>280</v>
      </c>
      <c r="M23" s="67" t="str">
        <f aca="false">IF(A23="","",IF(AND(B23&gt;=WeekStart,B23&lt;=WeekEnd),"Yes","No"))</f>
        <v>Yes</v>
      </c>
      <c r="N23" s="67" t="str">
        <f aca="false">IF(A23="","",IF(L23&lt;&gt;"Verified","Not verified",IF(COUNTIFS(in_CGID,C23,in_ClientID,E23,in_Svc,G23)&gt;0,"Yes","Not entered")))</f>
        <v>Yes</v>
      </c>
    </row>
    <row r="24" customFormat="false" ht="15" hidden="false" customHeight="false" outlineLevel="0" collapsed="false">
      <c r="A24" s="64" t="s">
        <v>336</v>
      </c>
      <c r="B24" s="65" t="n">
        <v>46279</v>
      </c>
      <c r="C24" s="64" t="s">
        <v>294</v>
      </c>
      <c r="D24" s="64" t="s">
        <v>190</v>
      </c>
      <c r="E24" s="64" t="s">
        <v>337</v>
      </c>
      <c r="F24" s="64" t="s">
        <v>123</v>
      </c>
      <c r="G24" s="64" t="s">
        <v>117</v>
      </c>
      <c r="H24" s="66" t="n">
        <v>46279.3944444444</v>
      </c>
      <c r="I24" s="66" t="n">
        <v>46279.5625</v>
      </c>
      <c r="J24" s="64" t="n">
        <v>16</v>
      </c>
      <c r="K24" s="64" t="s">
        <v>284</v>
      </c>
      <c r="L24" s="64" t="s">
        <v>280</v>
      </c>
      <c r="M24" s="67" t="str">
        <f aca="false">IF(A24="","",IF(AND(B24&gt;=WeekStart,B24&lt;=WeekEnd),"Yes","No"))</f>
        <v>Yes</v>
      </c>
      <c r="N24" s="67" t="str">
        <f aca="false">IF(A24="","",IF(L24&lt;&gt;"Verified","Not verified",IF(COUNTIFS(in_CGID,C24,in_ClientID,E24,in_Svc,G24)&gt;0,"Yes","Not entered")))</f>
        <v>Yes</v>
      </c>
    </row>
    <row r="25" customFormat="false" ht="15" hidden="false" customHeight="false" outlineLevel="0" collapsed="false">
      <c r="A25" s="64" t="s">
        <v>338</v>
      </c>
      <c r="B25" s="65" t="n">
        <v>46279</v>
      </c>
      <c r="C25" s="64" t="s">
        <v>339</v>
      </c>
      <c r="D25" s="64" t="s">
        <v>177</v>
      </c>
      <c r="E25" s="64" t="s">
        <v>340</v>
      </c>
      <c r="F25" s="64" t="s">
        <v>143</v>
      </c>
      <c r="G25" s="64" t="s">
        <v>133</v>
      </c>
      <c r="H25" s="66" t="n">
        <v>46279.3958333333</v>
      </c>
      <c r="I25" s="66" t="n">
        <v>46279.4791666667</v>
      </c>
      <c r="J25" s="64" t="n">
        <v>8</v>
      </c>
      <c r="K25" s="64" t="s">
        <v>284</v>
      </c>
      <c r="L25" s="64" t="s">
        <v>280</v>
      </c>
      <c r="M25" s="67" t="str">
        <f aca="false">IF(A25="","",IF(AND(B25&gt;=WeekStart,B25&lt;=WeekEnd),"Yes","No"))</f>
        <v>Yes</v>
      </c>
      <c r="N25" s="67" t="str">
        <f aca="false">IF(A25="","",IF(L25&lt;&gt;"Verified","Not verified",IF(COUNTIFS(in_CGID,C25,in_ClientID,E25,in_Svc,G25)&gt;0,"Yes","Not entered")))</f>
        <v>Yes</v>
      </c>
    </row>
    <row r="26" customFormat="false" ht="15" hidden="false" customHeight="false" outlineLevel="0" collapsed="false">
      <c r="A26" s="64" t="s">
        <v>341</v>
      </c>
      <c r="B26" s="65" t="n">
        <v>46279</v>
      </c>
      <c r="C26" s="64" t="s">
        <v>342</v>
      </c>
      <c r="D26" s="64" t="s">
        <v>137</v>
      </c>
      <c r="E26" s="64" t="s">
        <v>343</v>
      </c>
      <c r="F26" s="64" t="s">
        <v>138</v>
      </c>
      <c r="G26" s="64" t="s">
        <v>110</v>
      </c>
      <c r="H26" s="66" t="n">
        <v>46279.3965277778</v>
      </c>
      <c r="I26" s="66" t="n">
        <v>46279.5645833333</v>
      </c>
      <c r="J26" s="64" t="n">
        <v>16</v>
      </c>
      <c r="K26" s="64" t="s">
        <v>284</v>
      </c>
      <c r="L26" s="64" t="s">
        <v>280</v>
      </c>
      <c r="M26" s="67" t="str">
        <f aca="false">IF(A26="","",IF(AND(B26&gt;=WeekStart,B26&lt;=WeekEnd),"Yes","No"))</f>
        <v>Yes</v>
      </c>
      <c r="N26" s="67" t="str">
        <f aca="false">IF(A26="","",IF(L26&lt;&gt;"Verified","Not verified",IF(COUNTIFS(in_CGID,C26,in_ClientID,E26,in_Svc,G26)&gt;0,"Yes","Not entered")))</f>
        <v>Not entered</v>
      </c>
    </row>
    <row r="27" customFormat="false" ht="15" hidden="false" customHeight="false" outlineLevel="0" collapsed="false">
      <c r="A27" s="64" t="s">
        <v>344</v>
      </c>
      <c r="B27" s="65" t="n">
        <v>46279</v>
      </c>
      <c r="C27" s="64" t="s">
        <v>305</v>
      </c>
      <c r="D27" s="64" t="s">
        <v>121</v>
      </c>
      <c r="E27" s="64" t="s">
        <v>337</v>
      </c>
      <c r="F27" s="64" t="s">
        <v>123</v>
      </c>
      <c r="G27" s="64" t="s">
        <v>113</v>
      </c>
      <c r="H27" s="66" t="n">
        <v>46279.3965277778</v>
      </c>
      <c r="I27" s="66" t="n">
        <v>46279.4798611111</v>
      </c>
      <c r="J27" s="64" t="n">
        <v>8</v>
      </c>
      <c r="K27" s="64" t="s">
        <v>284</v>
      </c>
      <c r="L27" s="64" t="s">
        <v>280</v>
      </c>
      <c r="M27" s="67" t="str">
        <f aca="false">IF(A27="","",IF(AND(B27&gt;=WeekStart,B27&lt;=WeekEnd),"Yes","No"))</f>
        <v>Yes</v>
      </c>
      <c r="N27" s="67" t="str">
        <f aca="false">IF(A27="","",IF(L27&lt;&gt;"Verified","Not verified",IF(COUNTIFS(in_CGID,C27,in_ClientID,E27,in_Svc,G27)&gt;0,"Yes","Not entered")))</f>
        <v>Yes</v>
      </c>
    </row>
    <row r="28" customFormat="false" ht="15" hidden="false" customHeight="false" outlineLevel="0" collapsed="false">
      <c r="A28" s="64" t="s">
        <v>345</v>
      </c>
      <c r="B28" s="65" t="n">
        <v>46279</v>
      </c>
      <c r="C28" s="64" t="s">
        <v>339</v>
      </c>
      <c r="D28" s="64" t="s">
        <v>177</v>
      </c>
      <c r="E28" s="64" t="s">
        <v>300</v>
      </c>
      <c r="F28" s="64" t="s">
        <v>146</v>
      </c>
      <c r="G28" s="64" t="s">
        <v>113</v>
      </c>
      <c r="H28" s="66" t="n">
        <v>46279.4138888889</v>
      </c>
      <c r="I28" s="66" t="n">
        <v>46279.5597222222</v>
      </c>
      <c r="J28" s="64" t="n">
        <v>14</v>
      </c>
      <c r="K28" s="64" t="s">
        <v>284</v>
      </c>
      <c r="L28" s="64" t="s">
        <v>280</v>
      </c>
      <c r="M28" s="67" t="str">
        <f aca="false">IF(A28="","",IF(AND(B28&gt;=WeekStart,B28&lt;=WeekEnd),"Yes","No"))</f>
        <v>Yes</v>
      </c>
      <c r="N28" s="67" t="str">
        <f aca="false">IF(A28="","",IF(L28&lt;&gt;"Verified","Not verified",IF(COUNTIFS(in_CGID,C28,in_ClientID,E28,in_Svc,G28)&gt;0,"Yes","Not entered")))</f>
        <v>Yes</v>
      </c>
    </row>
    <row r="29" customFormat="false" ht="15" hidden="false" customHeight="false" outlineLevel="0" collapsed="false">
      <c r="A29" s="64" t="s">
        <v>346</v>
      </c>
      <c r="B29" s="65" t="n">
        <v>46279</v>
      </c>
      <c r="C29" s="64" t="s">
        <v>347</v>
      </c>
      <c r="D29" s="64" t="s">
        <v>134</v>
      </c>
      <c r="E29" s="64" t="s">
        <v>348</v>
      </c>
      <c r="F29" s="64" t="s">
        <v>136</v>
      </c>
      <c r="G29" s="64" t="s">
        <v>113</v>
      </c>
      <c r="H29" s="66" t="n">
        <v>46279.4152777778</v>
      </c>
      <c r="I29" s="66" t="n">
        <v>46279.5833333333</v>
      </c>
      <c r="J29" s="64" t="n">
        <v>16</v>
      </c>
      <c r="K29" s="64" t="s">
        <v>279</v>
      </c>
      <c r="L29" s="64" t="s">
        <v>280</v>
      </c>
      <c r="M29" s="67" t="str">
        <f aca="false">IF(A29="","",IF(AND(B29&gt;=WeekStart,B29&lt;=WeekEnd),"Yes","No"))</f>
        <v>Yes</v>
      </c>
      <c r="N29" s="67" t="str">
        <f aca="false">IF(A29="","",IF(L29&lt;&gt;"Verified","Not verified",IF(COUNTIFS(in_CGID,C29,in_ClientID,E29,in_Svc,G29)&gt;0,"Yes","Not entered")))</f>
        <v>Yes</v>
      </c>
    </row>
    <row r="30" customFormat="false" ht="15" hidden="false" customHeight="false" outlineLevel="0" collapsed="false">
      <c r="A30" s="64" t="s">
        <v>349</v>
      </c>
      <c r="B30" s="65" t="n">
        <v>46279</v>
      </c>
      <c r="C30" s="64" t="s">
        <v>350</v>
      </c>
      <c r="D30" s="64" t="s">
        <v>142</v>
      </c>
      <c r="E30" s="64" t="s">
        <v>351</v>
      </c>
      <c r="F30" s="64" t="s">
        <v>144</v>
      </c>
      <c r="G30" s="64" t="s">
        <v>117</v>
      </c>
      <c r="H30" s="66" t="n">
        <v>46279.4166666667</v>
      </c>
      <c r="I30" s="66" t="n">
        <v>46279.5833333333</v>
      </c>
      <c r="J30" s="64" t="n">
        <v>16</v>
      </c>
      <c r="K30" s="64" t="s">
        <v>284</v>
      </c>
      <c r="L30" s="64" t="s">
        <v>280</v>
      </c>
      <c r="M30" s="67" t="str">
        <f aca="false">IF(A30="","",IF(AND(B30&gt;=WeekStart,B30&lt;=WeekEnd),"Yes","No"))</f>
        <v>Yes</v>
      </c>
      <c r="N30" s="67" t="str">
        <f aca="false">IF(A30="","",IF(L30&lt;&gt;"Verified","Not verified",IF(COUNTIFS(in_CGID,C30,in_ClientID,E30,in_Svc,G30)&gt;0,"Yes","Not entered")))</f>
        <v>Yes</v>
      </c>
    </row>
    <row r="31" customFormat="false" ht="15" hidden="false" customHeight="false" outlineLevel="0" collapsed="false">
      <c r="A31" s="64" t="s">
        <v>352</v>
      </c>
      <c r="B31" s="65" t="n">
        <v>46279</v>
      </c>
      <c r="C31" s="64" t="s">
        <v>353</v>
      </c>
      <c r="D31" s="64" t="s">
        <v>189</v>
      </c>
      <c r="E31" s="64" t="s">
        <v>283</v>
      </c>
      <c r="F31" s="64" t="s">
        <v>147</v>
      </c>
      <c r="G31" s="64" t="s">
        <v>113</v>
      </c>
      <c r="H31" s="66" t="n">
        <v>46279.4166666667</v>
      </c>
      <c r="I31" s="66" t="n">
        <v>46279.5</v>
      </c>
      <c r="J31" s="64" t="n">
        <v>8</v>
      </c>
      <c r="K31" s="64" t="s">
        <v>288</v>
      </c>
      <c r="L31" s="64" t="s">
        <v>280</v>
      </c>
      <c r="M31" s="67" t="str">
        <f aca="false">IF(A31="","",IF(AND(B31&gt;=WeekStart,B31&lt;=WeekEnd),"Yes","No"))</f>
        <v>Yes</v>
      </c>
      <c r="N31" s="67" t="str">
        <f aca="false">IF(A31="","",IF(L31&lt;&gt;"Verified","Not verified",IF(COUNTIFS(in_CGID,C31,in_ClientID,E31,in_Svc,G31)&gt;0,"Yes","Not entered")))</f>
        <v>Yes</v>
      </c>
    </row>
    <row r="32" customFormat="false" ht="15" hidden="false" customHeight="false" outlineLevel="0" collapsed="false">
      <c r="A32" s="64" t="s">
        <v>354</v>
      </c>
      <c r="B32" s="65" t="n">
        <v>46279</v>
      </c>
      <c r="C32" s="64" t="s">
        <v>355</v>
      </c>
      <c r="D32" s="64" t="s">
        <v>193</v>
      </c>
      <c r="E32" s="64" t="s">
        <v>330</v>
      </c>
      <c r="F32" s="64" t="s">
        <v>152</v>
      </c>
      <c r="G32" s="64" t="s">
        <v>113</v>
      </c>
      <c r="H32" s="66" t="n">
        <v>46279.4972222222</v>
      </c>
      <c r="I32" s="66" t="n">
        <v>46279.5791666667</v>
      </c>
      <c r="J32" s="64" t="n">
        <v>8</v>
      </c>
      <c r="K32" s="64" t="s">
        <v>279</v>
      </c>
      <c r="L32" s="64" t="s">
        <v>280</v>
      </c>
      <c r="M32" s="67" t="str">
        <f aca="false">IF(A32="","",IF(AND(B32&gt;=WeekStart,B32&lt;=WeekEnd),"Yes","No"))</f>
        <v>Yes</v>
      </c>
      <c r="N32" s="67" t="str">
        <f aca="false">IF(A32="","",IF(L32&lt;&gt;"Verified","Not verified",IF(COUNTIFS(in_CGID,C32,in_ClientID,E32,in_Svc,G32)&gt;0,"Yes","Not entered")))</f>
        <v>Yes</v>
      </c>
    </row>
    <row r="33" customFormat="false" ht="15" hidden="false" customHeight="false" outlineLevel="0" collapsed="false">
      <c r="A33" s="64" t="s">
        <v>356</v>
      </c>
      <c r="B33" s="65" t="n">
        <v>46279</v>
      </c>
      <c r="C33" s="64" t="s">
        <v>357</v>
      </c>
      <c r="D33" s="64" t="s">
        <v>160</v>
      </c>
      <c r="E33" s="64" t="s">
        <v>358</v>
      </c>
      <c r="F33" s="64" t="s">
        <v>161</v>
      </c>
      <c r="G33" s="64" t="s">
        <v>110</v>
      </c>
      <c r="H33" s="66" t="n">
        <v>46279.4986111111</v>
      </c>
      <c r="I33" s="66" t="n">
        <v>46279.6236111111</v>
      </c>
      <c r="J33" s="64" t="n">
        <v>12</v>
      </c>
      <c r="K33" s="64" t="s">
        <v>284</v>
      </c>
      <c r="L33" s="64" t="s">
        <v>280</v>
      </c>
      <c r="M33" s="67" t="str">
        <f aca="false">IF(A33="","",IF(AND(B33&gt;=WeekStart,B33&lt;=WeekEnd),"Yes","No"))</f>
        <v>Yes</v>
      </c>
      <c r="N33" s="67" t="str">
        <f aca="false">IF(A33="","",IF(L33&lt;&gt;"Verified","Not verified",IF(COUNTIFS(in_CGID,C33,in_ClientID,E33,in_Svc,G33)&gt;0,"Yes","Not entered")))</f>
        <v>Yes</v>
      </c>
    </row>
    <row r="34" customFormat="false" ht="15" hidden="false" customHeight="false" outlineLevel="0" collapsed="false">
      <c r="A34" s="64" t="s">
        <v>359</v>
      </c>
      <c r="B34" s="65" t="n">
        <v>46279</v>
      </c>
      <c r="C34" s="64" t="s">
        <v>360</v>
      </c>
      <c r="D34" s="64" t="s">
        <v>150</v>
      </c>
      <c r="E34" s="64" t="s">
        <v>361</v>
      </c>
      <c r="F34" s="64" t="s">
        <v>132</v>
      </c>
      <c r="G34" s="64" t="s">
        <v>133</v>
      </c>
      <c r="H34" s="66" t="n">
        <v>46279.5006944445</v>
      </c>
      <c r="I34" s="66" t="n">
        <v>46279.6284722222</v>
      </c>
      <c r="J34" s="64" t="n">
        <v>12</v>
      </c>
      <c r="K34" s="64" t="s">
        <v>279</v>
      </c>
      <c r="L34" s="64" t="s">
        <v>280</v>
      </c>
      <c r="M34" s="67" t="str">
        <f aca="false">IF(A34="","",IF(AND(B34&gt;=WeekStart,B34&lt;=WeekEnd),"Yes","No"))</f>
        <v>Yes</v>
      </c>
      <c r="N34" s="67" t="str">
        <f aca="false">IF(A34="","",IF(L34&lt;&gt;"Verified","Not verified",IF(COUNTIFS(in_CGID,C34,in_ClientID,E34,in_Svc,G34)&gt;0,"Yes","Not entered")))</f>
        <v>Yes</v>
      </c>
    </row>
    <row r="35" customFormat="false" ht="15" hidden="false" customHeight="false" outlineLevel="0" collapsed="false">
      <c r="A35" s="64" t="s">
        <v>362</v>
      </c>
      <c r="B35" s="65" t="n">
        <v>46279</v>
      </c>
      <c r="C35" s="64" t="s">
        <v>363</v>
      </c>
      <c r="D35" s="64" t="s">
        <v>192</v>
      </c>
      <c r="E35" s="64" t="s">
        <v>364</v>
      </c>
      <c r="F35" s="64" t="s">
        <v>149</v>
      </c>
      <c r="G35" s="64" t="s">
        <v>110</v>
      </c>
      <c r="H35" s="66" t="n">
        <v>46279.5388888889</v>
      </c>
      <c r="I35" s="66" t="n">
        <v>46279.6638888889</v>
      </c>
      <c r="J35" s="64" t="n">
        <v>12</v>
      </c>
      <c r="K35" s="64" t="s">
        <v>284</v>
      </c>
      <c r="L35" s="64" t="s">
        <v>280</v>
      </c>
      <c r="M35" s="67" t="str">
        <f aca="false">IF(A35="","",IF(AND(B35&gt;=WeekStart,B35&lt;=WeekEnd),"Yes","No"))</f>
        <v>Yes</v>
      </c>
      <c r="N35" s="67" t="str">
        <f aca="false">IF(A35="","",IF(L35&lt;&gt;"Verified","Not verified",IF(COUNTIFS(in_CGID,C35,in_ClientID,E35,in_Svc,G35)&gt;0,"Yes","Not entered")))</f>
        <v>Yes</v>
      </c>
    </row>
    <row r="36" customFormat="false" ht="15" hidden="false" customHeight="false" outlineLevel="0" collapsed="false">
      <c r="A36" s="64" t="s">
        <v>365</v>
      </c>
      <c r="B36" s="65" t="n">
        <v>46279</v>
      </c>
      <c r="C36" s="64" t="s">
        <v>327</v>
      </c>
      <c r="D36" s="64" t="s">
        <v>187</v>
      </c>
      <c r="E36" s="64" t="s">
        <v>366</v>
      </c>
      <c r="F36" s="64" t="s">
        <v>188</v>
      </c>
      <c r="G36" s="64" t="s">
        <v>113</v>
      </c>
      <c r="H36" s="66" t="n">
        <v>46279.5458333333</v>
      </c>
      <c r="I36" s="66" t="n">
        <v>46279.7111111111</v>
      </c>
      <c r="J36" s="64" t="n">
        <v>16</v>
      </c>
      <c r="K36" s="64" t="s">
        <v>279</v>
      </c>
      <c r="L36" s="64" t="s">
        <v>280</v>
      </c>
      <c r="M36" s="67" t="str">
        <f aca="false">IF(A36="","",IF(AND(B36&gt;=WeekStart,B36&lt;=WeekEnd),"Yes","No"))</f>
        <v>Yes</v>
      </c>
      <c r="N36" s="67" t="str">
        <f aca="false">IF(A36="","",IF(L36&lt;&gt;"Verified","Not verified",IF(COUNTIFS(in_CGID,C36,in_ClientID,E36,in_Svc,G36)&gt;0,"Yes","Not entered")))</f>
        <v>Yes</v>
      </c>
    </row>
    <row r="37" customFormat="false" ht="15" hidden="false" customHeight="false" outlineLevel="0" collapsed="false">
      <c r="A37" s="64" t="s">
        <v>367</v>
      </c>
      <c r="B37" s="65" t="n">
        <v>46279</v>
      </c>
      <c r="C37" s="64" t="s">
        <v>347</v>
      </c>
      <c r="D37" s="64" t="s">
        <v>134</v>
      </c>
      <c r="E37" s="64" t="s">
        <v>361</v>
      </c>
      <c r="F37" s="64" t="s">
        <v>132</v>
      </c>
      <c r="G37" s="64" t="s">
        <v>113</v>
      </c>
      <c r="H37" s="66" t="n">
        <v>46279.5833333333</v>
      </c>
      <c r="I37" s="66" t="n">
        <v>46279.6881944445</v>
      </c>
      <c r="J37" s="64" t="n">
        <v>10</v>
      </c>
      <c r="K37" s="64" t="s">
        <v>284</v>
      </c>
      <c r="L37" s="64" t="s">
        <v>280</v>
      </c>
      <c r="M37" s="67" t="str">
        <f aca="false">IF(A37="","",IF(AND(B37&gt;=WeekStart,B37&lt;=WeekEnd),"Yes","No"))</f>
        <v>Yes</v>
      </c>
      <c r="N37" s="67" t="str">
        <f aca="false">IF(A37="","",IF(L37&lt;&gt;"Verified","Not verified",IF(COUNTIFS(in_CGID,C37,in_ClientID,E37,in_Svc,G37)&gt;0,"Yes","Not entered")))</f>
        <v>Yes</v>
      </c>
    </row>
    <row r="38" customFormat="false" ht="15" hidden="false" customHeight="false" outlineLevel="0" collapsed="false">
      <c r="A38" s="64" t="s">
        <v>368</v>
      </c>
      <c r="B38" s="65" t="n">
        <v>46279</v>
      </c>
      <c r="C38" s="64" t="s">
        <v>369</v>
      </c>
      <c r="D38" s="64" t="s">
        <v>173</v>
      </c>
      <c r="E38" s="64" t="s">
        <v>370</v>
      </c>
      <c r="F38" s="64" t="s">
        <v>174</v>
      </c>
      <c r="G38" s="64" t="s">
        <v>133</v>
      </c>
      <c r="H38" s="66" t="n">
        <v>46279.5833333333</v>
      </c>
      <c r="I38" s="66" t="n">
        <v>46279.7069444444</v>
      </c>
      <c r="J38" s="64" t="n">
        <v>12</v>
      </c>
      <c r="K38" s="64" t="s">
        <v>284</v>
      </c>
      <c r="L38" s="64" t="s">
        <v>280</v>
      </c>
      <c r="M38" s="67" t="str">
        <f aca="false">IF(A38="","",IF(AND(B38&gt;=WeekStart,B38&lt;=WeekEnd),"Yes","No"))</f>
        <v>Yes</v>
      </c>
      <c r="N38" s="67" t="str">
        <f aca="false">IF(A38="","",IF(L38&lt;&gt;"Verified","Not verified",IF(COUNTIFS(in_CGID,C38,in_ClientID,E38,in_Svc,G38)&gt;0,"Yes","Not entered")))</f>
        <v>Yes</v>
      </c>
    </row>
    <row r="39" customFormat="false" ht="15" hidden="false" customHeight="false" outlineLevel="0" collapsed="false">
      <c r="A39" s="64" t="s">
        <v>371</v>
      </c>
      <c r="B39" s="65" t="n">
        <v>46279</v>
      </c>
      <c r="C39" s="64" t="s">
        <v>327</v>
      </c>
      <c r="D39" s="64" t="s">
        <v>187</v>
      </c>
      <c r="E39" s="64" t="s">
        <v>364</v>
      </c>
      <c r="F39" s="64" t="s">
        <v>149</v>
      </c>
      <c r="G39" s="64" t="s">
        <v>113</v>
      </c>
      <c r="H39" s="66" t="n">
        <v>46279.5854166667</v>
      </c>
      <c r="I39" s="66" t="n">
        <v>46279.6701388889</v>
      </c>
      <c r="J39" s="64" t="n">
        <v>8</v>
      </c>
      <c r="K39" s="64" t="s">
        <v>279</v>
      </c>
      <c r="L39" s="64" t="s">
        <v>280</v>
      </c>
      <c r="M39" s="67" t="str">
        <f aca="false">IF(A39="","",IF(AND(B39&gt;=WeekStart,B39&lt;=WeekEnd),"Yes","No"))</f>
        <v>Yes</v>
      </c>
      <c r="N39" s="67" t="str">
        <f aca="false">IF(A39="","",IF(L39&lt;&gt;"Verified","Not verified",IF(COUNTIFS(in_CGID,C39,in_ClientID,E39,in_Svc,G39)&gt;0,"Yes","Not entered")))</f>
        <v>Yes</v>
      </c>
    </row>
    <row r="40" customFormat="false" ht="15" hidden="false" customHeight="false" outlineLevel="0" collapsed="false">
      <c r="A40" s="64" t="s">
        <v>372</v>
      </c>
      <c r="B40" s="65" t="n">
        <v>46279</v>
      </c>
      <c r="C40" s="64" t="s">
        <v>286</v>
      </c>
      <c r="D40" s="64" t="s">
        <v>139</v>
      </c>
      <c r="E40" s="64" t="s">
        <v>373</v>
      </c>
      <c r="F40" s="64" t="s">
        <v>140</v>
      </c>
      <c r="G40" s="64" t="s">
        <v>113</v>
      </c>
      <c r="H40" s="66" t="n">
        <v>46279.5875</v>
      </c>
      <c r="I40" s="66" t="n">
        <v>46279.7319444444</v>
      </c>
      <c r="J40" s="64" t="n">
        <v>14</v>
      </c>
      <c r="K40" s="64" t="s">
        <v>284</v>
      </c>
      <c r="L40" s="64" t="s">
        <v>280</v>
      </c>
      <c r="M40" s="67" t="str">
        <f aca="false">IF(A40="","",IF(AND(B40&gt;=WeekStart,B40&lt;=WeekEnd),"Yes","No"))</f>
        <v>Yes</v>
      </c>
      <c r="N40" s="67" t="str">
        <f aca="false">IF(A40="","",IF(L40&lt;&gt;"Verified","Not verified",IF(COUNTIFS(in_CGID,C40,in_ClientID,E40,in_Svc,G40)&gt;0,"Yes","Not entered")))</f>
        <v>Yes</v>
      </c>
    </row>
    <row r="41" customFormat="false" ht="15" hidden="false" customHeight="false" outlineLevel="0" collapsed="false">
      <c r="A41" s="64" t="s">
        <v>374</v>
      </c>
      <c r="B41" s="65" t="n">
        <v>46279</v>
      </c>
      <c r="C41" s="64" t="s">
        <v>375</v>
      </c>
      <c r="D41" s="64" t="s">
        <v>191</v>
      </c>
      <c r="E41" s="64" t="s">
        <v>333</v>
      </c>
      <c r="F41" s="64" t="s">
        <v>172</v>
      </c>
      <c r="G41" s="64" t="s">
        <v>113</v>
      </c>
      <c r="H41" s="66" t="n">
        <v>46279.6256944445</v>
      </c>
      <c r="I41" s="66" t="n">
        <v>46279.7284722222</v>
      </c>
      <c r="J41" s="64" t="n">
        <v>10</v>
      </c>
      <c r="K41" s="64" t="s">
        <v>284</v>
      </c>
      <c r="L41" s="64" t="s">
        <v>280</v>
      </c>
      <c r="M41" s="67" t="str">
        <f aca="false">IF(A41="","",IF(AND(B41&gt;=WeekStart,B41&lt;=WeekEnd),"Yes","No"))</f>
        <v>Yes</v>
      </c>
      <c r="N41" s="67" t="str">
        <f aca="false">IF(A41="","",IF(L41&lt;&gt;"Verified","Not verified",IF(COUNTIFS(in_CGID,C41,in_ClientID,E41,in_Svc,G41)&gt;0,"Yes","Not entered")))</f>
        <v>Yes</v>
      </c>
    </row>
    <row r="42" customFormat="false" ht="15" hidden="false" customHeight="false" outlineLevel="0" collapsed="false">
      <c r="A42" s="64" t="s">
        <v>376</v>
      </c>
      <c r="B42" s="65" t="n">
        <v>46280</v>
      </c>
      <c r="C42" s="64" t="s">
        <v>363</v>
      </c>
      <c r="D42" s="64" t="s">
        <v>192</v>
      </c>
      <c r="E42" s="64" t="s">
        <v>364</v>
      </c>
      <c r="F42" s="64" t="s">
        <v>149</v>
      </c>
      <c r="G42" s="64" t="s">
        <v>110</v>
      </c>
      <c r="H42" s="66" t="n">
        <v>46280.2888888889</v>
      </c>
      <c r="I42" s="66" t="n">
        <v>46280.4361111111</v>
      </c>
      <c r="J42" s="64" t="n">
        <v>14</v>
      </c>
      <c r="K42" s="64" t="s">
        <v>284</v>
      </c>
      <c r="L42" s="64" t="s">
        <v>280</v>
      </c>
      <c r="M42" s="67" t="str">
        <f aca="false">IF(A42="","",IF(AND(B42&gt;=WeekStart,B42&lt;=WeekEnd),"Yes","No"))</f>
        <v>Yes</v>
      </c>
      <c r="N42" s="67" t="str">
        <f aca="false">IF(A42="","",IF(L42&lt;&gt;"Verified","Not verified",IF(COUNTIFS(in_CGID,C42,in_ClientID,E42,in_Svc,G42)&gt;0,"Yes","Not entered")))</f>
        <v>Yes</v>
      </c>
    </row>
    <row r="43" customFormat="false" ht="15" hidden="false" customHeight="false" outlineLevel="0" collapsed="false">
      <c r="A43" s="64" t="s">
        <v>377</v>
      </c>
      <c r="B43" s="65" t="n">
        <v>46280</v>
      </c>
      <c r="C43" s="64" t="s">
        <v>350</v>
      </c>
      <c r="D43" s="64" t="s">
        <v>142</v>
      </c>
      <c r="E43" s="64" t="s">
        <v>340</v>
      </c>
      <c r="F43" s="64" t="s">
        <v>143</v>
      </c>
      <c r="G43" s="64" t="s">
        <v>113</v>
      </c>
      <c r="H43" s="66" t="n">
        <v>46280.2902777778</v>
      </c>
      <c r="I43" s="66" t="n">
        <v>46280.3958333333</v>
      </c>
      <c r="J43" s="64" t="n">
        <v>10</v>
      </c>
      <c r="K43" s="64" t="s">
        <v>284</v>
      </c>
      <c r="L43" s="64" t="s">
        <v>280</v>
      </c>
      <c r="M43" s="67" t="str">
        <f aca="false">IF(A43="","",IF(AND(B43&gt;=WeekStart,B43&lt;=WeekEnd),"Yes","No"))</f>
        <v>Yes</v>
      </c>
      <c r="N43" s="67" t="str">
        <f aca="false">IF(A43="","",IF(L43&lt;&gt;"Verified","Not verified",IF(COUNTIFS(in_CGID,C43,in_ClientID,E43,in_Svc,G43)&gt;0,"Yes","Not entered")))</f>
        <v>Yes</v>
      </c>
    </row>
    <row r="44" customFormat="false" ht="15" hidden="false" customHeight="false" outlineLevel="0" collapsed="false">
      <c r="A44" s="64" t="s">
        <v>378</v>
      </c>
      <c r="B44" s="65" t="n">
        <v>46280</v>
      </c>
      <c r="C44" s="64" t="s">
        <v>307</v>
      </c>
      <c r="D44" s="64" t="s">
        <v>166</v>
      </c>
      <c r="E44" s="64" t="s">
        <v>295</v>
      </c>
      <c r="F44" s="64" t="s">
        <v>153</v>
      </c>
      <c r="G44" s="64" t="s">
        <v>113</v>
      </c>
      <c r="H44" s="66" t="n">
        <v>46280.2902777778</v>
      </c>
      <c r="I44" s="66" t="n">
        <v>46280.4583333333</v>
      </c>
      <c r="J44" s="64" t="n">
        <v>16</v>
      </c>
      <c r="K44" s="64" t="s">
        <v>284</v>
      </c>
      <c r="L44" s="64" t="s">
        <v>280</v>
      </c>
      <c r="M44" s="67" t="str">
        <f aca="false">IF(A44="","",IF(AND(B44&gt;=WeekStart,B44&lt;=WeekEnd),"Yes","No"))</f>
        <v>Yes</v>
      </c>
      <c r="N44" s="67" t="str">
        <f aca="false">IF(A44="","",IF(L44&lt;&gt;"Verified","Not verified",IF(COUNTIFS(in_CGID,C44,in_ClientID,E44,in_Svc,G44)&gt;0,"Yes","Not entered")))</f>
        <v>Yes</v>
      </c>
    </row>
    <row r="45" customFormat="false" ht="15" hidden="false" customHeight="false" outlineLevel="0" collapsed="false">
      <c r="A45" s="64" t="s">
        <v>379</v>
      </c>
      <c r="B45" s="65" t="n">
        <v>46280</v>
      </c>
      <c r="C45" s="64" t="s">
        <v>347</v>
      </c>
      <c r="D45" s="64" t="s">
        <v>134</v>
      </c>
      <c r="E45" s="64" t="s">
        <v>348</v>
      </c>
      <c r="F45" s="64" t="s">
        <v>136</v>
      </c>
      <c r="G45" s="64" t="s">
        <v>113</v>
      </c>
      <c r="H45" s="66" t="n">
        <v>46280.3131944445</v>
      </c>
      <c r="I45" s="66" t="n">
        <v>46280.3965277778</v>
      </c>
      <c r="J45" s="64" t="n">
        <v>8</v>
      </c>
      <c r="K45" s="64" t="s">
        <v>279</v>
      </c>
      <c r="L45" s="64" t="s">
        <v>280</v>
      </c>
      <c r="M45" s="67" t="str">
        <f aca="false">IF(A45="","",IF(AND(B45&gt;=WeekStart,B45&lt;=WeekEnd),"Yes","No"))</f>
        <v>Yes</v>
      </c>
      <c r="N45" s="67" t="str">
        <f aca="false">IF(A45="","",IF(L45&lt;&gt;"Verified","Not verified",IF(COUNTIFS(in_CGID,C45,in_ClientID,E45,in_Svc,G45)&gt;0,"Yes","Not entered")))</f>
        <v>Yes</v>
      </c>
    </row>
    <row r="46" customFormat="false" ht="15" hidden="false" customHeight="false" outlineLevel="0" collapsed="false">
      <c r="A46" s="64" t="s">
        <v>380</v>
      </c>
      <c r="B46" s="65" t="n">
        <v>46280</v>
      </c>
      <c r="C46" s="64" t="s">
        <v>307</v>
      </c>
      <c r="D46" s="64" t="s">
        <v>166</v>
      </c>
      <c r="E46" s="64" t="s">
        <v>290</v>
      </c>
      <c r="F46" s="64" t="s">
        <v>122</v>
      </c>
      <c r="G46" s="64" t="s">
        <v>133</v>
      </c>
      <c r="H46" s="66" t="n">
        <v>46280.3145833333</v>
      </c>
      <c r="I46" s="66" t="n">
        <v>46280.3993055556</v>
      </c>
      <c r="J46" s="64" t="n">
        <v>8</v>
      </c>
      <c r="K46" s="64" t="s">
        <v>284</v>
      </c>
      <c r="L46" s="64" t="s">
        <v>280</v>
      </c>
      <c r="M46" s="67" t="str">
        <f aca="false">IF(A46="","",IF(AND(B46&gt;=WeekStart,B46&lt;=WeekEnd),"Yes","No"))</f>
        <v>Yes</v>
      </c>
      <c r="N46" s="67" t="str">
        <f aca="false">IF(A46="","",IF(L46&lt;&gt;"Verified","Not verified",IF(COUNTIFS(in_CGID,C46,in_ClientID,E46,in_Svc,G46)&gt;0,"Yes","Not entered")))</f>
        <v>Yes</v>
      </c>
    </row>
    <row r="47" customFormat="false" ht="15" hidden="false" customHeight="false" outlineLevel="0" collapsed="false">
      <c r="A47" s="64" t="s">
        <v>381</v>
      </c>
      <c r="B47" s="65" t="n">
        <v>46280</v>
      </c>
      <c r="C47" s="64" t="s">
        <v>312</v>
      </c>
      <c r="D47" s="64" t="s">
        <v>154</v>
      </c>
      <c r="E47" s="64" t="s">
        <v>348</v>
      </c>
      <c r="F47" s="64" t="s">
        <v>136</v>
      </c>
      <c r="G47" s="64" t="s">
        <v>113</v>
      </c>
      <c r="H47" s="66" t="n">
        <v>46280.3305555556</v>
      </c>
      <c r="I47" s="66" t="n">
        <v>46280.4138888889</v>
      </c>
      <c r="J47" s="64" t="n">
        <v>8</v>
      </c>
      <c r="K47" s="64" t="s">
        <v>279</v>
      </c>
      <c r="L47" s="64" t="s">
        <v>280</v>
      </c>
      <c r="M47" s="67" t="str">
        <f aca="false">IF(A47="","",IF(AND(B47&gt;=WeekStart,B47&lt;=WeekEnd),"Yes","No"))</f>
        <v>Yes</v>
      </c>
      <c r="N47" s="67" t="str">
        <f aca="false">IF(A47="","",IF(L47&lt;&gt;"Verified","Not verified",IF(COUNTIFS(in_CGID,C47,in_ClientID,E47,in_Svc,G47)&gt;0,"Yes","Not entered")))</f>
        <v>Yes</v>
      </c>
    </row>
    <row r="48" customFormat="false" ht="15" hidden="false" customHeight="false" outlineLevel="0" collapsed="false">
      <c r="A48" s="64" t="s">
        <v>382</v>
      </c>
      <c r="B48" s="65" t="n">
        <v>46280</v>
      </c>
      <c r="C48" s="64" t="s">
        <v>339</v>
      </c>
      <c r="D48" s="64" t="s">
        <v>177</v>
      </c>
      <c r="E48" s="64" t="s">
        <v>300</v>
      </c>
      <c r="F48" s="64" t="s">
        <v>146</v>
      </c>
      <c r="G48" s="64" t="s">
        <v>113</v>
      </c>
      <c r="H48" s="66" t="n">
        <v>46280.3319444444</v>
      </c>
      <c r="I48" s="66" t="n">
        <v>46280.4368055556</v>
      </c>
      <c r="J48" s="64" t="n">
        <v>10</v>
      </c>
      <c r="K48" s="64" t="s">
        <v>284</v>
      </c>
      <c r="L48" s="64" t="s">
        <v>280</v>
      </c>
      <c r="M48" s="67" t="str">
        <f aca="false">IF(A48="","",IF(AND(B48&gt;=WeekStart,B48&lt;=WeekEnd),"Yes","No"))</f>
        <v>Yes</v>
      </c>
      <c r="N48" s="67" t="str">
        <f aca="false">IF(A48="","",IF(L48&lt;&gt;"Verified","Not verified",IF(COUNTIFS(in_CGID,C48,in_ClientID,E48,in_Svc,G48)&gt;0,"Yes","Not entered")))</f>
        <v>Yes</v>
      </c>
    </row>
    <row r="49" customFormat="false" ht="15" hidden="false" customHeight="false" outlineLevel="0" collapsed="false">
      <c r="A49" s="64" t="s">
        <v>383</v>
      </c>
      <c r="B49" s="65" t="n">
        <v>46280</v>
      </c>
      <c r="C49" s="64" t="s">
        <v>277</v>
      </c>
      <c r="D49" s="64" t="s">
        <v>108</v>
      </c>
      <c r="E49" s="64" t="s">
        <v>292</v>
      </c>
      <c r="F49" s="64" t="s">
        <v>114</v>
      </c>
      <c r="G49" s="64" t="s">
        <v>110</v>
      </c>
      <c r="H49" s="66" t="n">
        <v>46280.3319444444</v>
      </c>
      <c r="I49" s="66" t="n">
        <v>46280.5</v>
      </c>
      <c r="J49" s="64" t="n">
        <v>16</v>
      </c>
      <c r="K49" s="64" t="s">
        <v>284</v>
      </c>
      <c r="L49" s="64" t="s">
        <v>280</v>
      </c>
      <c r="M49" s="67" t="str">
        <f aca="false">IF(A49="","",IF(AND(B49&gt;=WeekStart,B49&lt;=WeekEnd),"Yes","No"))</f>
        <v>Yes</v>
      </c>
      <c r="N49" s="67" t="str">
        <f aca="false">IF(A49="","",IF(L49&lt;&gt;"Verified","Not verified",IF(COUNTIFS(in_CGID,C49,in_ClientID,E49,in_Svc,G49)&gt;0,"Yes","Not entered")))</f>
        <v>Yes</v>
      </c>
    </row>
    <row r="50" customFormat="false" ht="15" hidden="false" customHeight="false" outlineLevel="0" collapsed="false">
      <c r="A50" s="64" t="s">
        <v>384</v>
      </c>
      <c r="B50" s="65" t="n">
        <v>46280</v>
      </c>
      <c r="C50" s="64" t="s">
        <v>385</v>
      </c>
      <c r="D50" s="64" t="s">
        <v>184</v>
      </c>
      <c r="E50" s="64" t="s">
        <v>295</v>
      </c>
      <c r="F50" s="64" t="s">
        <v>153</v>
      </c>
      <c r="G50" s="64" t="s">
        <v>133</v>
      </c>
      <c r="H50" s="66" t="n">
        <v>46280.3333333333</v>
      </c>
      <c r="I50" s="66" t="n">
        <v>46280.4388888889</v>
      </c>
      <c r="J50" s="64" t="n">
        <v>10</v>
      </c>
      <c r="K50" s="64" t="s">
        <v>284</v>
      </c>
      <c r="L50" s="64" t="s">
        <v>280</v>
      </c>
      <c r="M50" s="67" t="str">
        <f aca="false">IF(A50="","",IF(AND(B50&gt;=WeekStart,B50&lt;=WeekEnd),"Yes","No"))</f>
        <v>Yes</v>
      </c>
      <c r="N50" s="67" t="str">
        <f aca="false">IF(A50="","",IF(L50&lt;&gt;"Verified","Not verified",IF(COUNTIFS(in_CGID,C50,in_ClientID,E50,in_Svc,G50)&gt;0,"Yes","Not entered")))</f>
        <v>Yes</v>
      </c>
    </row>
    <row r="51" customFormat="false" ht="15" hidden="false" customHeight="false" outlineLevel="0" collapsed="false">
      <c r="A51" s="64" t="s">
        <v>386</v>
      </c>
      <c r="B51" s="65" t="n">
        <v>46280</v>
      </c>
      <c r="C51" s="64" t="s">
        <v>387</v>
      </c>
      <c r="D51" s="64" t="s">
        <v>185</v>
      </c>
      <c r="E51" s="64" t="s">
        <v>388</v>
      </c>
      <c r="F51" s="64" t="s">
        <v>186</v>
      </c>
      <c r="G51" s="64" t="s">
        <v>133</v>
      </c>
      <c r="H51" s="66" t="n">
        <v>46280.3333333333</v>
      </c>
      <c r="I51" s="66" t="n">
        <v>46280.4152777778</v>
      </c>
      <c r="J51" s="64" t="n">
        <v>8</v>
      </c>
      <c r="K51" s="64" t="s">
        <v>284</v>
      </c>
      <c r="L51" s="64" t="s">
        <v>280</v>
      </c>
      <c r="M51" s="67" t="str">
        <f aca="false">IF(A51="","",IF(AND(B51&gt;=WeekStart,B51&lt;=WeekEnd),"Yes","No"))</f>
        <v>Yes</v>
      </c>
      <c r="N51" s="67" t="str">
        <f aca="false">IF(A51="","",IF(L51&lt;&gt;"Verified","Not verified",IF(COUNTIFS(in_CGID,C51,in_ClientID,E51,in_Svc,G51)&gt;0,"Yes","Not entered")))</f>
        <v>Yes</v>
      </c>
    </row>
    <row r="52" customFormat="false" ht="15" hidden="false" customHeight="false" outlineLevel="0" collapsed="false">
      <c r="A52" s="64" t="s">
        <v>389</v>
      </c>
      <c r="B52" s="65" t="n">
        <v>46280</v>
      </c>
      <c r="C52" s="64" t="s">
        <v>360</v>
      </c>
      <c r="D52" s="64" t="s">
        <v>150</v>
      </c>
      <c r="E52" s="64" t="s">
        <v>361</v>
      </c>
      <c r="F52" s="64" t="s">
        <v>132</v>
      </c>
      <c r="G52" s="64" t="s">
        <v>133</v>
      </c>
      <c r="H52" s="66" t="n">
        <v>46280.3354166667</v>
      </c>
      <c r="I52" s="66" t="n">
        <v>46280.4395833333</v>
      </c>
      <c r="J52" s="64" t="n">
        <v>10</v>
      </c>
      <c r="K52" s="64" t="s">
        <v>284</v>
      </c>
      <c r="L52" s="64" t="s">
        <v>280</v>
      </c>
      <c r="M52" s="67" t="str">
        <f aca="false">IF(A52="","",IF(AND(B52&gt;=WeekStart,B52&lt;=WeekEnd),"Yes","No"))</f>
        <v>Yes</v>
      </c>
      <c r="N52" s="67" t="str">
        <f aca="false">IF(A52="","",IF(L52&lt;&gt;"Verified","Not verified",IF(COUNTIFS(in_CGID,C52,in_ClientID,E52,in_Svc,G52)&gt;0,"Yes","Not entered")))</f>
        <v>Yes</v>
      </c>
    </row>
    <row r="53" customFormat="false" ht="15" hidden="false" customHeight="false" outlineLevel="0" collapsed="false">
      <c r="A53" s="64" t="s">
        <v>390</v>
      </c>
      <c r="B53" s="65" t="n">
        <v>46280</v>
      </c>
      <c r="C53" s="64" t="s">
        <v>305</v>
      </c>
      <c r="D53" s="64" t="s">
        <v>121</v>
      </c>
      <c r="E53" s="64" t="s">
        <v>290</v>
      </c>
      <c r="F53" s="64" t="s">
        <v>122</v>
      </c>
      <c r="G53" s="64" t="s">
        <v>113</v>
      </c>
      <c r="H53" s="66" t="n">
        <v>46280.3736111111</v>
      </c>
      <c r="I53" s="66" t="n">
        <v>46280.5194444444</v>
      </c>
      <c r="J53" s="64" t="n">
        <v>14</v>
      </c>
      <c r="K53" s="64" t="s">
        <v>284</v>
      </c>
      <c r="L53" s="64" t="s">
        <v>280</v>
      </c>
      <c r="M53" s="67" t="str">
        <f aca="false">IF(A53="","",IF(AND(B53&gt;=WeekStart,B53&lt;=WeekEnd),"Yes","No"))</f>
        <v>Yes</v>
      </c>
      <c r="N53" s="67" t="str">
        <f aca="false">IF(A53="","",IF(L53&lt;&gt;"Verified","Not verified",IF(COUNTIFS(in_CGID,C53,in_ClientID,E53,in_Svc,G53)&gt;0,"Yes","Not entered")))</f>
        <v>Yes</v>
      </c>
    </row>
    <row r="54" customFormat="false" ht="15" hidden="false" customHeight="false" outlineLevel="0" collapsed="false">
      <c r="A54" s="64" t="s">
        <v>391</v>
      </c>
      <c r="B54" s="65" t="n">
        <v>46280</v>
      </c>
      <c r="C54" s="64" t="s">
        <v>327</v>
      </c>
      <c r="D54" s="64" t="s">
        <v>187</v>
      </c>
      <c r="E54" s="64" t="s">
        <v>364</v>
      </c>
      <c r="F54" s="64" t="s">
        <v>149</v>
      </c>
      <c r="G54" s="64" t="s">
        <v>113</v>
      </c>
      <c r="H54" s="66" t="n">
        <v>46280.375</v>
      </c>
      <c r="I54" s="66" t="n">
        <v>46280.4590277778</v>
      </c>
      <c r="J54" s="64" t="n">
        <v>8</v>
      </c>
      <c r="K54" s="64" t="s">
        <v>284</v>
      </c>
      <c r="L54" s="64" t="s">
        <v>280</v>
      </c>
      <c r="M54" s="67" t="str">
        <f aca="false">IF(A54="","",IF(AND(B54&gt;=WeekStart,B54&lt;=WeekEnd),"Yes","No"))</f>
        <v>Yes</v>
      </c>
      <c r="N54" s="67" t="str">
        <f aca="false">IF(A54="","",IF(L54&lt;&gt;"Verified","Not verified",IF(COUNTIFS(in_CGID,C54,in_ClientID,E54,in_Svc,G54)&gt;0,"Yes","Not entered")))</f>
        <v>Yes</v>
      </c>
    </row>
    <row r="55" customFormat="false" ht="15" hidden="false" customHeight="false" outlineLevel="0" collapsed="false">
      <c r="A55" s="64" t="s">
        <v>392</v>
      </c>
      <c r="B55" s="65" t="n">
        <v>46280</v>
      </c>
      <c r="C55" s="64" t="s">
        <v>309</v>
      </c>
      <c r="D55" s="64" t="s">
        <v>167</v>
      </c>
      <c r="E55" s="64" t="s">
        <v>325</v>
      </c>
      <c r="F55" s="64" t="s">
        <v>168</v>
      </c>
      <c r="G55" s="64" t="s">
        <v>113</v>
      </c>
      <c r="H55" s="66" t="n">
        <v>46280.3930555556</v>
      </c>
      <c r="I55" s="66" t="n">
        <v>46280.5</v>
      </c>
      <c r="J55" s="64" t="n">
        <v>10</v>
      </c>
      <c r="K55" s="64" t="s">
        <v>284</v>
      </c>
      <c r="L55" s="64" t="s">
        <v>280</v>
      </c>
      <c r="M55" s="67" t="str">
        <f aca="false">IF(A55="","",IF(AND(B55&gt;=WeekStart,B55&lt;=WeekEnd),"Yes","No"))</f>
        <v>Yes</v>
      </c>
      <c r="N55" s="67" t="str">
        <f aca="false">IF(A55="","",IF(L55&lt;&gt;"Verified","Not verified",IF(COUNTIFS(in_CGID,C55,in_ClientID,E55,in_Svc,G55)&gt;0,"Yes","Not entered")))</f>
        <v>Yes</v>
      </c>
    </row>
    <row r="56" customFormat="false" ht="15" hidden="false" customHeight="false" outlineLevel="0" collapsed="false">
      <c r="A56" s="64" t="s">
        <v>393</v>
      </c>
      <c r="B56" s="65" t="n">
        <v>46280</v>
      </c>
      <c r="C56" s="64" t="s">
        <v>357</v>
      </c>
      <c r="D56" s="64" t="s">
        <v>160</v>
      </c>
      <c r="E56" s="64" t="s">
        <v>358</v>
      </c>
      <c r="F56" s="64" t="s">
        <v>161</v>
      </c>
      <c r="G56" s="64" t="s">
        <v>110</v>
      </c>
      <c r="H56" s="66" t="n">
        <v>46280.3944444444</v>
      </c>
      <c r="I56" s="66" t="n">
        <v>46280.5402777778</v>
      </c>
      <c r="J56" s="64" t="n">
        <v>14</v>
      </c>
      <c r="K56" s="64" t="s">
        <v>279</v>
      </c>
      <c r="L56" s="64" t="s">
        <v>280</v>
      </c>
      <c r="M56" s="67" t="str">
        <f aca="false">IF(A56="","",IF(AND(B56&gt;=WeekStart,B56&lt;=WeekEnd),"Yes","No"))</f>
        <v>Yes</v>
      </c>
      <c r="N56" s="67" t="str">
        <f aca="false">IF(A56="","",IF(L56&lt;&gt;"Verified","Not verified",IF(COUNTIFS(in_CGID,C56,in_ClientID,E56,in_Svc,G56)&gt;0,"Yes","Not entered")))</f>
        <v>Yes</v>
      </c>
    </row>
    <row r="57" customFormat="false" ht="15" hidden="false" customHeight="false" outlineLevel="0" collapsed="false">
      <c r="A57" s="64" t="s">
        <v>394</v>
      </c>
      <c r="B57" s="65" t="n">
        <v>46280</v>
      </c>
      <c r="C57" s="64" t="s">
        <v>395</v>
      </c>
      <c r="D57" s="64" t="s">
        <v>179</v>
      </c>
      <c r="E57" s="64" t="s">
        <v>396</v>
      </c>
      <c r="F57" s="64" t="s">
        <v>180</v>
      </c>
      <c r="G57" s="64" t="s">
        <v>113</v>
      </c>
      <c r="H57" s="66" t="n">
        <v>46280.3944444444</v>
      </c>
      <c r="I57" s="66" t="n">
        <v>46280.5430555556</v>
      </c>
      <c r="J57" s="64" t="n">
        <v>14</v>
      </c>
      <c r="K57" s="64" t="s">
        <v>279</v>
      </c>
      <c r="L57" s="64" t="s">
        <v>280</v>
      </c>
      <c r="M57" s="67" t="str">
        <f aca="false">IF(A57="","",IF(AND(B57&gt;=WeekStart,B57&lt;=WeekEnd),"Yes","No"))</f>
        <v>Yes</v>
      </c>
      <c r="N57" s="67" t="str">
        <f aca="false">IF(A57="","",IF(L57&lt;&gt;"Verified","Not verified",IF(COUNTIFS(in_CGID,C57,in_ClientID,E57,in_Svc,G57)&gt;0,"Yes","Not entered")))</f>
        <v>Yes</v>
      </c>
    </row>
    <row r="58" customFormat="false" ht="15" hidden="false" customHeight="false" outlineLevel="0" collapsed="false">
      <c r="A58" s="64" t="s">
        <v>397</v>
      </c>
      <c r="B58" s="65" t="n">
        <v>46280</v>
      </c>
      <c r="C58" s="64" t="s">
        <v>315</v>
      </c>
      <c r="D58" s="64" t="s">
        <v>158</v>
      </c>
      <c r="E58" s="64" t="s">
        <v>316</v>
      </c>
      <c r="F58" s="64" t="s">
        <v>159</v>
      </c>
      <c r="G58" s="64" t="s">
        <v>113</v>
      </c>
      <c r="H58" s="66" t="n">
        <v>46280.3979166667</v>
      </c>
      <c r="I58" s="66" t="n">
        <v>46280.4798611111</v>
      </c>
      <c r="J58" s="64" t="n">
        <v>8</v>
      </c>
      <c r="K58" s="64" t="s">
        <v>284</v>
      </c>
      <c r="L58" s="64" t="s">
        <v>280</v>
      </c>
      <c r="M58" s="67" t="str">
        <f aca="false">IF(A58="","",IF(AND(B58&gt;=WeekStart,B58&lt;=WeekEnd),"Yes","No"))</f>
        <v>Yes</v>
      </c>
      <c r="N58" s="67" t="str">
        <f aca="false">IF(A58="","",IF(L58&lt;&gt;"Verified","Not verified",IF(COUNTIFS(in_CGID,C58,in_ClientID,E58,in_Svc,G58)&gt;0,"Yes","Not entered")))</f>
        <v>Yes</v>
      </c>
    </row>
    <row r="59" customFormat="false" ht="15" hidden="false" customHeight="false" outlineLevel="0" collapsed="false">
      <c r="A59" s="64" t="s">
        <v>398</v>
      </c>
      <c r="B59" s="65" t="n">
        <v>46280</v>
      </c>
      <c r="C59" s="64" t="s">
        <v>297</v>
      </c>
      <c r="D59" s="64" t="s">
        <v>169</v>
      </c>
      <c r="E59" s="64" t="s">
        <v>298</v>
      </c>
      <c r="F59" s="64" t="s">
        <v>170</v>
      </c>
      <c r="G59" s="64" t="s">
        <v>113</v>
      </c>
      <c r="H59" s="66" t="n">
        <v>46280.4</v>
      </c>
      <c r="I59" s="66" t="n">
        <v>46280.5444444444</v>
      </c>
      <c r="J59" s="64" t="n">
        <v>14</v>
      </c>
      <c r="K59" s="64" t="s">
        <v>284</v>
      </c>
      <c r="L59" s="64" t="s">
        <v>280</v>
      </c>
      <c r="M59" s="67" t="str">
        <f aca="false">IF(A59="","",IF(AND(B59&gt;=WeekStart,B59&lt;=WeekEnd),"Yes","No"))</f>
        <v>Yes</v>
      </c>
      <c r="N59" s="67" t="str">
        <f aca="false">IF(A59="","",IF(L59&lt;&gt;"Verified","Not verified",IF(COUNTIFS(in_CGID,C59,in_ClientID,E59,in_Svc,G59)&gt;0,"Yes","Not entered")))</f>
        <v>Yes</v>
      </c>
    </row>
    <row r="60" customFormat="false" ht="15" hidden="false" customHeight="false" outlineLevel="0" collapsed="false">
      <c r="A60" s="64" t="s">
        <v>399</v>
      </c>
      <c r="B60" s="65" t="n">
        <v>46280</v>
      </c>
      <c r="C60" s="64" t="s">
        <v>400</v>
      </c>
      <c r="D60" s="64" t="s">
        <v>162</v>
      </c>
      <c r="E60" s="64" t="s">
        <v>401</v>
      </c>
      <c r="F60" s="64" t="s">
        <v>163</v>
      </c>
      <c r="G60" s="64" t="s">
        <v>133</v>
      </c>
      <c r="H60" s="66" t="n">
        <v>46280.4138888889</v>
      </c>
      <c r="I60" s="66" t="n">
        <v>46280.5194444444</v>
      </c>
      <c r="J60" s="64" t="n">
        <v>10</v>
      </c>
      <c r="K60" s="64" t="s">
        <v>284</v>
      </c>
      <c r="L60" s="64" t="s">
        <v>280</v>
      </c>
      <c r="M60" s="67" t="str">
        <f aca="false">IF(A60="","",IF(AND(B60&gt;=WeekStart,B60&lt;=WeekEnd),"Yes","No"))</f>
        <v>Yes</v>
      </c>
      <c r="N60" s="67" t="str">
        <f aca="false">IF(A60="","",IF(L60&lt;&gt;"Verified","Not verified",IF(COUNTIFS(in_CGID,C60,in_ClientID,E60,in_Svc,G60)&gt;0,"Yes","Not entered")))</f>
        <v>Yes</v>
      </c>
    </row>
    <row r="61" customFormat="false" ht="15" hidden="false" customHeight="false" outlineLevel="0" collapsed="false">
      <c r="A61" s="64" t="s">
        <v>402</v>
      </c>
      <c r="B61" s="65" t="n">
        <v>46280</v>
      </c>
      <c r="C61" s="64" t="s">
        <v>329</v>
      </c>
      <c r="D61" s="64" t="s">
        <v>176</v>
      </c>
      <c r="E61" s="64" t="s">
        <v>403</v>
      </c>
      <c r="F61" s="64" t="s">
        <v>116</v>
      </c>
      <c r="G61" s="64" t="s">
        <v>117</v>
      </c>
      <c r="H61" s="66" t="n">
        <v>46280.4138888889</v>
      </c>
      <c r="I61" s="66" t="n">
        <v>46280.70625</v>
      </c>
      <c r="J61" s="64" t="n">
        <v>28</v>
      </c>
      <c r="K61" s="64" t="s">
        <v>284</v>
      </c>
      <c r="L61" s="64" t="s">
        <v>280</v>
      </c>
      <c r="M61" s="67" t="str">
        <f aca="false">IF(A61="","",IF(AND(B61&gt;=WeekStart,B61&lt;=WeekEnd),"Yes","No"))</f>
        <v>Yes</v>
      </c>
      <c r="N61" s="67" t="str">
        <f aca="false">IF(A61="","",IF(L61&lt;&gt;"Verified","Not verified",IF(COUNTIFS(in_CGID,C61,in_ClientID,E61,in_Svc,G61)&gt;0,"Yes","Not entered")))</f>
        <v>Yes</v>
      </c>
    </row>
    <row r="62" customFormat="false" ht="15" hidden="false" customHeight="false" outlineLevel="0" collapsed="false">
      <c r="A62" s="64" t="s">
        <v>404</v>
      </c>
      <c r="B62" s="65" t="n">
        <v>46280</v>
      </c>
      <c r="C62" s="64" t="s">
        <v>286</v>
      </c>
      <c r="D62" s="64" t="s">
        <v>139</v>
      </c>
      <c r="E62" s="64" t="s">
        <v>287</v>
      </c>
      <c r="F62" s="64" t="s">
        <v>141</v>
      </c>
      <c r="G62" s="64" t="s">
        <v>133</v>
      </c>
      <c r="H62" s="66" t="n">
        <v>46280.4152777778</v>
      </c>
      <c r="I62" s="66" t="n">
        <v>46280.5402777778</v>
      </c>
      <c r="J62" s="64" t="n">
        <v>12</v>
      </c>
      <c r="K62" s="64" t="s">
        <v>284</v>
      </c>
      <c r="L62" s="64" t="s">
        <v>280</v>
      </c>
      <c r="M62" s="67" t="str">
        <f aca="false">IF(A62="","",IF(AND(B62&gt;=WeekStart,B62&lt;=WeekEnd),"Yes","No"))</f>
        <v>Yes</v>
      </c>
      <c r="N62" s="67" t="str">
        <f aca="false">IF(A62="","",IF(L62&lt;&gt;"Verified","Not verified",IF(COUNTIFS(in_CGID,C62,in_ClientID,E62,in_Svc,G62)&gt;0,"Yes","Not entered")))</f>
        <v>Yes</v>
      </c>
    </row>
    <row r="63" customFormat="false" ht="15" hidden="false" customHeight="false" outlineLevel="0" collapsed="false">
      <c r="A63" s="64" t="s">
        <v>405</v>
      </c>
      <c r="B63" s="65" t="n">
        <v>46280</v>
      </c>
      <c r="C63" s="64" t="s">
        <v>286</v>
      </c>
      <c r="D63" s="64" t="s">
        <v>139</v>
      </c>
      <c r="E63" s="64" t="s">
        <v>373</v>
      </c>
      <c r="F63" s="64" t="s">
        <v>140</v>
      </c>
      <c r="G63" s="64" t="s">
        <v>113</v>
      </c>
      <c r="H63" s="66" t="n">
        <v>46280.4166666667</v>
      </c>
      <c r="I63" s="66" t="n">
        <v>46280.5833333333</v>
      </c>
      <c r="J63" s="64" t="n">
        <v>16</v>
      </c>
      <c r="K63" s="64" t="s">
        <v>284</v>
      </c>
      <c r="L63" s="64" t="s">
        <v>280</v>
      </c>
      <c r="M63" s="67" t="str">
        <f aca="false">IF(A63="","",IF(AND(B63&gt;=WeekStart,B63&lt;=WeekEnd),"Yes","No"))</f>
        <v>Yes</v>
      </c>
      <c r="N63" s="67" t="str">
        <f aca="false">IF(A63="","",IF(L63&lt;&gt;"Verified","Not verified",IF(COUNTIFS(in_CGID,C63,in_ClientID,E63,in_Svc,G63)&gt;0,"Yes","Not entered")))</f>
        <v>Yes</v>
      </c>
    </row>
    <row r="64" customFormat="false" ht="15" hidden="false" customHeight="false" outlineLevel="0" collapsed="false">
      <c r="A64" s="64" t="s">
        <v>406</v>
      </c>
      <c r="B64" s="65" t="n">
        <v>46280</v>
      </c>
      <c r="C64" s="64" t="s">
        <v>347</v>
      </c>
      <c r="D64" s="64" t="s">
        <v>134</v>
      </c>
      <c r="E64" s="64" t="s">
        <v>361</v>
      </c>
      <c r="F64" s="64" t="s">
        <v>132</v>
      </c>
      <c r="G64" s="64" t="s">
        <v>113</v>
      </c>
      <c r="H64" s="66" t="n">
        <v>46280.4173611111</v>
      </c>
      <c r="I64" s="66" t="n">
        <v>46280.5854166667</v>
      </c>
      <c r="J64" s="64" t="n">
        <v>16</v>
      </c>
      <c r="K64" s="64" t="s">
        <v>284</v>
      </c>
      <c r="L64" s="64" t="s">
        <v>280</v>
      </c>
      <c r="M64" s="67" t="str">
        <f aca="false">IF(A64="","",IF(AND(B64&gt;=WeekStart,B64&lt;=WeekEnd),"Yes","No"))</f>
        <v>Yes</v>
      </c>
      <c r="N64" s="67" t="str">
        <f aca="false">IF(A64="","",IF(L64&lt;&gt;"Verified","Not verified",IF(COUNTIFS(in_CGID,C64,in_ClientID,E64,in_Svc,G64)&gt;0,"Yes","Not entered")))</f>
        <v>Yes</v>
      </c>
    </row>
    <row r="65" customFormat="false" ht="15" hidden="false" customHeight="false" outlineLevel="0" collapsed="false">
      <c r="A65" s="64" t="s">
        <v>407</v>
      </c>
      <c r="B65" s="65" t="n">
        <v>46280</v>
      </c>
      <c r="C65" s="64" t="s">
        <v>355</v>
      </c>
      <c r="D65" s="64" t="s">
        <v>193</v>
      </c>
      <c r="E65" s="64" t="s">
        <v>330</v>
      </c>
      <c r="F65" s="64" t="s">
        <v>152</v>
      </c>
      <c r="G65" s="64" t="s">
        <v>113</v>
      </c>
      <c r="H65" s="66" t="n">
        <v>46280.4173611111</v>
      </c>
      <c r="I65" s="66" t="n">
        <v>46280.5659722222</v>
      </c>
      <c r="J65" s="64" t="n">
        <v>14</v>
      </c>
      <c r="K65" s="64" t="s">
        <v>284</v>
      </c>
      <c r="L65" s="64" t="s">
        <v>280</v>
      </c>
      <c r="M65" s="67" t="str">
        <f aca="false">IF(A65="","",IF(AND(B65&gt;=WeekStart,B65&lt;=WeekEnd),"Yes","No"))</f>
        <v>Yes</v>
      </c>
      <c r="N65" s="67" t="str">
        <f aca="false">IF(A65="","",IF(L65&lt;&gt;"Verified","Not verified",IF(COUNTIFS(in_CGID,C65,in_ClientID,E65,in_Svc,G65)&gt;0,"Yes","Not entered")))</f>
        <v>Yes</v>
      </c>
    </row>
    <row r="66" customFormat="false" ht="15" hidden="false" customHeight="false" outlineLevel="0" collapsed="false">
      <c r="A66" s="64" t="s">
        <v>408</v>
      </c>
      <c r="B66" s="65" t="n">
        <v>46280</v>
      </c>
      <c r="C66" s="64" t="s">
        <v>355</v>
      </c>
      <c r="D66" s="64" t="s">
        <v>193</v>
      </c>
      <c r="E66" s="64" t="s">
        <v>388</v>
      </c>
      <c r="F66" s="64" t="s">
        <v>186</v>
      </c>
      <c r="G66" s="64" t="s">
        <v>113</v>
      </c>
      <c r="H66" s="66" t="n">
        <v>46280.41875</v>
      </c>
      <c r="I66" s="66" t="n">
        <v>46280.5444444444</v>
      </c>
      <c r="J66" s="64" t="n">
        <v>12</v>
      </c>
      <c r="K66" s="64" t="s">
        <v>284</v>
      </c>
      <c r="L66" s="64" t="s">
        <v>280</v>
      </c>
      <c r="M66" s="67" t="str">
        <f aca="false">IF(A66="","",IF(AND(B66&gt;=WeekStart,B66&lt;=WeekEnd),"Yes","No"))</f>
        <v>Yes</v>
      </c>
      <c r="N66" s="67" t="str">
        <f aca="false">IF(A66="","",IF(L66&lt;&gt;"Verified","Not verified",IF(COUNTIFS(in_CGID,C66,in_ClientID,E66,in_Svc,G66)&gt;0,"Yes","Not entered")))</f>
        <v>Yes</v>
      </c>
    </row>
    <row r="67" customFormat="false" ht="15" hidden="false" customHeight="false" outlineLevel="0" collapsed="false">
      <c r="A67" s="64" t="s">
        <v>409</v>
      </c>
      <c r="B67" s="65" t="n">
        <v>46280</v>
      </c>
      <c r="C67" s="64" t="s">
        <v>323</v>
      </c>
      <c r="D67" s="64" t="s">
        <v>115</v>
      </c>
      <c r="E67" s="64" t="s">
        <v>310</v>
      </c>
      <c r="F67" s="64" t="s">
        <v>118</v>
      </c>
      <c r="G67" s="64" t="s">
        <v>113</v>
      </c>
      <c r="H67" s="66" t="n">
        <v>46280.4972222222</v>
      </c>
      <c r="I67" s="66" t="n">
        <v>46280.6638888889</v>
      </c>
      <c r="J67" s="64" t="n">
        <v>16</v>
      </c>
      <c r="K67" s="64" t="s">
        <v>284</v>
      </c>
      <c r="L67" s="64" t="s">
        <v>280</v>
      </c>
      <c r="M67" s="67" t="str">
        <f aca="false">IF(A67="","",IF(AND(B67&gt;=WeekStart,B67&lt;=WeekEnd),"Yes","No"))</f>
        <v>Yes</v>
      </c>
      <c r="N67" s="67" t="str">
        <f aca="false">IF(A67="","",IF(L67&lt;&gt;"Verified","Not verified",IF(COUNTIFS(in_CGID,C67,in_ClientID,E67,in_Svc,G67)&gt;0,"Yes","Not entered")))</f>
        <v>Yes</v>
      </c>
    </row>
    <row r="68" customFormat="false" ht="15" hidden="false" customHeight="false" outlineLevel="0" collapsed="false">
      <c r="A68" s="64" t="s">
        <v>410</v>
      </c>
      <c r="B68" s="65" t="n">
        <v>46280</v>
      </c>
      <c r="C68" s="64" t="s">
        <v>305</v>
      </c>
      <c r="D68" s="64" t="s">
        <v>121</v>
      </c>
      <c r="E68" s="64" t="s">
        <v>411</v>
      </c>
      <c r="F68" s="64" t="s">
        <v>124</v>
      </c>
      <c r="G68" s="64" t="s">
        <v>110</v>
      </c>
      <c r="H68" s="66" t="n">
        <v>46280.4972222222</v>
      </c>
      <c r="I68" s="66" t="n">
        <v>46280.625</v>
      </c>
      <c r="J68" s="64" t="n">
        <v>12</v>
      </c>
      <c r="K68" s="64" t="s">
        <v>284</v>
      </c>
      <c r="L68" s="64" t="s">
        <v>280</v>
      </c>
      <c r="M68" s="67" t="str">
        <f aca="false">IF(A68="","",IF(AND(B68&gt;=WeekStart,B68&lt;=WeekEnd),"Yes","No"))</f>
        <v>Yes</v>
      </c>
      <c r="N68" s="67" t="str">
        <f aca="false">IF(A68="","",IF(L68&lt;&gt;"Verified","Not verified",IF(COUNTIFS(in_CGID,C68,in_ClientID,E68,in_Svc,G68)&gt;0,"Yes","Not entered")))</f>
        <v>Yes</v>
      </c>
    </row>
    <row r="69" customFormat="false" ht="15" hidden="false" customHeight="false" outlineLevel="0" collapsed="false">
      <c r="A69" s="64" t="s">
        <v>412</v>
      </c>
      <c r="B69" s="65" t="n">
        <v>46280</v>
      </c>
      <c r="C69" s="64" t="s">
        <v>282</v>
      </c>
      <c r="D69" s="64" t="s">
        <v>145</v>
      </c>
      <c r="E69" s="64" t="s">
        <v>283</v>
      </c>
      <c r="F69" s="64" t="s">
        <v>147</v>
      </c>
      <c r="G69" s="64" t="s">
        <v>110</v>
      </c>
      <c r="H69" s="66" t="n">
        <v>46280.5</v>
      </c>
      <c r="I69" s="66" t="n">
        <v>46280.5833333333</v>
      </c>
      <c r="J69" s="64" t="n">
        <v>8</v>
      </c>
      <c r="K69" s="64" t="s">
        <v>284</v>
      </c>
      <c r="L69" s="64" t="s">
        <v>280</v>
      </c>
      <c r="M69" s="67" t="str">
        <f aca="false">IF(A69="","",IF(AND(B69&gt;=WeekStart,B69&lt;=WeekEnd),"Yes","No"))</f>
        <v>Yes</v>
      </c>
      <c r="N69" s="67" t="str">
        <f aca="false">IF(A69="","",IF(L69&lt;&gt;"Verified","Not verified",IF(COUNTIFS(in_CGID,C69,in_ClientID,E69,in_Svc,G69)&gt;0,"Yes","Not entered")))</f>
        <v>Yes</v>
      </c>
    </row>
    <row r="70" customFormat="false" ht="15" hidden="false" customHeight="false" outlineLevel="0" collapsed="false">
      <c r="A70" s="64" t="s">
        <v>413</v>
      </c>
      <c r="B70" s="65" t="n">
        <v>46280</v>
      </c>
      <c r="C70" s="64" t="s">
        <v>342</v>
      </c>
      <c r="D70" s="64" t="s">
        <v>137</v>
      </c>
      <c r="E70" s="64" t="s">
        <v>343</v>
      </c>
      <c r="F70" s="64" t="s">
        <v>138</v>
      </c>
      <c r="G70" s="64" t="s">
        <v>110</v>
      </c>
      <c r="H70" s="66" t="n">
        <v>46280.5</v>
      </c>
      <c r="I70" s="66" t="n">
        <v>46280.625</v>
      </c>
      <c r="J70" s="64" t="n">
        <v>12</v>
      </c>
      <c r="K70" s="64" t="s">
        <v>288</v>
      </c>
      <c r="L70" s="64" t="s">
        <v>280</v>
      </c>
      <c r="M70" s="67" t="str">
        <f aca="false">IF(A70="","",IF(AND(B70&gt;=WeekStart,B70&lt;=WeekEnd),"Yes","No"))</f>
        <v>Yes</v>
      </c>
      <c r="N70" s="67" t="str">
        <f aca="false">IF(A70="","",IF(L70&lt;&gt;"Verified","Not verified",IF(COUNTIFS(in_CGID,C70,in_ClientID,E70,in_Svc,G70)&gt;0,"Yes","Not entered")))</f>
        <v>Not entered</v>
      </c>
    </row>
    <row r="71" customFormat="false" ht="15" hidden="false" customHeight="false" outlineLevel="0" collapsed="false">
      <c r="A71" s="64" t="s">
        <v>414</v>
      </c>
      <c r="B71" s="65" t="n">
        <v>46280</v>
      </c>
      <c r="C71" s="64" t="s">
        <v>286</v>
      </c>
      <c r="D71" s="64" t="s">
        <v>139</v>
      </c>
      <c r="E71" s="64" t="s">
        <v>290</v>
      </c>
      <c r="F71" s="64" t="s">
        <v>122</v>
      </c>
      <c r="G71" s="64" t="s">
        <v>113</v>
      </c>
      <c r="H71" s="66" t="n">
        <v>46280.5006944445</v>
      </c>
      <c r="I71" s="66" t="n">
        <v>46280.60625</v>
      </c>
      <c r="J71" s="64" t="n">
        <v>10</v>
      </c>
      <c r="K71" s="64" t="s">
        <v>284</v>
      </c>
      <c r="L71" s="64" t="s">
        <v>280</v>
      </c>
      <c r="M71" s="67" t="str">
        <f aca="false">IF(A71="","",IF(AND(B71&gt;=WeekStart,B71&lt;=WeekEnd),"Yes","No"))</f>
        <v>Yes</v>
      </c>
      <c r="N71" s="67" t="str">
        <f aca="false">IF(A71="","",IF(L71&lt;&gt;"Verified","Not verified",IF(COUNTIFS(in_CGID,C71,in_ClientID,E71,in_Svc,G71)&gt;0,"Yes","Not entered")))</f>
        <v>Yes</v>
      </c>
    </row>
    <row r="72" customFormat="false" ht="15" hidden="false" customHeight="false" outlineLevel="0" collapsed="false">
      <c r="A72" s="64" t="s">
        <v>415</v>
      </c>
      <c r="B72" s="65" t="n">
        <v>46280</v>
      </c>
      <c r="C72" s="64" t="s">
        <v>416</v>
      </c>
      <c r="D72" s="64" t="s">
        <v>178</v>
      </c>
      <c r="E72" s="64" t="s">
        <v>417</v>
      </c>
      <c r="F72" s="64" t="s">
        <v>128</v>
      </c>
      <c r="G72" s="64" t="s">
        <v>117</v>
      </c>
      <c r="H72" s="66" t="n">
        <v>46280.5006944445</v>
      </c>
      <c r="I72" s="66" t="n">
        <v>46280.7326388889</v>
      </c>
      <c r="J72" s="64" t="n">
        <v>22</v>
      </c>
      <c r="K72" s="64" t="s">
        <v>279</v>
      </c>
      <c r="L72" s="64" t="s">
        <v>280</v>
      </c>
      <c r="M72" s="67" t="str">
        <f aca="false">IF(A72="","",IF(AND(B72&gt;=WeekStart,B72&lt;=WeekEnd),"Yes","No"))</f>
        <v>Yes</v>
      </c>
      <c r="N72" s="67" t="str">
        <f aca="false">IF(A72="","",IF(L72&lt;&gt;"Verified","Not verified",IF(COUNTIFS(in_CGID,C72,in_ClientID,E72,in_Svc,G72)&gt;0,"Yes","Not entered")))</f>
        <v>Yes</v>
      </c>
    </row>
    <row r="73" customFormat="false" ht="15" hidden="false" customHeight="false" outlineLevel="0" collapsed="false">
      <c r="A73" s="64" t="s">
        <v>418</v>
      </c>
      <c r="B73" s="65" t="n">
        <v>46280</v>
      </c>
      <c r="C73" s="64" t="s">
        <v>335</v>
      </c>
      <c r="D73" s="64" t="s">
        <v>151</v>
      </c>
      <c r="E73" s="64" t="s">
        <v>337</v>
      </c>
      <c r="F73" s="64" t="s">
        <v>123</v>
      </c>
      <c r="G73" s="64" t="s">
        <v>113</v>
      </c>
      <c r="H73" s="66" t="n">
        <v>46280.5402777778</v>
      </c>
      <c r="I73" s="66" t="n">
        <v>46280.6236111111</v>
      </c>
      <c r="J73" s="64" t="n">
        <v>8</v>
      </c>
      <c r="K73" s="64" t="s">
        <v>284</v>
      </c>
      <c r="L73" s="64" t="s">
        <v>280</v>
      </c>
      <c r="M73" s="67" t="str">
        <f aca="false">IF(A73="","",IF(AND(B73&gt;=WeekStart,B73&lt;=WeekEnd),"Yes","No"))</f>
        <v>Yes</v>
      </c>
      <c r="N73" s="67" t="str">
        <f aca="false">IF(A73="","",IF(L73&lt;&gt;"Verified","Not verified",IF(COUNTIFS(in_CGID,C73,in_ClientID,E73,in_Svc,G73)&gt;0,"Yes","Not entered")))</f>
        <v>Yes</v>
      </c>
    </row>
    <row r="74" customFormat="false" ht="15" hidden="false" customHeight="false" outlineLevel="0" collapsed="false">
      <c r="A74" s="64" t="s">
        <v>419</v>
      </c>
      <c r="B74" s="65" t="n">
        <v>46280</v>
      </c>
      <c r="C74" s="64" t="s">
        <v>305</v>
      </c>
      <c r="D74" s="64" t="s">
        <v>121</v>
      </c>
      <c r="E74" s="64" t="s">
        <v>337</v>
      </c>
      <c r="F74" s="64" t="s">
        <v>123</v>
      </c>
      <c r="G74" s="64" t="s">
        <v>113</v>
      </c>
      <c r="H74" s="66" t="n">
        <v>46280.5416666667</v>
      </c>
      <c r="I74" s="66" t="n">
        <v>46280.7097222222</v>
      </c>
      <c r="J74" s="64" t="n">
        <v>16</v>
      </c>
      <c r="K74" s="64" t="s">
        <v>284</v>
      </c>
      <c r="L74" s="64" t="s">
        <v>280</v>
      </c>
      <c r="M74" s="67" t="str">
        <f aca="false">IF(A74="","",IF(AND(B74&gt;=WeekStart,B74&lt;=WeekEnd),"Yes","No"))</f>
        <v>Yes</v>
      </c>
      <c r="N74" s="67" t="str">
        <f aca="false">IF(A74="","",IF(L74&lt;&gt;"Verified","Not verified",IF(COUNTIFS(in_CGID,C74,in_ClientID,E74,in_Svc,G74)&gt;0,"Yes","Not entered")))</f>
        <v>Yes</v>
      </c>
    </row>
    <row r="75" customFormat="false" ht="15" hidden="false" customHeight="false" outlineLevel="0" collapsed="false">
      <c r="A75" s="64" t="s">
        <v>420</v>
      </c>
      <c r="B75" s="65" t="n">
        <v>46280</v>
      </c>
      <c r="C75" s="64" t="s">
        <v>421</v>
      </c>
      <c r="D75" s="64" t="s">
        <v>127</v>
      </c>
      <c r="E75" s="64" t="s">
        <v>417</v>
      </c>
      <c r="F75" s="64" t="s">
        <v>128</v>
      </c>
      <c r="G75" s="64" t="s">
        <v>113</v>
      </c>
      <c r="H75" s="66" t="n">
        <v>46280.5416666667</v>
      </c>
      <c r="I75" s="66" t="n">
        <v>46280.6694444444</v>
      </c>
      <c r="J75" s="64" t="n">
        <v>12</v>
      </c>
      <c r="K75" s="64" t="s">
        <v>284</v>
      </c>
      <c r="L75" s="64" t="s">
        <v>280</v>
      </c>
      <c r="M75" s="67" t="str">
        <f aca="false">IF(A75="","",IF(AND(B75&gt;=WeekStart,B75&lt;=WeekEnd),"Yes","No"))</f>
        <v>Yes</v>
      </c>
      <c r="N75" s="67" t="str">
        <f aca="false">IF(A75="","",IF(L75&lt;&gt;"Verified","Not verified",IF(COUNTIFS(in_CGID,C75,in_ClientID,E75,in_Svc,G75)&gt;0,"Yes","Not entered")))</f>
        <v>Yes</v>
      </c>
    </row>
    <row r="76" customFormat="false" ht="15" hidden="false" customHeight="false" outlineLevel="0" collapsed="false">
      <c r="A76" s="64" t="s">
        <v>422</v>
      </c>
      <c r="B76" s="65" t="n">
        <v>46280</v>
      </c>
      <c r="C76" s="64" t="s">
        <v>332</v>
      </c>
      <c r="D76" s="64" t="s">
        <v>171</v>
      </c>
      <c r="E76" s="64" t="s">
        <v>333</v>
      </c>
      <c r="F76" s="64" t="s">
        <v>172</v>
      </c>
      <c r="G76" s="64" t="s">
        <v>113</v>
      </c>
      <c r="H76" s="66" t="n">
        <v>46280.5416666667</v>
      </c>
      <c r="I76" s="66" t="n">
        <v>46280.6875</v>
      </c>
      <c r="J76" s="64" t="n">
        <v>14</v>
      </c>
      <c r="K76" s="64" t="s">
        <v>284</v>
      </c>
      <c r="L76" s="64" t="s">
        <v>280</v>
      </c>
      <c r="M76" s="67" t="str">
        <f aca="false">IF(A76="","",IF(AND(B76&gt;=WeekStart,B76&lt;=WeekEnd),"Yes","No"))</f>
        <v>Yes</v>
      </c>
      <c r="N76" s="67" t="str">
        <f aca="false">IF(A76="","",IF(L76&lt;&gt;"Verified","Not verified",IF(COUNTIFS(in_CGID,C76,in_ClientID,E76,in_Svc,G76)&gt;0,"Yes","Not entered")))</f>
        <v>Yes</v>
      </c>
    </row>
    <row r="77" customFormat="false" ht="15" hidden="false" customHeight="false" outlineLevel="0" collapsed="false">
      <c r="A77" s="64" t="s">
        <v>423</v>
      </c>
      <c r="B77" s="65" t="n">
        <v>46280</v>
      </c>
      <c r="C77" s="64" t="s">
        <v>277</v>
      </c>
      <c r="D77" s="64" t="s">
        <v>108</v>
      </c>
      <c r="E77" s="64" t="s">
        <v>321</v>
      </c>
      <c r="F77" s="64" t="s">
        <v>112</v>
      </c>
      <c r="G77" s="64" t="s">
        <v>113</v>
      </c>
      <c r="H77" s="66" t="n">
        <v>46280.5416666667</v>
      </c>
      <c r="I77" s="66" t="n">
        <v>46280.6444444444</v>
      </c>
      <c r="J77" s="64" t="n">
        <v>10</v>
      </c>
      <c r="K77" s="64" t="s">
        <v>284</v>
      </c>
      <c r="L77" s="64" t="s">
        <v>280</v>
      </c>
      <c r="M77" s="67" t="str">
        <f aca="false">IF(A77="","",IF(AND(B77&gt;=WeekStart,B77&lt;=WeekEnd),"Yes","No"))</f>
        <v>Yes</v>
      </c>
      <c r="N77" s="67" t="str">
        <f aca="false">IF(A77="","",IF(L77&lt;&gt;"Verified","Not verified",IF(COUNTIFS(in_CGID,C77,in_ClientID,E77,in_Svc,G77)&gt;0,"Yes","Not entered")))</f>
        <v>Yes</v>
      </c>
    </row>
    <row r="78" customFormat="false" ht="15" hidden="false" customHeight="false" outlineLevel="0" collapsed="false">
      <c r="A78" s="64" t="s">
        <v>424</v>
      </c>
      <c r="B78" s="65" t="n">
        <v>46280</v>
      </c>
      <c r="C78" s="64" t="s">
        <v>425</v>
      </c>
      <c r="D78" s="64" t="s">
        <v>131</v>
      </c>
      <c r="E78" s="64" t="s">
        <v>361</v>
      </c>
      <c r="F78" s="64" t="s">
        <v>132</v>
      </c>
      <c r="G78" s="64" t="s">
        <v>133</v>
      </c>
      <c r="H78" s="66" t="n">
        <v>46280.6236111111</v>
      </c>
      <c r="I78" s="66" t="n">
        <v>46280.7486111111</v>
      </c>
      <c r="J78" s="64" t="n">
        <v>12</v>
      </c>
      <c r="K78" s="64" t="s">
        <v>284</v>
      </c>
      <c r="L78" s="64" t="s">
        <v>280</v>
      </c>
      <c r="M78" s="67" t="str">
        <f aca="false">IF(A78="","",IF(AND(B78&gt;=WeekStart,B78&lt;=WeekEnd),"Yes","No"))</f>
        <v>Yes</v>
      </c>
      <c r="N78" s="67" t="str">
        <f aca="false">IF(A78="","",IF(L78&lt;&gt;"Verified","Not verified",IF(COUNTIFS(in_CGID,C78,in_ClientID,E78,in_Svc,G78)&gt;0,"Yes","Not entered")))</f>
        <v>Yes</v>
      </c>
    </row>
    <row r="79" customFormat="false" ht="15" hidden="false" customHeight="false" outlineLevel="0" collapsed="false">
      <c r="A79" s="64" t="s">
        <v>426</v>
      </c>
      <c r="B79" s="65" t="n">
        <v>46280</v>
      </c>
      <c r="C79" s="64" t="s">
        <v>427</v>
      </c>
      <c r="D79" s="64" t="s">
        <v>175</v>
      </c>
      <c r="E79" s="64" t="s">
        <v>358</v>
      </c>
      <c r="F79" s="64" t="s">
        <v>161</v>
      </c>
      <c r="G79" s="64" t="s">
        <v>110</v>
      </c>
      <c r="H79" s="66" t="n">
        <v>46280.625</v>
      </c>
      <c r="I79" s="66" t="n">
        <v>46280.7930555556</v>
      </c>
      <c r="J79" s="64" t="n">
        <v>16</v>
      </c>
      <c r="K79" s="64" t="s">
        <v>279</v>
      </c>
      <c r="L79" s="64" t="s">
        <v>280</v>
      </c>
      <c r="M79" s="67" t="str">
        <f aca="false">IF(A79="","",IF(AND(B79&gt;=WeekStart,B79&lt;=WeekEnd),"Yes","No"))</f>
        <v>Yes</v>
      </c>
      <c r="N79" s="67" t="str">
        <f aca="false">IF(A79="","",IF(L79&lt;&gt;"Verified","Not verified",IF(COUNTIFS(in_CGID,C79,in_ClientID,E79,in_Svc,G79)&gt;0,"Yes","Not entered")))</f>
        <v>Yes</v>
      </c>
    </row>
    <row r="80" customFormat="false" ht="15" hidden="false" customHeight="false" outlineLevel="0" collapsed="false">
      <c r="A80" s="64" t="s">
        <v>428</v>
      </c>
      <c r="B80" s="65" t="n">
        <v>46280</v>
      </c>
      <c r="C80" s="64" t="s">
        <v>277</v>
      </c>
      <c r="D80" s="64" t="s">
        <v>108</v>
      </c>
      <c r="E80" s="64" t="s">
        <v>278</v>
      </c>
      <c r="F80" s="64" t="s">
        <v>109</v>
      </c>
      <c r="G80" s="64" t="s">
        <v>110</v>
      </c>
      <c r="H80" s="66" t="n">
        <v>46280.6256944445</v>
      </c>
      <c r="I80" s="66" t="n">
        <v>46280.7284722222</v>
      </c>
      <c r="J80" s="64" t="n">
        <v>10</v>
      </c>
      <c r="K80" s="64" t="s">
        <v>284</v>
      </c>
      <c r="L80" s="64" t="s">
        <v>280</v>
      </c>
      <c r="M80" s="67" t="str">
        <f aca="false">IF(A80="","",IF(AND(B80&gt;=WeekStart,B80&lt;=WeekEnd),"Yes","No"))</f>
        <v>Yes</v>
      </c>
      <c r="N80" s="67" t="str">
        <f aca="false">IF(A80="","",IF(L80&lt;&gt;"Verified","Not verified",IF(COUNTIFS(in_CGID,C80,in_ClientID,E80,in_Svc,G80)&gt;0,"Yes","Not entered")))</f>
        <v>Yes</v>
      </c>
    </row>
    <row r="81" customFormat="false" ht="15" hidden="false" customHeight="false" outlineLevel="0" collapsed="false">
      <c r="A81" s="64" t="s">
        <v>429</v>
      </c>
      <c r="B81" s="65" t="n">
        <v>46281</v>
      </c>
      <c r="C81" s="64" t="s">
        <v>360</v>
      </c>
      <c r="D81" s="64" t="s">
        <v>150</v>
      </c>
      <c r="E81" s="64" t="s">
        <v>361</v>
      </c>
      <c r="F81" s="64" t="s">
        <v>132</v>
      </c>
      <c r="G81" s="64" t="s">
        <v>133</v>
      </c>
      <c r="H81" s="66" t="n">
        <v>46281.2916666667</v>
      </c>
      <c r="I81" s="66" t="n">
        <v>46281.3944444444</v>
      </c>
      <c r="J81" s="64" t="n">
        <v>10</v>
      </c>
      <c r="K81" s="64" t="s">
        <v>284</v>
      </c>
      <c r="L81" s="64" t="s">
        <v>280</v>
      </c>
      <c r="M81" s="67" t="str">
        <f aca="false">IF(A81="","",IF(AND(B81&gt;=WeekStart,B81&lt;=WeekEnd),"Yes","No"))</f>
        <v>Yes</v>
      </c>
      <c r="N81" s="67" t="str">
        <f aca="false">IF(A81="","",IF(L81&lt;&gt;"Verified","Not verified",IF(COUNTIFS(in_CGID,C81,in_ClientID,E81,in_Svc,G81)&gt;0,"Yes","Not entered")))</f>
        <v>Yes</v>
      </c>
    </row>
    <row r="82" customFormat="false" ht="15" hidden="false" customHeight="false" outlineLevel="0" collapsed="false">
      <c r="A82" s="64" t="s">
        <v>430</v>
      </c>
      <c r="B82" s="65" t="n">
        <v>46281</v>
      </c>
      <c r="C82" s="64" t="s">
        <v>375</v>
      </c>
      <c r="D82" s="64" t="s">
        <v>191</v>
      </c>
      <c r="E82" s="64" t="s">
        <v>333</v>
      </c>
      <c r="F82" s="64" t="s">
        <v>172</v>
      </c>
      <c r="G82" s="64" t="s">
        <v>113</v>
      </c>
      <c r="H82" s="66" t="n">
        <v>46281.2923611111</v>
      </c>
      <c r="I82" s="66" t="n">
        <v>46281.41875</v>
      </c>
      <c r="J82" s="64" t="n">
        <v>12</v>
      </c>
      <c r="K82" s="64" t="s">
        <v>288</v>
      </c>
      <c r="L82" s="64" t="s">
        <v>280</v>
      </c>
      <c r="M82" s="67" t="str">
        <f aca="false">IF(A82="","",IF(AND(B82&gt;=WeekStart,B82&lt;=WeekEnd),"Yes","No"))</f>
        <v>Yes</v>
      </c>
      <c r="N82" s="67" t="str">
        <f aca="false">IF(A82="","",IF(L82&lt;&gt;"Verified","Not verified",IF(COUNTIFS(in_CGID,C82,in_ClientID,E82,in_Svc,G82)&gt;0,"Yes","Not entered")))</f>
        <v>Yes</v>
      </c>
    </row>
    <row r="83" customFormat="false" ht="15" hidden="false" customHeight="false" outlineLevel="0" collapsed="false">
      <c r="A83" s="64" t="s">
        <v>431</v>
      </c>
      <c r="B83" s="65" t="n">
        <v>46281</v>
      </c>
      <c r="C83" s="64" t="s">
        <v>282</v>
      </c>
      <c r="D83" s="64" t="s">
        <v>145</v>
      </c>
      <c r="E83" s="64" t="s">
        <v>283</v>
      </c>
      <c r="F83" s="64" t="s">
        <v>147</v>
      </c>
      <c r="G83" s="64" t="s">
        <v>110</v>
      </c>
      <c r="H83" s="66" t="n">
        <v>46281.2958333333</v>
      </c>
      <c r="I83" s="66" t="n">
        <v>46281.4215277778</v>
      </c>
      <c r="J83" s="64" t="n">
        <v>12</v>
      </c>
      <c r="K83" s="64" t="s">
        <v>284</v>
      </c>
      <c r="L83" s="64" t="s">
        <v>280</v>
      </c>
      <c r="M83" s="67" t="str">
        <f aca="false">IF(A83="","",IF(AND(B83&gt;=WeekStart,B83&lt;=WeekEnd),"Yes","No"))</f>
        <v>Yes</v>
      </c>
      <c r="N83" s="67" t="str">
        <f aca="false">IF(A83="","",IF(L83&lt;&gt;"Verified","Not verified",IF(COUNTIFS(in_CGID,C83,in_ClientID,E83,in_Svc,G83)&gt;0,"Yes","Not entered")))</f>
        <v>Yes</v>
      </c>
    </row>
    <row r="84" customFormat="false" ht="15" hidden="false" customHeight="false" outlineLevel="0" collapsed="false">
      <c r="A84" s="64" t="s">
        <v>432</v>
      </c>
      <c r="B84" s="65" t="n">
        <v>46281</v>
      </c>
      <c r="C84" s="64" t="s">
        <v>307</v>
      </c>
      <c r="D84" s="64" t="s">
        <v>166</v>
      </c>
      <c r="E84" s="64" t="s">
        <v>290</v>
      </c>
      <c r="F84" s="64" t="s">
        <v>122</v>
      </c>
      <c r="G84" s="64" t="s">
        <v>133</v>
      </c>
      <c r="H84" s="66" t="n">
        <v>46281.2958333333</v>
      </c>
      <c r="I84" s="66" t="n">
        <v>46281.3798611111</v>
      </c>
      <c r="J84" s="64" t="n">
        <v>8</v>
      </c>
      <c r="K84" s="64" t="s">
        <v>279</v>
      </c>
      <c r="L84" s="64" t="s">
        <v>280</v>
      </c>
      <c r="M84" s="67" t="str">
        <f aca="false">IF(A84="","",IF(AND(B84&gt;=WeekStart,B84&lt;=WeekEnd),"Yes","No"))</f>
        <v>Yes</v>
      </c>
      <c r="N84" s="67" t="str">
        <f aca="false">IF(A84="","",IF(L84&lt;&gt;"Verified","Not verified",IF(COUNTIFS(in_CGID,C84,in_ClientID,E84,in_Svc,G84)&gt;0,"Yes","Not entered")))</f>
        <v>Yes</v>
      </c>
    </row>
    <row r="85" customFormat="false" ht="15" hidden="false" customHeight="false" outlineLevel="0" collapsed="false">
      <c r="A85" s="64" t="s">
        <v>433</v>
      </c>
      <c r="B85" s="65" t="n">
        <v>46281</v>
      </c>
      <c r="C85" s="64" t="s">
        <v>286</v>
      </c>
      <c r="D85" s="64" t="s">
        <v>139</v>
      </c>
      <c r="E85" s="64" t="s">
        <v>287</v>
      </c>
      <c r="F85" s="64" t="s">
        <v>141</v>
      </c>
      <c r="G85" s="64" t="s">
        <v>133</v>
      </c>
      <c r="H85" s="66" t="n">
        <v>46281.3097222222</v>
      </c>
      <c r="I85" s="66" t="n">
        <v>46281.4125</v>
      </c>
      <c r="J85" s="64" t="n">
        <v>10</v>
      </c>
      <c r="K85" s="64" t="s">
        <v>284</v>
      </c>
      <c r="L85" s="64" t="s">
        <v>280</v>
      </c>
      <c r="M85" s="67" t="str">
        <f aca="false">IF(A85="","",IF(AND(B85&gt;=WeekStart,B85&lt;=WeekEnd),"Yes","No"))</f>
        <v>Yes</v>
      </c>
      <c r="N85" s="67" t="str">
        <f aca="false">IF(A85="","",IF(L85&lt;&gt;"Verified","Not verified",IF(COUNTIFS(in_CGID,C85,in_ClientID,E85,in_Svc,G85)&gt;0,"Yes","Not entered")))</f>
        <v>Yes</v>
      </c>
    </row>
    <row r="86" customFormat="false" ht="15" hidden="false" customHeight="false" outlineLevel="0" collapsed="false">
      <c r="A86" s="64" t="s">
        <v>434</v>
      </c>
      <c r="B86" s="65" t="n">
        <v>46281</v>
      </c>
      <c r="C86" s="64" t="s">
        <v>305</v>
      </c>
      <c r="D86" s="64" t="s">
        <v>121</v>
      </c>
      <c r="E86" s="64" t="s">
        <v>290</v>
      </c>
      <c r="F86" s="64" t="s">
        <v>122</v>
      </c>
      <c r="G86" s="64" t="s">
        <v>113</v>
      </c>
      <c r="H86" s="66" t="n">
        <v>46281.3131944445</v>
      </c>
      <c r="I86" s="66" t="n">
        <v>46281.4590277778</v>
      </c>
      <c r="J86" s="64" t="n">
        <v>14</v>
      </c>
      <c r="K86" s="64" t="s">
        <v>284</v>
      </c>
      <c r="L86" s="64" t="s">
        <v>280</v>
      </c>
      <c r="M86" s="67" t="str">
        <f aca="false">IF(A86="","",IF(AND(B86&gt;=WeekStart,B86&lt;=WeekEnd),"Yes","No"))</f>
        <v>Yes</v>
      </c>
      <c r="N86" s="67" t="str">
        <f aca="false">IF(A86="","",IF(L86&lt;&gt;"Verified","Not verified",IF(COUNTIFS(in_CGID,C86,in_ClientID,E86,in_Svc,G86)&gt;0,"Yes","Not entered")))</f>
        <v>Yes</v>
      </c>
    </row>
    <row r="87" customFormat="false" ht="15" hidden="false" customHeight="false" outlineLevel="0" collapsed="false">
      <c r="A87" s="64" t="s">
        <v>435</v>
      </c>
      <c r="B87" s="65" t="n">
        <v>46281</v>
      </c>
      <c r="C87" s="64" t="s">
        <v>277</v>
      </c>
      <c r="D87" s="64" t="s">
        <v>108</v>
      </c>
      <c r="E87" s="64" t="s">
        <v>292</v>
      </c>
      <c r="F87" s="64" t="s">
        <v>114</v>
      </c>
      <c r="G87" s="64" t="s">
        <v>110</v>
      </c>
      <c r="H87" s="66" t="n">
        <v>46281.3166666667</v>
      </c>
      <c r="I87" s="66" t="n">
        <v>46281.4208333333</v>
      </c>
      <c r="J87" s="64" t="n">
        <v>10</v>
      </c>
      <c r="K87" s="64" t="s">
        <v>284</v>
      </c>
      <c r="L87" s="64" t="s">
        <v>280</v>
      </c>
      <c r="M87" s="67" t="str">
        <f aca="false">IF(A87="","",IF(AND(B87&gt;=WeekStart,B87&lt;=WeekEnd),"Yes","No"))</f>
        <v>Yes</v>
      </c>
      <c r="N87" s="67" t="str">
        <f aca="false">IF(A87="","",IF(L87&lt;&gt;"Verified","Not verified",IF(COUNTIFS(in_CGID,C87,in_ClientID,E87,in_Svc,G87)&gt;0,"Yes","Not entered")))</f>
        <v>Yes</v>
      </c>
    </row>
    <row r="88" customFormat="false" ht="15" hidden="false" customHeight="false" outlineLevel="0" collapsed="false">
      <c r="A88" s="64" t="s">
        <v>436</v>
      </c>
      <c r="B88" s="65" t="n">
        <v>46281</v>
      </c>
      <c r="C88" s="64" t="s">
        <v>294</v>
      </c>
      <c r="D88" s="64" t="s">
        <v>190</v>
      </c>
      <c r="E88" s="64" t="s">
        <v>337</v>
      </c>
      <c r="F88" s="64" t="s">
        <v>123</v>
      </c>
      <c r="G88" s="64" t="s">
        <v>117</v>
      </c>
      <c r="H88" s="66" t="n">
        <v>46281.3340277778</v>
      </c>
      <c r="I88" s="66" t="n">
        <v>46281.5201388889</v>
      </c>
      <c r="J88" s="64" t="n">
        <v>18</v>
      </c>
      <c r="K88" s="64" t="s">
        <v>284</v>
      </c>
      <c r="L88" s="64" t="s">
        <v>280</v>
      </c>
      <c r="M88" s="67" t="str">
        <f aca="false">IF(A88="","",IF(AND(B88&gt;=WeekStart,B88&lt;=WeekEnd),"Yes","No"))</f>
        <v>Yes</v>
      </c>
      <c r="N88" s="67" t="str">
        <f aca="false">IF(A88="","",IF(L88&lt;&gt;"Verified","Not verified",IF(COUNTIFS(in_CGID,C88,in_ClientID,E88,in_Svc,G88)&gt;0,"Yes","Not entered")))</f>
        <v>Yes</v>
      </c>
    </row>
    <row r="89" customFormat="false" ht="15" hidden="false" customHeight="false" outlineLevel="0" collapsed="false">
      <c r="A89" s="64" t="s">
        <v>437</v>
      </c>
      <c r="B89" s="65" t="n">
        <v>46281</v>
      </c>
      <c r="C89" s="64" t="s">
        <v>357</v>
      </c>
      <c r="D89" s="64" t="s">
        <v>160</v>
      </c>
      <c r="E89" s="64" t="s">
        <v>358</v>
      </c>
      <c r="F89" s="64" t="s">
        <v>161</v>
      </c>
      <c r="G89" s="64" t="s">
        <v>110</v>
      </c>
      <c r="H89" s="66" t="n">
        <v>46281.3354166667</v>
      </c>
      <c r="I89" s="66" t="n">
        <v>46281.4819444444</v>
      </c>
      <c r="J89" s="64" t="n">
        <v>14</v>
      </c>
      <c r="K89" s="64" t="s">
        <v>284</v>
      </c>
      <c r="L89" s="64" t="s">
        <v>280</v>
      </c>
      <c r="M89" s="67" t="str">
        <f aca="false">IF(A89="","",IF(AND(B89&gt;=WeekStart,B89&lt;=WeekEnd),"Yes","No"))</f>
        <v>Yes</v>
      </c>
      <c r="N89" s="67" t="str">
        <f aca="false">IF(A89="","",IF(L89&lt;&gt;"Verified","Not verified",IF(COUNTIFS(in_CGID,C89,in_ClientID,E89,in_Svc,G89)&gt;0,"Yes","Not entered")))</f>
        <v>Yes</v>
      </c>
    </row>
    <row r="90" customFormat="false" ht="15" hidden="false" customHeight="false" outlineLevel="0" collapsed="false">
      <c r="A90" s="64" t="s">
        <v>438</v>
      </c>
      <c r="B90" s="65" t="n">
        <v>46281</v>
      </c>
      <c r="C90" s="64" t="s">
        <v>297</v>
      </c>
      <c r="D90" s="64" t="s">
        <v>169</v>
      </c>
      <c r="E90" s="64" t="s">
        <v>298</v>
      </c>
      <c r="F90" s="64" t="s">
        <v>170</v>
      </c>
      <c r="G90" s="64" t="s">
        <v>113</v>
      </c>
      <c r="H90" s="66" t="n">
        <v>46281.3375</v>
      </c>
      <c r="I90" s="66" t="n">
        <v>46281.4208333333</v>
      </c>
      <c r="J90" s="64" t="n">
        <v>8</v>
      </c>
      <c r="K90" s="64" t="s">
        <v>284</v>
      </c>
      <c r="L90" s="64" t="s">
        <v>280</v>
      </c>
      <c r="M90" s="67" t="str">
        <f aca="false">IF(A90="","",IF(AND(B90&gt;=WeekStart,B90&lt;=WeekEnd),"Yes","No"))</f>
        <v>Yes</v>
      </c>
      <c r="N90" s="67" t="str">
        <f aca="false">IF(A90="","",IF(L90&lt;&gt;"Verified","Not verified",IF(COUNTIFS(in_CGID,C90,in_ClientID,E90,in_Svc,G90)&gt;0,"Yes","Not entered")))</f>
        <v>Yes</v>
      </c>
    </row>
    <row r="91" customFormat="false" ht="15" hidden="false" customHeight="false" outlineLevel="0" collapsed="false">
      <c r="A91" s="64" t="s">
        <v>439</v>
      </c>
      <c r="B91" s="65" t="n">
        <v>46281</v>
      </c>
      <c r="C91" s="64" t="s">
        <v>327</v>
      </c>
      <c r="D91" s="64" t="s">
        <v>187</v>
      </c>
      <c r="E91" s="64" t="s">
        <v>310</v>
      </c>
      <c r="F91" s="64" t="s">
        <v>118</v>
      </c>
      <c r="G91" s="64" t="s">
        <v>110</v>
      </c>
      <c r="H91" s="66" t="n">
        <v>46281.3375</v>
      </c>
      <c r="I91" s="66" t="n">
        <v>46281.4833333333</v>
      </c>
      <c r="J91" s="64" t="n">
        <v>14</v>
      </c>
      <c r="K91" s="64" t="s">
        <v>284</v>
      </c>
      <c r="L91" s="64" t="s">
        <v>280</v>
      </c>
      <c r="M91" s="67" t="str">
        <f aca="false">IF(A91="","",IF(AND(B91&gt;=WeekStart,B91&lt;=WeekEnd),"Yes","No"))</f>
        <v>Yes</v>
      </c>
      <c r="N91" s="67" t="str">
        <f aca="false">IF(A91="","",IF(L91&lt;&gt;"Verified","Not verified",IF(COUNTIFS(in_CGID,C91,in_ClientID,E91,in_Svc,G91)&gt;0,"Yes","Not entered")))</f>
        <v>Yes</v>
      </c>
    </row>
    <row r="92" customFormat="false" ht="15" hidden="false" customHeight="false" outlineLevel="0" collapsed="false">
      <c r="A92" s="64" t="s">
        <v>440</v>
      </c>
      <c r="B92" s="65" t="n">
        <v>46281</v>
      </c>
      <c r="C92" s="64" t="s">
        <v>277</v>
      </c>
      <c r="D92" s="64" t="s">
        <v>108</v>
      </c>
      <c r="E92" s="64" t="s">
        <v>278</v>
      </c>
      <c r="F92" s="64" t="s">
        <v>109</v>
      </c>
      <c r="G92" s="64" t="s">
        <v>110</v>
      </c>
      <c r="H92" s="66" t="n">
        <v>46281.3736111111</v>
      </c>
      <c r="I92" s="66" t="n">
        <v>46281.5430555556</v>
      </c>
      <c r="J92" s="64" t="n">
        <v>16</v>
      </c>
      <c r="K92" s="64" t="s">
        <v>284</v>
      </c>
      <c r="L92" s="64" t="s">
        <v>280</v>
      </c>
      <c r="M92" s="67" t="str">
        <f aca="false">IF(A92="","",IF(AND(B92&gt;=WeekStart,B92&lt;=WeekEnd),"Yes","No"))</f>
        <v>Yes</v>
      </c>
      <c r="N92" s="67" t="str">
        <f aca="false">IF(A92="","",IF(L92&lt;&gt;"Verified","Not verified",IF(COUNTIFS(in_CGID,C92,in_ClientID,E92,in_Svc,G92)&gt;0,"Yes","Not entered")))</f>
        <v>Yes</v>
      </c>
    </row>
    <row r="93" customFormat="false" ht="15" hidden="false" customHeight="false" outlineLevel="0" collapsed="false">
      <c r="A93" s="64" t="s">
        <v>441</v>
      </c>
      <c r="B93" s="65" t="n">
        <v>46281</v>
      </c>
      <c r="C93" s="64" t="s">
        <v>323</v>
      </c>
      <c r="D93" s="64" t="s">
        <v>115</v>
      </c>
      <c r="E93" s="64" t="s">
        <v>403</v>
      </c>
      <c r="F93" s="64" t="s">
        <v>116</v>
      </c>
      <c r="G93" s="64" t="s">
        <v>117</v>
      </c>
      <c r="H93" s="66" t="n">
        <v>46281.375</v>
      </c>
      <c r="I93" s="66" t="n">
        <v>46281.7111111111</v>
      </c>
      <c r="J93" s="64" t="n">
        <v>32</v>
      </c>
      <c r="K93" s="64" t="s">
        <v>284</v>
      </c>
      <c r="L93" s="64" t="s">
        <v>280</v>
      </c>
      <c r="M93" s="67" t="str">
        <f aca="false">IF(A93="","",IF(AND(B93&gt;=WeekStart,B93&lt;=WeekEnd),"Yes","No"))</f>
        <v>Yes</v>
      </c>
      <c r="N93" s="67" t="str">
        <f aca="false">IF(A93="","",IF(L93&lt;&gt;"Verified","Not verified",IF(COUNTIFS(in_CGID,C93,in_ClientID,E93,in_Svc,G93)&gt;0,"Yes","Not entered")))</f>
        <v>Yes</v>
      </c>
    </row>
    <row r="94" customFormat="false" ht="15" hidden="false" customHeight="false" outlineLevel="0" collapsed="false">
      <c r="A94" s="64" t="s">
        <v>442</v>
      </c>
      <c r="B94" s="65" t="n">
        <v>46281</v>
      </c>
      <c r="C94" s="64" t="s">
        <v>425</v>
      </c>
      <c r="D94" s="64" t="s">
        <v>131</v>
      </c>
      <c r="E94" s="64" t="s">
        <v>361</v>
      </c>
      <c r="F94" s="64" t="s">
        <v>132</v>
      </c>
      <c r="G94" s="64" t="s">
        <v>133</v>
      </c>
      <c r="H94" s="66" t="n">
        <v>46281.3756944445</v>
      </c>
      <c r="I94" s="66" t="n">
        <v>46281.4805555556</v>
      </c>
      <c r="J94" s="64" t="n">
        <v>10</v>
      </c>
      <c r="K94" s="64" t="s">
        <v>284</v>
      </c>
      <c r="L94" s="64" t="s">
        <v>280</v>
      </c>
      <c r="M94" s="67" t="str">
        <f aca="false">IF(A94="","",IF(AND(B94&gt;=WeekStart,B94&lt;=WeekEnd),"Yes","No"))</f>
        <v>Yes</v>
      </c>
      <c r="N94" s="67" t="str">
        <f aca="false">IF(A94="","",IF(L94&lt;&gt;"Verified","Not verified",IF(COUNTIFS(in_CGID,C94,in_ClientID,E94,in_Svc,G94)&gt;0,"Yes","Not entered")))</f>
        <v>Yes</v>
      </c>
    </row>
    <row r="95" customFormat="false" ht="15" hidden="false" customHeight="false" outlineLevel="0" collapsed="false">
      <c r="A95" s="64" t="s">
        <v>443</v>
      </c>
      <c r="B95" s="65" t="n">
        <v>46281</v>
      </c>
      <c r="C95" s="64" t="s">
        <v>385</v>
      </c>
      <c r="D95" s="64" t="s">
        <v>184</v>
      </c>
      <c r="E95" s="64" t="s">
        <v>295</v>
      </c>
      <c r="F95" s="64" t="s">
        <v>153</v>
      </c>
      <c r="G95" s="64" t="s">
        <v>133</v>
      </c>
      <c r="H95" s="66" t="n">
        <v>46281.3770833333</v>
      </c>
      <c r="I95" s="66" t="n">
        <v>46281.4611111111</v>
      </c>
      <c r="J95" s="64" t="n">
        <v>8</v>
      </c>
      <c r="K95" s="64" t="s">
        <v>284</v>
      </c>
      <c r="L95" s="64" t="s">
        <v>280</v>
      </c>
      <c r="M95" s="67" t="str">
        <f aca="false">IF(A95="","",IF(AND(B95&gt;=WeekStart,B95&lt;=WeekEnd),"Yes","No"))</f>
        <v>Yes</v>
      </c>
      <c r="N95" s="67" t="str">
        <f aca="false">IF(A95="","",IF(L95&lt;&gt;"Verified","Not verified",IF(COUNTIFS(in_CGID,C95,in_ClientID,E95,in_Svc,G95)&gt;0,"Yes","Not entered")))</f>
        <v>Yes</v>
      </c>
    </row>
    <row r="96" customFormat="false" ht="15" hidden="false" customHeight="false" outlineLevel="0" collapsed="false">
      <c r="A96" s="64" t="s">
        <v>444</v>
      </c>
      <c r="B96" s="65" t="n">
        <v>46281</v>
      </c>
      <c r="C96" s="64" t="s">
        <v>375</v>
      </c>
      <c r="D96" s="64" t="s">
        <v>191</v>
      </c>
      <c r="E96" s="64" t="s">
        <v>300</v>
      </c>
      <c r="F96" s="64" t="s">
        <v>146</v>
      </c>
      <c r="G96" s="64" t="s">
        <v>113</v>
      </c>
      <c r="H96" s="66" t="n">
        <v>46281.3770833333</v>
      </c>
      <c r="I96" s="66" t="n">
        <v>46281.5229166667</v>
      </c>
      <c r="J96" s="64" t="n">
        <v>14</v>
      </c>
      <c r="K96" s="64" t="s">
        <v>284</v>
      </c>
      <c r="L96" s="64" t="s">
        <v>280</v>
      </c>
      <c r="M96" s="67" t="str">
        <f aca="false">IF(A96="","",IF(AND(B96&gt;=WeekStart,B96&lt;=WeekEnd),"Yes","No"))</f>
        <v>Yes</v>
      </c>
      <c r="N96" s="67" t="str">
        <f aca="false">IF(A96="","",IF(L96&lt;&gt;"Verified","Not verified",IF(COUNTIFS(in_CGID,C96,in_ClientID,E96,in_Svc,G96)&gt;0,"Yes","Not entered")))</f>
        <v>Yes</v>
      </c>
    </row>
    <row r="97" customFormat="false" ht="15" hidden="false" customHeight="false" outlineLevel="0" collapsed="false">
      <c r="A97" s="64" t="s">
        <v>445</v>
      </c>
      <c r="B97" s="65" t="n">
        <v>46281</v>
      </c>
      <c r="C97" s="64" t="s">
        <v>347</v>
      </c>
      <c r="D97" s="64" t="s">
        <v>134</v>
      </c>
      <c r="E97" s="64" t="s">
        <v>348</v>
      </c>
      <c r="F97" s="64" t="s">
        <v>136</v>
      </c>
      <c r="G97" s="64" t="s">
        <v>113</v>
      </c>
      <c r="H97" s="66" t="n">
        <v>46281.3958333333</v>
      </c>
      <c r="I97" s="66" t="n">
        <v>46281.4777777778</v>
      </c>
      <c r="J97" s="64" t="n">
        <v>8</v>
      </c>
      <c r="K97" s="64" t="s">
        <v>284</v>
      </c>
      <c r="L97" s="64" t="s">
        <v>280</v>
      </c>
      <c r="M97" s="67" t="str">
        <f aca="false">IF(A97="","",IF(AND(B97&gt;=WeekStart,B97&lt;=WeekEnd),"Yes","No"))</f>
        <v>Yes</v>
      </c>
      <c r="N97" s="67" t="str">
        <f aca="false">IF(A97="","",IF(L97&lt;&gt;"Verified","Not verified",IF(COUNTIFS(in_CGID,C97,in_ClientID,E97,in_Svc,G97)&gt;0,"Yes","Not entered")))</f>
        <v>Yes</v>
      </c>
    </row>
    <row r="98" customFormat="false" ht="15" hidden="false" customHeight="false" outlineLevel="0" collapsed="false">
      <c r="A98" s="64" t="s">
        <v>446</v>
      </c>
      <c r="B98" s="65" t="n">
        <v>46281</v>
      </c>
      <c r="C98" s="64" t="s">
        <v>447</v>
      </c>
      <c r="D98" s="64" t="s">
        <v>181</v>
      </c>
      <c r="E98" s="64" t="s">
        <v>396</v>
      </c>
      <c r="F98" s="64" t="s">
        <v>180</v>
      </c>
      <c r="G98" s="64" t="s">
        <v>133</v>
      </c>
      <c r="H98" s="66" t="n">
        <v>46281.3958333333</v>
      </c>
      <c r="I98" s="66" t="n">
        <v>46281.5013888889</v>
      </c>
      <c r="J98" s="64" t="n">
        <v>10</v>
      </c>
      <c r="K98" s="64" t="s">
        <v>284</v>
      </c>
      <c r="L98" s="64" t="s">
        <v>280</v>
      </c>
      <c r="M98" s="67" t="str">
        <f aca="false">IF(A98="","",IF(AND(B98&gt;=WeekStart,B98&lt;=WeekEnd),"Yes","No"))</f>
        <v>Yes</v>
      </c>
      <c r="N98" s="67" t="str">
        <f aca="false">IF(A98="","",IF(L98&lt;&gt;"Verified","Not verified",IF(COUNTIFS(in_CGID,C98,in_ClientID,E98,in_Svc,G98)&gt;0,"Yes","Not entered")))</f>
        <v>Yes</v>
      </c>
    </row>
    <row r="99" customFormat="false" ht="15" hidden="false" customHeight="false" outlineLevel="0" collapsed="false">
      <c r="A99" s="64" t="s">
        <v>448</v>
      </c>
      <c r="B99" s="65" t="n">
        <v>46281</v>
      </c>
      <c r="C99" s="64" t="s">
        <v>312</v>
      </c>
      <c r="D99" s="64" t="s">
        <v>154</v>
      </c>
      <c r="E99" s="64" t="s">
        <v>348</v>
      </c>
      <c r="F99" s="64" t="s">
        <v>136</v>
      </c>
      <c r="G99" s="64" t="s">
        <v>113</v>
      </c>
      <c r="H99" s="66" t="n">
        <v>46281.3958333333</v>
      </c>
      <c r="I99" s="66" t="n">
        <v>46281.5</v>
      </c>
      <c r="J99" s="64" t="n">
        <v>10</v>
      </c>
      <c r="K99" s="64" t="s">
        <v>284</v>
      </c>
      <c r="L99" s="64" t="s">
        <v>280</v>
      </c>
      <c r="M99" s="67" t="str">
        <f aca="false">IF(A99="","",IF(AND(B99&gt;=WeekStart,B99&lt;=WeekEnd),"Yes","No"))</f>
        <v>Yes</v>
      </c>
      <c r="N99" s="67" t="str">
        <f aca="false">IF(A99="","",IF(L99&lt;&gt;"Verified","Not verified",IF(COUNTIFS(in_CGID,C99,in_ClientID,E99,in_Svc,G99)&gt;0,"Yes","Not entered")))</f>
        <v>Yes</v>
      </c>
    </row>
    <row r="100" customFormat="false" ht="15" hidden="false" customHeight="false" outlineLevel="0" collapsed="false">
      <c r="A100" s="64" t="s">
        <v>449</v>
      </c>
      <c r="B100" s="65" t="n">
        <v>46281</v>
      </c>
      <c r="C100" s="64" t="s">
        <v>421</v>
      </c>
      <c r="D100" s="64" t="s">
        <v>127</v>
      </c>
      <c r="E100" s="64" t="s">
        <v>417</v>
      </c>
      <c r="F100" s="64" t="s">
        <v>128</v>
      </c>
      <c r="G100" s="64" t="s">
        <v>113</v>
      </c>
      <c r="H100" s="66" t="n">
        <v>46281.4</v>
      </c>
      <c r="I100" s="66" t="n">
        <v>46281.4847222222</v>
      </c>
      <c r="J100" s="64" t="n">
        <v>8</v>
      </c>
      <c r="K100" s="64" t="s">
        <v>279</v>
      </c>
      <c r="L100" s="64" t="s">
        <v>280</v>
      </c>
      <c r="M100" s="67" t="str">
        <f aca="false">IF(A100="","",IF(AND(B100&gt;=WeekStart,B100&lt;=WeekEnd),"Yes","No"))</f>
        <v>Yes</v>
      </c>
      <c r="N100" s="67" t="str">
        <f aca="false">IF(A100="","",IF(L100&lt;&gt;"Verified","Not verified",IF(COUNTIFS(in_CGID,C100,in_ClientID,E100,in_Svc,G100)&gt;0,"Yes","Not entered")))</f>
        <v>Yes</v>
      </c>
    </row>
    <row r="101" customFormat="false" ht="15" hidden="false" customHeight="false" outlineLevel="0" collapsed="false">
      <c r="A101" s="64" t="s">
        <v>450</v>
      </c>
      <c r="B101" s="65" t="n">
        <v>46281</v>
      </c>
      <c r="C101" s="64" t="s">
        <v>353</v>
      </c>
      <c r="D101" s="64" t="s">
        <v>189</v>
      </c>
      <c r="E101" s="64" t="s">
        <v>283</v>
      </c>
      <c r="F101" s="64" t="s">
        <v>147</v>
      </c>
      <c r="G101" s="64" t="s">
        <v>113</v>
      </c>
      <c r="H101" s="66" t="n">
        <v>46281.4138888889</v>
      </c>
      <c r="I101" s="66" t="n">
        <v>46281.5395833333</v>
      </c>
      <c r="J101" s="64" t="n">
        <v>12</v>
      </c>
      <c r="K101" s="64" t="s">
        <v>279</v>
      </c>
      <c r="L101" s="64" t="s">
        <v>280</v>
      </c>
      <c r="M101" s="67" t="str">
        <f aca="false">IF(A101="","",IF(AND(B101&gt;=WeekStart,B101&lt;=WeekEnd),"Yes","No"))</f>
        <v>Yes</v>
      </c>
      <c r="N101" s="67" t="str">
        <f aca="false">IF(A101="","",IF(L101&lt;&gt;"Verified","Not verified",IF(COUNTIFS(in_CGID,C101,in_ClientID,E101,in_Svc,G101)&gt;0,"Yes","Not entered")))</f>
        <v>Yes</v>
      </c>
    </row>
    <row r="102" customFormat="false" ht="15" hidden="false" customHeight="false" outlineLevel="0" collapsed="false">
      <c r="A102" s="64" t="s">
        <v>451</v>
      </c>
      <c r="B102" s="65" t="n">
        <v>46281</v>
      </c>
      <c r="C102" s="64" t="s">
        <v>347</v>
      </c>
      <c r="D102" s="64" t="s">
        <v>134</v>
      </c>
      <c r="E102" s="64" t="s">
        <v>452</v>
      </c>
      <c r="F102" s="64" t="s">
        <v>135</v>
      </c>
      <c r="G102" s="64" t="s">
        <v>133</v>
      </c>
      <c r="H102" s="66" t="n">
        <v>46281.4166666667</v>
      </c>
      <c r="I102" s="66" t="n">
        <v>46281.5402777778</v>
      </c>
      <c r="J102" s="64" t="n">
        <v>12</v>
      </c>
      <c r="K102" s="64" t="s">
        <v>284</v>
      </c>
      <c r="L102" s="64" t="s">
        <v>280</v>
      </c>
      <c r="M102" s="67" t="str">
        <f aca="false">IF(A102="","",IF(AND(B102&gt;=WeekStart,B102&lt;=WeekEnd),"Yes","No"))</f>
        <v>Yes</v>
      </c>
      <c r="N102" s="67" t="str">
        <f aca="false">IF(A102="","",IF(L102&lt;&gt;"Verified","Not verified",IF(COUNTIFS(in_CGID,C102,in_ClientID,E102,in_Svc,G102)&gt;0,"Yes","Not entered")))</f>
        <v>Yes</v>
      </c>
    </row>
    <row r="103" customFormat="false" ht="15" hidden="false" customHeight="false" outlineLevel="0" collapsed="false">
      <c r="A103" s="64" t="s">
        <v>453</v>
      </c>
      <c r="B103" s="65" t="n">
        <v>46281</v>
      </c>
      <c r="C103" s="64" t="s">
        <v>454</v>
      </c>
      <c r="D103" s="64" t="s">
        <v>182</v>
      </c>
      <c r="E103" s="64" t="s">
        <v>455</v>
      </c>
      <c r="F103" s="64" t="s">
        <v>183</v>
      </c>
      <c r="G103" s="64" t="s">
        <v>110</v>
      </c>
      <c r="H103" s="66" t="n">
        <v>46281.4166666667</v>
      </c>
      <c r="I103" s="66" t="n">
        <v>46281.5416666667</v>
      </c>
      <c r="J103" s="64" t="n">
        <v>12</v>
      </c>
      <c r="K103" s="64" t="s">
        <v>284</v>
      </c>
      <c r="L103" s="64" t="s">
        <v>280</v>
      </c>
      <c r="M103" s="67" t="str">
        <f aca="false">IF(A103="","",IF(AND(B103&gt;=WeekStart,B103&lt;=WeekEnd),"Yes","No"))</f>
        <v>Yes</v>
      </c>
      <c r="N103" s="67" t="str">
        <f aca="false">IF(A103="","",IF(L103&lt;&gt;"Verified","Not verified",IF(COUNTIFS(in_CGID,C103,in_ClientID,E103,in_Svc,G103)&gt;0,"Yes","Not entered")))</f>
        <v>Yes</v>
      </c>
    </row>
    <row r="104" customFormat="false" ht="15" hidden="false" customHeight="false" outlineLevel="0" collapsed="false">
      <c r="A104" s="64" t="s">
        <v>456</v>
      </c>
      <c r="B104" s="65" t="n">
        <v>46281</v>
      </c>
      <c r="C104" s="64" t="s">
        <v>342</v>
      </c>
      <c r="D104" s="64" t="s">
        <v>137</v>
      </c>
      <c r="E104" s="64" t="s">
        <v>343</v>
      </c>
      <c r="F104" s="64" t="s">
        <v>138</v>
      </c>
      <c r="G104" s="64" t="s">
        <v>110</v>
      </c>
      <c r="H104" s="66" t="n">
        <v>46281.4972222222</v>
      </c>
      <c r="I104" s="66" t="n">
        <v>46281.6645833333</v>
      </c>
      <c r="J104" s="64" t="n">
        <v>16</v>
      </c>
      <c r="K104" s="64" t="s">
        <v>284</v>
      </c>
      <c r="L104" s="64" t="s">
        <v>280</v>
      </c>
      <c r="M104" s="67" t="str">
        <f aca="false">IF(A104="","",IF(AND(B104&gt;=WeekStart,B104&lt;=WeekEnd),"Yes","No"))</f>
        <v>Yes</v>
      </c>
      <c r="N104" s="67" t="str">
        <f aca="false">IF(A104="","",IF(L104&lt;&gt;"Verified","Not verified",IF(COUNTIFS(in_CGID,C104,in_ClientID,E104,in_Svc,G104)&gt;0,"Yes","Not entered")))</f>
        <v>Not entered</v>
      </c>
    </row>
    <row r="105" customFormat="false" ht="15" hidden="false" customHeight="false" outlineLevel="0" collapsed="false">
      <c r="A105" s="64" t="s">
        <v>457</v>
      </c>
      <c r="B105" s="65" t="n">
        <v>46281</v>
      </c>
      <c r="C105" s="64" t="s">
        <v>318</v>
      </c>
      <c r="D105" s="64" t="s">
        <v>194</v>
      </c>
      <c r="E105" s="64" t="s">
        <v>319</v>
      </c>
      <c r="F105" s="64" t="s">
        <v>195</v>
      </c>
      <c r="G105" s="64" t="s">
        <v>113</v>
      </c>
      <c r="H105" s="66" t="n">
        <v>46281.4972222222</v>
      </c>
      <c r="I105" s="66" t="n">
        <v>46281.6229166667</v>
      </c>
      <c r="J105" s="64" t="n">
        <v>12</v>
      </c>
      <c r="K105" s="64" t="s">
        <v>284</v>
      </c>
      <c r="L105" s="64" t="s">
        <v>280</v>
      </c>
      <c r="M105" s="67" t="str">
        <f aca="false">IF(A105="","",IF(AND(B105&gt;=WeekStart,B105&lt;=WeekEnd),"Yes","No"))</f>
        <v>Yes</v>
      </c>
      <c r="N105" s="67" t="str">
        <f aca="false">IF(A105="","",IF(L105&lt;&gt;"Verified","Not verified",IF(COUNTIFS(in_CGID,C105,in_ClientID,E105,in_Svc,G105)&gt;0,"Yes","Not entered")))</f>
        <v>Yes</v>
      </c>
    </row>
    <row r="106" customFormat="false" ht="15" hidden="false" customHeight="false" outlineLevel="0" collapsed="false">
      <c r="A106" s="64" t="s">
        <v>458</v>
      </c>
      <c r="B106" s="65" t="n">
        <v>46281</v>
      </c>
      <c r="C106" s="64" t="s">
        <v>327</v>
      </c>
      <c r="D106" s="64" t="s">
        <v>187</v>
      </c>
      <c r="E106" s="64" t="s">
        <v>366</v>
      </c>
      <c r="F106" s="64" t="s">
        <v>188</v>
      </c>
      <c r="G106" s="64" t="s">
        <v>113</v>
      </c>
      <c r="H106" s="66" t="n">
        <v>46281.4986111111</v>
      </c>
      <c r="I106" s="66" t="n">
        <v>46281.6472222222</v>
      </c>
      <c r="J106" s="64" t="n">
        <v>14</v>
      </c>
      <c r="K106" s="64" t="s">
        <v>284</v>
      </c>
      <c r="L106" s="64" t="s">
        <v>280</v>
      </c>
      <c r="M106" s="67" t="str">
        <f aca="false">IF(A106="","",IF(AND(B106&gt;=WeekStart,B106&lt;=WeekEnd),"Yes","No"))</f>
        <v>Yes</v>
      </c>
      <c r="N106" s="67" t="str">
        <f aca="false">IF(A106="","",IF(L106&lt;&gt;"Verified","Not verified",IF(COUNTIFS(in_CGID,C106,in_ClientID,E106,in_Svc,G106)&gt;0,"Yes","Not entered")))</f>
        <v>Yes</v>
      </c>
    </row>
    <row r="107" customFormat="false" ht="15" hidden="false" customHeight="false" outlineLevel="0" collapsed="false">
      <c r="A107" s="64" t="s">
        <v>459</v>
      </c>
      <c r="B107" s="65" t="n">
        <v>46281</v>
      </c>
      <c r="C107" s="64" t="s">
        <v>315</v>
      </c>
      <c r="D107" s="64" t="s">
        <v>158</v>
      </c>
      <c r="E107" s="64" t="s">
        <v>316</v>
      </c>
      <c r="F107" s="64" t="s">
        <v>159</v>
      </c>
      <c r="G107" s="64" t="s">
        <v>113</v>
      </c>
      <c r="H107" s="66" t="n">
        <v>46281.5006944445</v>
      </c>
      <c r="I107" s="66" t="n">
        <v>46281.6493055556</v>
      </c>
      <c r="J107" s="64" t="n">
        <v>14</v>
      </c>
      <c r="K107" s="64" t="s">
        <v>279</v>
      </c>
      <c r="L107" s="64" t="s">
        <v>280</v>
      </c>
      <c r="M107" s="67" t="str">
        <f aca="false">IF(A107="","",IF(AND(B107&gt;=WeekStart,B107&lt;=WeekEnd),"Yes","No"))</f>
        <v>Yes</v>
      </c>
      <c r="N107" s="67" t="str">
        <f aca="false">IF(A107="","",IF(L107&lt;&gt;"Verified","Not verified",IF(COUNTIFS(in_CGID,C107,in_ClientID,E107,in_Svc,G107)&gt;0,"Yes","Not entered")))</f>
        <v>Yes</v>
      </c>
    </row>
    <row r="108" customFormat="false" ht="15" hidden="false" customHeight="false" outlineLevel="0" collapsed="false">
      <c r="A108" s="64" t="s">
        <v>460</v>
      </c>
      <c r="B108" s="65" t="n">
        <v>46281</v>
      </c>
      <c r="C108" s="64" t="s">
        <v>332</v>
      </c>
      <c r="D108" s="64" t="s">
        <v>171</v>
      </c>
      <c r="E108" s="64" t="s">
        <v>333</v>
      </c>
      <c r="F108" s="64" t="s">
        <v>172</v>
      </c>
      <c r="G108" s="64" t="s">
        <v>113</v>
      </c>
      <c r="H108" s="66" t="n">
        <v>46281.5041666667</v>
      </c>
      <c r="I108" s="66" t="n">
        <v>46281.5875</v>
      </c>
      <c r="J108" s="64" t="n">
        <v>8</v>
      </c>
      <c r="K108" s="64" t="s">
        <v>284</v>
      </c>
      <c r="L108" s="64" t="s">
        <v>280</v>
      </c>
      <c r="M108" s="67" t="str">
        <f aca="false">IF(A108="","",IF(AND(B108&gt;=WeekStart,B108&lt;=WeekEnd),"Yes","No"))</f>
        <v>Yes</v>
      </c>
      <c r="N108" s="67" t="str">
        <f aca="false">IF(A108="","",IF(L108&lt;&gt;"Verified","Not verified",IF(COUNTIFS(in_CGID,C108,in_ClientID,E108,in_Svc,G108)&gt;0,"Yes","Not entered")))</f>
        <v>Yes</v>
      </c>
    </row>
    <row r="109" customFormat="false" ht="15" hidden="false" customHeight="false" outlineLevel="0" collapsed="false">
      <c r="A109" s="64" t="s">
        <v>461</v>
      </c>
      <c r="B109" s="65" t="n">
        <v>46281</v>
      </c>
      <c r="C109" s="64" t="s">
        <v>387</v>
      </c>
      <c r="D109" s="64" t="s">
        <v>185</v>
      </c>
      <c r="E109" s="64" t="s">
        <v>361</v>
      </c>
      <c r="F109" s="64" t="s">
        <v>132</v>
      </c>
      <c r="G109" s="64" t="s">
        <v>113</v>
      </c>
      <c r="H109" s="66" t="n">
        <v>46281.5041666667</v>
      </c>
      <c r="I109" s="66" t="n">
        <v>46281.6097222222</v>
      </c>
      <c r="J109" s="64" t="n">
        <v>10</v>
      </c>
      <c r="K109" s="64" t="s">
        <v>284</v>
      </c>
      <c r="L109" s="64" t="s">
        <v>280</v>
      </c>
      <c r="M109" s="67" t="str">
        <f aca="false">IF(A109="","",IF(AND(B109&gt;=WeekStart,B109&lt;=WeekEnd),"Yes","No"))</f>
        <v>Yes</v>
      </c>
      <c r="N109" s="67" t="str">
        <f aca="false">IF(A109="","",IF(L109&lt;&gt;"Verified","Not verified",IF(COUNTIFS(in_CGID,C109,in_ClientID,E109,in_Svc,G109)&gt;0,"Yes","Not entered")))</f>
        <v>Yes</v>
      </c>
    </row>
    <row r="110" customFormat="false" ht="15" hidden="false" customHeight="false" outlineLevel="0" collapsed="false">
      <c r="A110" s="64" t="s">
        <v>462</v>
      </c>
      <c r="B110" s="65" t="n">
        <v>46281</v>
      </c>
      <c r="C110" s="64" t="s">
        <v>335</v>
      </c>
      <c r="D110" s="64" t="s">
        <v>151</v>
      </c>
      <c r="E110" s="64" t="s">
        <v>295</v>
      </c>
      <c r="F110" s="64" t="s">
        <v>153</v>
      </c>
      <c r="G110" s="64" t="s">
        <v>117</v>
      </c>
      <c r="H110" s="66" t="n">
        <v>46281.5388888889</v>
      </c>
      <c r="I110" s="66" t="n">
        <v>46281.8708333333</v>
      </c>
      <c r="J110" s="64" t="n">
        <v>32</v>
      </c>
      <c r="K110" s="64" t="s">
        <v>284</v>
      </c>
      <c r="L110" s="64" t="s">
        <v>280</v>
      </c>
      <c r="M110" s="67" t="str">
        <f aca="false">IF(A110="","",IF(AND(B110&gt;=WeekStart,B110&lt;=WeekEnd),"Yes","No"))</f>
        <v>Yes</v>
      </c>
      <c r="N110" s="67" t="str">
        <f aca="false">IF(A110="","",IF(L110&lt;&gt;"Verified","Not verified",IF(COUNTIFS(in_CGID,C110,in_ClientID,E110,in_Svc,G110)&gt;0,"Yes","Not entered")))</f>
        <v>Yes</v>
      </c>
    </row>
    <row r="111" customFormat="false" ht="15" hidden="false" customHeight="false" outlineLevel="0" collapsed="false">
      <c r="A111" s="64" t="s">
        <v>463</v>
      </c>
      <c r="B111" s="65" t="n">
        <v>46281</v>
      </c>
      <c r="C111" s="64" t="s">
        <v>302</v>
      </c>
      <c r="D111" s="64" t="s">
        <v>119</v>
      </c>
      <c r="E111" s="64" t="s">
        <v>303</v>
      </c>
      <c r="F111" s="64" t="s">
        <v>120</v>
      </c>
      <c r="G111" s="64" t="s">
        <v>117</v>
      </c>
      <c r="H111" s="66" t="n">
        <v>46281.5402777778</v>
      </c>
      <c r="I111" s="66" t="n">
        <v>46281.8138888889</v>
      </c>
      <c r="J111" s="64" t="n">
        <v>26</v>
      </c>
      <c r="K111" s="64" t="s">
        <v>284</v>
      </c>
      <c r="L111" s="64" t="s">
        <v>280</v>
      </c>
      <c r="M111" s="67" t="str">
        <f aca="false">IF(A111="","",IF(AND(B111&gt;=WeekStart,B111&lt;=WeekEnd),"Yes","No"))</f>
        <v>Yes</v>
      </c>
      <c r="N111" s="67" t="str">
        <f aca="false">IF(A111="","",IF(L111&lt;&gt;"Verified","Not verified",IF(COUNTIFS(in_CGID,C111,in_ClientID,E111,in_Svc,G111)&gt;0,"Yes","Not entered")))</f>
        <v>Yes</v>
      </c>
    </row>
    <row r="112" customFormat="false" ht="15" hidden="false" customHeight="false" outlineLevel="0" collapsed="false">
      <c r="A112" s="64" t="s">
        <v>464</v>
      </c>
      <c r="B112" s="65" t="n">
        <v>46281</v>
      </c>
      <c r="C112" s="64" t="s">
        <v>400</v>
      </c>
      <c r="D112" s="64" t="s">
        <v>162</v>
      </c>
      <c r="E112" s="64" t="s">
        <v>401</v>
      </c>
      <c r="F112" s="64" t="s">
        <v>163</v>
      </c>
      <c r="G112" s="64" t="s">
        <v>133</v>
      </c>
      <c r="H112" s="66" t="n">
        <v>46281.5402777778</v>
      </c>
      <c r="I112" s="66" t="n">
        <v>46281.6444444444</v>
      </c>
      <c r="J112" s="64" t="n">
        <v>10</v>
      </c>
      <c r="K112" s="64" t="s">
        <v>284</v>
      </c>
      <c r="L112" s="64" t="s">
        <v>280</v>
      </c>
      <c r="M112" s="67" t="str">
        <f aca="false">IF(A112="","",IF(AND(B112&gt;=WeekStart,B112&lt;=WeekEnd),"Yes","No"))</f>
        <v>Yes</v>
      </c>
      <c r="N112" s="67" t="str">
        <f aca="false">IF(A112="","",IF(L112&lt;&gt;"Verified","Not verified",IF(COUNTIFS(in_CGID,C112,in_ClientID,E112,in_Svc,G112)&gt;0,"Yes","Not entered")))</f>
        <v>Yes</v>
      </c>
    </row>
    <row r="113" customFormat="false" ht="15" hidden="false" customHeight="false" outlineLevel="0" collapsed="false">
      <c r="A113" s="64" t="s">
        <v>465</v>
      </c>
      <c r="B113" s="65" t="n">
        <v>46281</v>
      </c>
      <c r="C113" s="64" t="s">
        <v>327</v>
      </c>
      <c r="D113" s="64" t="s">
        <v>187</v>
      </c>
      <c r="E113" s="64" t="s">
        <v>364</v>
      </c>
      <c r="F113" s="64" t="s">
        <v>149</v>
      </c>
      <c r="G113" s="64" t="s">
        <v>113</v>
      </c>
      <c r="H113" s="66" t="n">
        <v>46281.5416666667</v>
      </c>
      <c r="I113" s="66" t="n">
        <v>46281.625</v>
      </c>
      <c r="J113" s="64" t="n">
        <v>8</v>
      </c>
      <c r="K113" s="64" t="s">
        <v>284</v>
      </c>
      <c r="L113" s="64" t="s">
        <v>280</v>
      </c>
      <c r="M113" s="67" t="str">
        <f aca="false">IF(A113="","",IF(AND(B113&gt;=WeekStart,B113&lt;=WeekEnd),"Yes","No"))</f>
        <v>Yes</v>
      </c>
      <c r="N113" s="67" t="str">
        <f aca="false">IF(A113="","",IF(L113&lt;&gt;"Verified","Not verified",IF(COUNTIFS(in_CGID,C113,in_ClientID,E113,in_Svc,G113)&gt;0,"Yes","Not entered")))</f>
        <v>Yes</v>
      </c>
    </row>
    <row r="114" customFormat="false" ht="15" hidden="false" customHeight="false" outlineLevel="0" collapsed="false">
      <c r="A114" s="64" t="s">
        <v>466</v>
      </c>
      <c r="B114" s="65" t="n">
        <v>46281</v>
      </c>
      <c r="C114" s="64" t="s">
        <v>335</v>
      </c>
      <c r="D114" s="64" t="s">
        <v>151</v>
      </c>
      <c r="E114" s="64" t="s">
        <v>330</v>
      </c>
      <c r="F114" s="64" t="s">
        <v>152</v>
      </c>
      <c r="G114" s="64" t="s">
        <v>113</v>
      </c>
      <c r="H114" s="66" t="n">
        <v>46281.5833333333</v>
      </c>
      <c r="I114" s="66" t="n">
        <v>46281.6694444444</v>
      </c>
      <c r="J114" s="64" t="n">
        <v>8</v>
      </c>
      <c r="K114" s="64" t="s">
        <v>284</v>
      </c>
      <c r="L114" s="64" t="s">
        <v>280</v>
      </c>
      <c r="M114" s="67" t="str">
        <f aca="false">IF(A114="","",IF(AND(B114&gt;=WeekStart,B114&lt;=WeekEnd),"Yes","No"))</f>
        <v>Yes</v>
      </c>
      <c r="N114" s="67" t="str">
        <f aca="false">IF(A114="","",IF(L114&lt;&gt;"Verified","Not verified",IF(COUNTIFS(in_CGID,C114,in_ClientID,E114,in_Svc,G114)&gt;0,"Yes","Not entered")))</f>
        <v>Yes</v>
      </c>
    </row>
    <row r="115" customFormat="false" ht="15" hidden="false" customHeight="false" outlineLevel="0" collapsed="false">
      <c r="A115" s="64" t="s">
        <v>467</v>
      </c>
      <c r="B115" s="65" t="n">
        <v>46281</v>
      </c>
      <c r="C115" s="64" t="s">
        <v>277</v>
      </c>
      <c r="D115" s="64" t="s">
        <v>108</v>
      </c>
      <c r="E115" s="64" t="s">
        <v>321</v>
      </c>
      <c r="F115" s="64" t="s">
        <v>112</v>
      </c>
      <c r="G115" s="64" t="s">
        <v>113</v>
      </c>
      <c r="H115" s="66" t="n">
        <v>46281.6222222222</v>
      </c>
      <c r="I115" s="66" t="n">
        <v>46281.7472222222</v>
      </c>
      <c r="J115" s="64" t="n">
        <v>12</v>
      </c>
      <c r="K115" s="64" t="s">
        <v>279</v>
      </c>
      <c r="L115" s="64" t="s">
        <v>280</v>
      </c>
      <c r="M115" s="67" t="str">
        <f aca="false">IF(A115="","",IF(AND(B115&gt;=WeekStart,B115&lt;=WeekEnd),"Yes","No"))</f>
        <v>Yes</v>
      </c>
      <c r="N115" s="67" t="str">
        <f aca="false">IF(A115="","",IF(L115&lt;&gt;"Verified","Not verified",IF(COUNTIFS(in_CGID,C115,in_ClientID,E115,in_Svc,G115)&gt;0,"Yes","Not entered")))</f>
        <v>Yes</v>
      </c>
    </row>
    <row r="116" customFormat="false" ht="15" hidden="false" customHeight="false" outlineLevel="0" collapsed="false">
      <c r="A116" s="64" t="s">
        <v>468</v>
      </c>
      <c r="B116" s="65" t="n">
        <v>46281</v>
      </c>
      <c r="C116" s="64" t="s">
        <v>329</v>
      </c>
      <c r="D116" s="64" t="s">
        <v>176</v>
      </c>
      <c r="E116" s="64" t="s">
        <v>330</v>
      </c>
      <c r="F116" s="64" t="s">
        <v>152</v>
      </c>
      <c r="G116" s="64" t="s">
        <v>113</v>
      </c>
      <c r="H116" s="66" t="n">
        <v>46281.6236111111</v>
      </c>
      <c r="I116" s="66" t="n">
        <v>46281.7291666667</v>
      </c>
      <c r="J116" s="64" t="n">
        <v>10</v>
      </c>
      <c r="K116" s="64" t="s">
        <v>279</v>
      </c>
      <c r="L116" s="64" t="s">
        <v>280</v>
      </c>
      <c r="M116" s="67" t="str">
        <f aca="false">IF(A116="","",IF(AND(B116&gt;=WeekStart,B116&lt;=WeekEnd),"Yes","No"))</f>
        <v>Yes</v>
      </c>
      <c r="N116" s="67" t="str">
        <f aca="false">IF(A116="","",IF(L116&lt;&gt;"Verified","Not verified",IF(COUNTIFS(in_CGID,C116,in_ClientID,E116,in_Svc,G116)&gt;0,"Yes","Not entered")))</f>
        <v>Yes</v>
      </c>
    </row>
    <row r="117" customFormat="false" ht="15" hidden="false" customHeight="false" outlineLevel="0" collapsed="false">
      <c r="A117" s="64" t="s">
        <v>469</v>
      </c>
      <c r="B117" s="65" t="n">
        <v>46281</v>
      </c>
      <c r="C117" s="64" t="s">
        <v>427</v>
      </c>
      <c r="D117" s="64" t="s">
        <v>175</v>
      </c>
      <c r="E117" s="64" t="s">
        <v>340</v>
      </c>
      <c r="F117" s="64" t="s">
        <v>143</v>
      </c>
      <c r="G117" s="64" t="s">
        <v>110</v>
      </c>
      <c r="H117" s="66" t="n">
        <v>46281.625</v>
      </c>
      <c r="I117" s="66" t="n">
        <v>46281.7069444444</v>
      </c>
      <c r="J117" s="64" t="n">
        <v>8</v>
      </c>
      <c r="K117" s="64" t="s">
        <v>284</v>
      </c>
      <c r="L117" s="64" t="s">
        <v>280</v>
      </c>
      <c r="M117" s="67" t="str">
        <f aca="false">IF(A117="","",IF(AND(B117&gt;=WeekStart,B117&lt;=WeekEnd),"Yes","No"))</f>
        <v>Yes</v>
      </c>
      <c r="N117" s="67" t="str">
        <f aca="false">IF(A117="","",IF(L117&lt;&gt;"Verified","Not verified",IF(COUNTIFS(in_CGID,C117,in_ClientID,E117,in_Svc,G117)&gt;0,"Yes","Not entered")))</f>
        <v>Yes</v>
      </c>
    </row>
    <row r="118" customFormat="false" ht="15" hidden="false" customHeight="false" outlineLevel="0" collapsed="false">
      <c r="A118" s="64" t="s">
        <v>470</v>
      </c>
      <c r="B118" s="65" t="n">
        <v>46281</v>
      </c>
      <c r="C118" s="64" t="s">
        <v>355</v>
      </c>
      <c r="D118" s="64" t="s">
        <v>193</v>
      </c>
      <c r="E118" s="64" t="s">
        <v>330</v>
      </c>
      <c r="F118" s="64" t="s">
        <v>152</v>
      </c>
      <c r="G118" s="64" t="s">
        <v>113</v>
      </c>
      <c r="H118" s="66" t="n">
        <v>46281.625</v>
      </c>
      <c r="I118" s="66" t="n">
        <v>46281.7944444444</v>
      </c>
      <c r="J118" s="64" t="n">
        <v>16</v>
      </c>
      <c r="K118" s="64" t="s">
        <v>279</v>
      </c>
      <c r="L118" s="64" t="s">
        <v>280</v>
      </c>
      <c r="M118" s="67" t="str">
        <f aca="false">IF(A118="","",IF(AND(B118&gt;=WeekStart,B118&lt;=WeekEnd),"Yes","No"))</f>
        <v>Yes</v>
      </c>
      <c r="N118" s="67" t="str">
        <f aca="false">IF(A118="","",IF(L118&lt;&gt;"Verified","Not verified",IF(COUNTIFS(in_CGID,C118,in_ClientID,E118,in_Svc,G118)&gt;0,"Yes","Not entered")))</f>
        <v>Yes</v>
      </c>
    </row>
    <row r="119" customFormat="false" ht="15" hidden="false" customHeight="false" outlineLevel="0" collapsed="false">
      <c r="A119" s="64" t="s">
        <v>471</v>
      </c>
      <c r="B119" s="65" t="n">
        <v>46281</v>
      </c>
      <c r="C119" s="64" t="s">
        <v>350</v>
      </c>
      <c r="D119" s="64" t="s">
        <v>142</v>
      </c>
      <c r="E119" s="64" t="s">
        <v>340</v>
      </c>
      <c r="F119" s="64" t="s">
        <v>143</v>
      </c>
      <c r="G119" s="64" t="s">
        <v>113</v>
      </c>
      <c r="H119" s="66" t="n">
        <v>46281.6291666667</v>
      </c>
      <c r="I119" s="66" t="n">
        <v>46281.7125</v>
      </c>
      <c r="J119" s="64" t="n">
        <v>8</v>
      </c>
      <c r="K119" s="64" t="s">
        <v>284</v>
      </c>
      <c r="L119" s="64" t="s">
        <v>280</v>
      </c>
      <c r="M119" s="67" t="str">
        <f aca="false">IF(A119="","",IF(AND(B119&gt;=WeekStart,B119&lt;=WeekEnd),"Yes","No"))</f>
        <v>Yes</v>
      </c>
      <c r="N119" s="67" t="str">
        <f aca="false">IF(A119="","",IF(L119&lt;&gt;"Verified","Not verified",IF(COUNTIFS(in_CGID,C119,in_ClientID,E119,in_Svc,G119)&gt;0,"Yes","Not entered")))</f>
        <v>Yes</v>
      </c>
    </row>
    <row r="120" customFormat="false" ht="15" hidden="false" customHeight="false" outlineLevel="0" collapsed="false">
      <c r="A120" s="64" t="s">
        <v>472</v>
      </c>
      <c r="B120" s="65" t="n">
        <v>46281</v>
      </c>
      <c r="C120" s="64" t="s">
        <v>307</v>
      </c>
      <c r="D120" s="64" t="s">
        <v>166</v>
      </c>
      <c r="E120" s="64" t="s">
        <v>295</v>
      </c>
      <c r="F120" s="64" t="s">
        <v>153</v>
      </c>
      <c r="G120" s="64" t="s">
        <v>113</v>
      </c>
      <c r="H120" s="66" t="n">
        <v>46281.6291666667</v>
      </c>
      <c r="I120" s="66" t="n">
        <v>46281.7965277778</v>
      </c>
      <c r="J120" s="64" t="n">
        <v>16</v>
      </c>
      <c r="K120" s="64" t="s">
        <v>284</v>
      </c>
      <c r="L120" s="64" t="s">
        <v>280</v>
      </c>
      <c r="M120" s="67" t="str">
        <f aca="false">IF(A120="","",IF(AND(B120&gt;=WeekStart,B120&lt;=WeekEnd),"Yes","No"))</f>
        <v>Yes</v>
      </c>
      <c r="N120" s="67" t="str">
        <f aca="false">IF(A120="","",IF(L120&lt;&gt;"Verified","Not verified",IF(COUNTIFS(in_CGID,C120,in_ClientID,E120,in_Svc,G120)&gt;0,"Yes","Not entered")))</f>
        <v>Yes</v>
      </c>
    </row>
    <row r="121" customFormat="false" ht="15" hidden="false" customHeight="false" outlineLevel="0" collapsed="false">
      <c r="A121" s="64" t="s">
        <v>473</v>
      </c>
      <c r="B121" s="65" t="n">
        <v>46282</v>
      </c>
      <c r="C121" s="64" t="s">
        <v>297</v>
      </c>
      <c r="D121" s="64" t="s">
        <v>169</v>
      </c>
      <c r="E121" s="64" t="s">
        <v>298</v>
      </c>
      <c r="F121" s="64" t="s">
        <v>170</v>
      </c>
      <c r="G121" s="64" t="s">
        <v>113</v>
      </c>
      <c r="H121" s="66" t="n">
        <v>46282.2902777778</v>
      </c>
      <c r="I121" s="66" t="n">
        <v>46282.4583333333</v>
      </c>
      <c r="J121" s="64" t="n">
        <v>16</v>
      </c>
      <c r="K121" s="64" t="s">
        <v>288</v>
      </c>
      <c r="L121" s="64" t="s">
        <v>280</v>
      </c>
      <c r="M121" s="67" t="str">
        <f aca="false">IF(A121="","",IF(AND(B121&gt;=WeekStart,B121&lt;=WeekEnd),"Yes","No"))</f>
        <v>Yes</v>
      </c>
      <c r="N121" s="67" t="str">
        <f aca="false">IF(A121="","",IF(L121&lt;&gt;"Verified","Not verified",IF(COUNTIFS(in_CGID,C121,in_ClientID,E121,in_Svc,G121)&gt;0,"Yes","Not entered")))</f>
        <v>Yes</v>
      </c>
    </row>
    <row r="122" customFormat="false" ht="15" hidden="false" customHeight="false" outlineLevel="0" collapsed="false">
      <c r="A122" s="64" t="s">
        <v>474</v>
      </c>
      <c r="B122" s="65" t="n">
        <v>46282</v>
      </c>
      <c r="C122" s="64" t="s">
        <v>475</v>
      </c>
      <c r="D122" s="64" t="s">
        <v>129</v>
      </c>
      <c r="E122" s="64" t="s">
        <v>476</v>
      </c>
      <c r="F122" s="64" t="s">
        <v>130</v>
      </c>
      <c r="G122" s="64" t="s">
        <v>117</v>
      </c>
      <c r="H122" s="66" t="n">
        <v>46282.2902777778</v>
      </c>
      <c r="I122" s="66" t="n">
        <v>46282.5597222222</v>
      </c>
      <c r="J122" s="64" t="n">
        <v>26</v>
      </c>
      <c r="K122" s="64" t="s">
        <v>284</v>
      </c>
      <c r="L122" s="64" t="s">
        <v>280</v>
      </c>
      <c r="M122" s="67" t="str">
        <f aca="false">IF(A122="","",IF(AND(B122&gt;=WeekStart,B122&lt;=WeekEnd),"Yes","No"))</f>
        <v>Yes</v>
      </c>
      <c r="N122" s="67" t="str">
        <f aca="false">IF(A122="","",IF(L122&lt;&gt;"Verified","Not verified",IF(COUNTIFS(in_CGID,C122,in_ClientID,E122,in_Svc,G122)&gt;0,"Yes","Not entered")))</f>
        <v>Yes</v>
      </c>
    </row>
    <row r="123" customFormat="false" ht="15" hidden="false" customHeight="false" outlineLevel="0" collapsed="false">
      <c r="A123" s="64" t="s">
        <v>477</v>
      </c>
      <c r="B123" s="65" t="n">
        <v>46282</v>
      </c>
      <c r="C123" s="64" t="s">
        <v>369</v>
      </c>
      <c r="D123" s="64" t="s">
        <v>173</v>
      </c>
      <c r="E123" s="64" t="s">
        <v>370</v>
      </c>
      <c r="F123" s="64" t="s">
        <v>174</v>
      </c>
      <c r="G123" s="64" t="s">
        <v>133</v>
      </c>
      <c r="H123" s="66" t="n">
        <v>46282.2916666667</v>
      </c>
      <c r="I123" s="66" t="n">
        <v>46282.375</v>
      </c>
      <c r="J123" s="64" t="n">
        <v>8</v>
      </c>
      <c r="K123" s="64" t="s">
        <v>284</v>
      </c>
      <c r="L123" s="64" t="s">
        <v>280</v>
      </c>
      <c r="M123" s="67" t="str">
        <f aca="false">IF(A123="","",IF(AND(B123&gt;=WeekStart,B123&lt;=WeekEnd),"Yes","No"))</f>
        <v>Yes</v>
      </c>
      <c r="N123" s="67" t="str">
        <f aca="false">IF(A123="","",IF(L123&lt;&gt;"Verified","Not verified",IF(COUNTIFS(in_CGID,C123,in_ClientID,E123,in_Svc,G123)&gt;0,"Yes","Not entered")))</f>
        <v>Yes</v>
      </c>
    </row>
    <row r="124" customFormat="false" ht="15" hidden="false" customHeight="false" outlineLevel="0" collapsed="false">
      <c r="A124" s="64" t="s">
        <v>478</v>
      </c>
      <c r="B124" s="65" t="n">
        <v>46282</v>
      </c>
      <c r="C124" s="64" t="s">
        <v>355</v>
      </c>
      <c r="D124" s="64" t="s">
        <v>193</v>
      </c>
      <c r="E124" s="64" t="s">
        <v>388</v>
      </c>
      <c r="F124" s="64" t="s">
        <v>186</v>
      </c>
      <c r="G124" s="64" t="s">
        <v>113</v>
      </c>
      <c r="H124" s="66" t="n">
        <v>46282.2916666667</v>
      </c>
      <c r="I124" s="66" t="n">
        <v>46282.4194444444</v>
      </c>
      <c r="J124" s="64" t="n">
        <v>12</v>
      </c>
      <c r="K124" s="64" t="s">
        <v>284</v>
      </c>
      <c r="L124" s="64" t="s">
        <v>280</v>
      </c>
      <c r="M124" s="67" t="str">
        <f aca="false">IF(A124="","",IF(AND(B124&gt;=WeekStart,B124&lt;=WeekEnd),"Yes","No"))</f>
        <v>Yes</v>
      </c>
      <c r="N124" s="67" t="str">
        <f aca="false">IF(A124="","",IF(L124&lt;&gt;"Verified","Not verified",IF(COUNTIFS(in_CGID,C124,in_ClientID,E124,in_Svc,G124)&gt;0,"Yes","Not entered")))</f>
        <v>Yes</v>
      </c>
    </row>
    <row r="125" customFormat="false" ht="15" hidden="false" customHeight="false" outlineLevel="0" collapsed="false">
      <c r="A125" s="64" t="s">
        <v>479</v>
      </c>
      <c r="B125" s="65" t="n">
        <v>46282</v>
      </c>
      <c r="C125" s="64" t="s">
        <v>395</v>
      </c>
      <c r="D125" s="64" t="s">
        <v>179</v>
      </c>
      <c r="E125" s="64" t="s">
        <v>330</v>
      </c>
      <c r="F125" s="64" t="s">
        <v>152</v>
      </c>
      <c r="G125" s="64" t="s">
        <v>157</v>
      </c>
      <c r="H125" s="66" t="n">
        <v>46282.29375</v>
      </c>
      <c r="I125" s="66" t="n">
        <v>46282.33125</v>
      </c>
      <c r="J125" s="64" t="n">
        <v>1</v>
      </c>
      <c r="K125" s="64" t="s">
        <v>284</v>
      </c>
      <c r="L125" s="64" t="s">
        <v>280</v>
      </c>
      <c r="M125" s="67" t="str">
        <f aca="false">IF(A125="","",IF(AND(B125&gt;=WeekStart,B125&lt;=WeekEnd),"Yes","No"))</f>
        <v>Yes</v>
      </c>
      <c r="N125" s="67" t="str">
        <f aca="false">IF(A125="","",IF(L125&lt;&gt;"Verified","Not verified",IF(COUNTIFS(in_CGID,C125,in_ClientID,E125,in_Svc,G125)&gt;0,"Yes","Not entered")))</f>
        <v>Yes</v>
      </c>
    </row>
    <row r="126" customFormat="false" ht="15" hidden="false" customHeight="false" outlineLevel="0" collapsed="false">
      <c r="A126" s="64" t="s">
        <v>480</v>
      </c>
      <c r="B126" s="65" t="n">
        <v>46282</v>
      </c>
      <c r="C126" s="64" t="s">
        <v>353</v>
      </c>
      <c r="D126" s="64" t="s">
        <v>189</v>
      </c>
      <c r="E126" s="64" t="s">
        <v>283</v>
      </c>
      <c r="F126" s="64" t="s">
        <v>147</v>
      </c>
      <c r="G126" s="64" t="s">
        <v>113</v>
      </c>
      <c r="H126" s="66" t="n">
        <v>46282.2958333333</v>
      </c>
      <c r="I126" s="66" t="n">
        <v>46282.3791666667</v>
      </c>
      <c r="J126" s="64" t="n">
        <v>8</v>
      </c>
      <c r="K126" s="64" t="s">
        <v>279</v>
      </c>
      <c r="L126" s="64" t="s">
        <v>280</v>
      </c>
      <c r="M126" s="67" t="str">
        <f aca="false">IF(A126="","",IF(AND(B126&gt;=WeekStart,B126&lt;=WeekEnd),"Yes","No"))</f>
        <v>Yes</v>
      </c>
      <c r="N126" s="67" t="str">
        <f aca="false">IF(A126="","",IF(L126&lt;&gt;"Verified","Not verified",IF(COUNTIFS(in_CGID,C126,in_ClientID,E126,in_Svc,G126)&gt;0,"Yes","Not entered")))</f>
        <v>Yes</v>
      </c>
    </row>
    <row r="127" customFormat="false" ht="15" hidden="false" customHeight="false" outlineLevel="0" collapsed="false">
      <c r="A127" s="64" t="s">
        <v>481</v>
      </c>
      <c r="B127" s="65" t="n">
        <v>46282</v>
      </c>
      <c r="C127" s="64" t="s">
        <v>286</v>
      </c>
      <c r="D127" s="64" t="s">
        <v>139</v>
      </c>
      <c r="E127" s="64" t="s">
        <v>373</v>
      </c>
      <c r="F127" s="64" t="s">
        <v>140</v>
      </c>
      <c r="G127" s="64" t="s">
        <v>113</v>
      </c>
      <c r="H127" s="66" t="n">
        <v>46282.2958333333</v>
      </c>
      <c r="I127" s="66" t="n">
        <v>46282.4625</v>
      </c>
      <c r="J127" s="64" t="n">
        <v>16</v>
      </c>
      <c r="K127" s="64" t="s">
        <v>284</v>
      </c>
      <c r="L127" s="64" t="s">
        <v>280</v>
      </c>
      <c r="M127" s="67" t="str">
        <f aca="false">IF(A127="","",IF(AND(B127&gt;=WeekStart,B127&lt;=WeekEnd),"Yes","No"))</f>
        <v>Yes</v>
      </c>
      <c r="N127" s="67" t="str">
        <f aca="false">IF(A127="","",IF(L127&lt;&gt;"Verified","Not verified",IF(COUNTIFS(in_CGID,C127,in_ClientID,E127,in_Svc,G127)&gt;0,"Yes","Not entered")))</f>
        <v>Yes</v>
      </c>
    </row>
    <row r="128" customFormat="false" ht="15" hidden="false" customHeight="false" outlineLevel="0" collapsed="false">
      <c r="A128" s="64" t="s">
        <v>482</v>
      </c>
      <c r="B128" s="65" t="n">
        <v>46282</v>
      </c>
      <c r="C128" s="64" t="s">
        <v>307</v>
      </c>
      <c r="D128" s="64" t="s">
        <v>166</v>
      </c>
      <c r="E128" s="64" t="s">
        <v>290</v>
      </c>
      <c r="F128" s="64" t="s">
        <v>122</v>
      </c>
      <c r="G128" s="64" t="s">
        <v>133</v>
      </c>
      <c r="H128" s="66" t="n">
        <v>46282.3097222222</v>
      </c>
      <c r="I128" s="66" t="n">
        <v>46282.4375</v>
      </c>
      <c r="J128" s="64" t="n">
        <v>12</v>
      </c>
      <c r="K128" s="64" t="s">
        <v>284</v>
      </c>
      <c r="L128" s="64" t="s">
        <v>280</v>
      </c>
      <c r="M128" s="67" t="str">
        <f aca="false">IF(A128="","",IF(AND(B128&gt;=WeekStart,B128&lt;=WeekEnd),"Yes","No"))</f>
        <v>Yes</v>
      </c>
      <c r="N128" s="67" t="str">
        <f aca="false">IF(A128="","",IF(L128&lt;&gt;"Verified","Not verified",IF(COUNTIFS(in_CGID,C128,in_ClientID,E128,in_Svc,G128)&gt;0,"Yes","Not entered")))</f>
        <v>Yes</v>
      </c>
    </row>
    <row r="129" customFormat="false" ht="15" hidden="false" customHeight="false" outlineLevel="0" collapsed="false">
      <c r="A129" s="64" t="s">
        <v>483</v>
      </c>
      <c r="B129" s="65" t="n">
        <v>46282</v>
      </c>
      <c r="C129" s="64" t="s">
        <v>312</v>
      </c>
      <c r="D129" s="64" t="s">
        <v>154</v>
      </c>
      <c r="E129" s="64" t="s">
        <v>348</v>
      </c>
      <c r="F129" s="64" t="s">
        <v>136</v>
      </c>
      <c r="G129" s="64" t="s">
        <v>113</v>
      </c>
      <c r="H129" s="66" t="n">
        <v>46282.3097222222</v>
      </c>
      <c r="I129" s="66" t="n">
        <v>46282.4347222222</v>
      </c>
      <c r="J129" s="64" t="n">
        <v>12</v>
      </c>
      <c r="K129" s="64" t="s">
        <v>284</v>
      </c>
      <c r="L129" s="64" t="s">
        <v>280</v>
      </c>
      <c r="M129" s="67" t="str">
        <f aca="false">IF(A129="","",IF(AND(B129&gt;=WeekStart,B129&lt;=WeekEnd),"Yes","No"))</f>
        <v>Yes</v>
      </c>
      <c r="N129" s="67" t="str">
        <f aca="false">IF(A129="","",IF(L129&lt;&gt;"Verified","Not verified",IF(COUNTIFS(in_CGID,C129,in_ClientID,E129,in_Svc,G129)&gt;0,"Yes","Not entered")))</f>
        <v>Yes</v>
      </c>
    </row>
    <row r="130" customFormat="false" ht="15" hidden="false" customHeight="false" outlineLevel="0" collapsed="false">
      <c r="A130" s="64" t="s">
        <v>484</v>
      </c>
      <c r="B130" s="65" t="n">
        <v>46282</v>
      </c>
      <c r="C130" s="64" t="s">
        <v>277</v>
      </c>
      <c r="D130" s="64" t="s">
        <v>108</v>
      </c>
      <c r="E130" s="64" t="s">
        <v>292</v>
      </c>
      <c r="F130" s="64" t="s">
        <v>114</v>
      </c>
      <c r="G130" s="64" t="s">
        <v>110</v>
      </c>
      <c r="H130" s="66" t="n">
        <v>46282.3131944445</v>
      </c>
      <c r="I130" s="66" t="n">
        <v>46282.3965277778</v>
      </c>
      <c r="J130" s="64" t="n">
        <v>8</v>
      </c>
      <c r="K130" s="64" t="s">
        <v>279</v>
      </c>
      <c r="L130" s="64" t="s">
        <v>280</v>
      </c>
      <c r="M130" s="67" t="str">
        <f aca="false">IF(A130="","",IF(AND(B130&gt;=WeekStart,B130&lt;=WeekEnd),"Yes","No"))</f>
        <v>Yes</v>
      </c>
      <c r="N130" s="67" t="str">
        <f aca="false">IF(A130="","",IF(L130&lt;&gt;"Verified","Not verified",IF(COUNTIFS(in_CGID,C130,in_ClientID,E130,in_Svc,G130)&gt;0,"Yes","Not entered")))</f>
        <v>Yes</v>
      </c>
    </row>
    <row r="131" customFormat="false" ht="15" hidden="false" customHeight="false" outlineLevel="0" collapsed="false">
      <c r="A131" s="64" t="s">
        <v>485</v>
      </c>
      <c r="B131" s="65" t="n">
        <v>46282</v>
      </c>
      <c r="C131" s="64" t="s">
        <v>315</v>
      </c>
      <c r="D131" s="64" t="s">
        <v>158</v>
      </c>
      <c r="E131" s="64" t="s">
        <v>316</v>
      </c>
      <c r="F131" s="64" t="s">
        <v>159</v>
      </c>
      <c r="G131" s="64" t="s">
        <v>113</v>
      </c>
      <c r="H131" s="66" t="n">
        <v>46282.3166666667</v>
      </c>
      <c r="I131" s="66" t="n">
        <v>46282.4</v>
      </c>
      <c r="J131" s="64" t="n">
        <v>8</v>
      </c>
      <c r="K131" s="64" t="s">
        <v>284</v>
      </c>
      <c r="L131" s="64" t="s">
        <v>280</v>
      </c>
      <c r="M131" s="67" t="str">
        <f aca="false">IF(A131="","",IF(AND(B131&gt;=WeekStart,B131&lt;=WeekEnd),"Yes","No"))</f>
        <v>Yes</v>
      </c>
      <c r="N131" s="67" t="str">
        <f aca="false">IF(A131="","",IF(L131&lt;&gt;"Verified","Not verified",IF(COUNTIFS(in_CGID,C131,in_ClientID,E131,in_Svc,G131)&gt;0,"Yes","Not entered")))</f>
        <v>Yes</v>
      </c>
    </row>
    <row r="132" customFormat="false" ht="15" hidden="false" customHeight="false" outlineLevel="0" collapsed="false">
      <c r="A132" s="64" t="s">
        <v>486</v>
      </c>
      <c r="B132" s="65" t="n">
        <v>46282</v>
      </c>
      <c r="C132" s="64" t="s">
        <v>307</v>
      </c>
      <c r="D132" s="64" t="s">
        <v>166</v>
      </c>
      <c r="E132" s="64" t="s">
        <v>295</v>
      </c>
      <c r="F132" s="64" t="s">
        <v>153</v>
      </c>
      <c r="G132" s="64" t="s">
        <v>113</v>
      </c>
      <c r="H132" s="66" t="n">
        <v>46282.3333333333</v>
      </c>
      <c r="I132" s="66" t="n">
        <v>46282.4791666667</v>
      </c>
      <c r="J132" s="64" t="n">
        <v>14</v>
      </c>
      <c r="K132" s="64" t="s">
        <v>284</v>
      </c>
      <c r="L132" s="64" t="s">
        <v>280</v>
      </c>
      <c r="M132" s="67" t="str">
        <f aca="false">IF(A132="","",IF(AND(B132&gt;=WeekStart,B132&lt;=WeekEnd),"Yes","No"))</f>
        <v>Yes</v>
      </c>
      <c r="N132" s="67" t="str">
        <f aca="false">IF(A132="","",IF(L132&lt;&gt;"Verified","Not verified",IF(COUNTIFS(in_CGID,C132,in_ClientID,E132,in_Svc,G132)&gt;0,"Yes","Not entered")))</f>
        <v>Yes</v>
      </c>
    </row>
    <row r="133" customFormat="false" ht="15" hidden="false" customHeight="false" outlineLevel="0" collapsed="false">
      <c r="A133" s="64" t="s">
        <v>487</v>
      </c>
      <c r="B133" s="65" t="n">
        <v>46282</v>
      </c>
      <c r="C133" s="64" t="s">
        <v>327</v>
      </c>
      <c r="D133" s="64" t="s">
        <v>187</v>
      </c>
      <c r="E133" s="64" t="s">
        <v>366</v>
      </c>
      <c r="F133" s="64" t="s">
        <v>188</v>
      </c>
      <c r="G133" s="64" t="s">
        <v>113</v>
      </c>
      <c r="H133" s="66" t="n">
        <v>46282.3333333333</v>
      </c>
      <c r="I133" s="66" t="n">
        <v>46282.4381944445</v>
      </c>
      <c r="J133" s="64" t="n">
        <v>10</v>
      </c>
      <c r="K133" s="64" t="s">
        <v>284</v>
      </c>
      <c r="L133" s="64" t="s">
        <v>280</v>
      </c>
      <c r="M133" s="67" t="str">
        <f aca="false">IF(A133="","",IF(AND(B133&gt;=WeekStart,B133&lt;=WeekEnd),"Yes","No"))</f>
        <v>Yes</v>
      </c>
      <c r="N133" s="67" t="str">
        <f aca="false">IF(A133="","",IF(L133&lt;&gt;"Verified","Not verified",IF(COUNTIFS(in_CGID,C133,in_ClientID,E133,in_Svc,G133)&gt;0,"Yes","Not entered")))</f>
        <v>Yes</v>
      </c>
    </row>
    <row r="134" customFormat="false" ht="15" hidden="false" customHeight="false" outlineLevel="0" collapsed="false">
      <c r="A134" s="64" t="s">
        <v>488</v>
      </c>
      <c r="B134" s="65" t="n">
        <v>46282</v>
      </c>
      <c r="C134" s="64" t="s">
        <v>454</v>
      </c>
      <c r="D134" s="64" t="s">
        <v>182</v>
      </c>
      <c r="E134" s="64" t="s">
        <v>455</v>
      </c>
      <c r="F134" s="64" t="s">
        <v>183</v>
      </c>
      <c r="G134" s="64" t="s">
        <v>110</v>
      </c>
      <c r="H134" s="66" t="n">
        <v>46282.3333333333</v>
      </c>
      <c r="I134" s="66" t="n">
        <v>46282.4194444444</v>
      </c>
      <c r="J134" s="64" t="n">
        <v>8</v>
      </c>
      <c r="K134" s="64" t="s">
        <v>284</v>
      </c>
      <c r="L134" s="64" t="s">
        <v>280</v>
      </c>
      <c r="M134" s="67" t="str">
        <f aca="false">IF(A134="","",IF(AND(B134&gt;=WeekStart,B134&lt;=WeekEnd),"Yes","No"))</f>
        <v>Yes</v>
      </c>
      <c r="N134" s="67" t="str">
        <f aca="false">IF(A134="","",IF(L134&lt;&gt;"Verified","Not verified",IF(COUNTIFS(in_CGID,C134,in_ClientID,E134,in_Svc,G134)&gt;0,"Yes","Not entered")))</f>
        <v>Yes</v>
      </c>
    </row>
    <row r="135" customFormat="false" ht="15" hidden="false" customHeight="false" outlineLevel="0" collapsed="false">
      <c r="A135" s="64" t="s">
        <v>489</v>
      </c>
      <c r="B135" s="65" t="n">
        <v>46282</v>
      </c>
      <c r="C135" s="64" t="s">
        <v>425</v>
      </c>
      <c r="D135" s="64" t="s">
        <v>131</v>
      </c>
      <c r="E135" s="64" t="s">
        <v>361</v>
      </c>
      <c r="F135" s="64" t="s">
        <v>132</v>
      </c>
      <c r="G135" s="64" t="s">
        <v>133</v>
      </c>
      <c r="H135" s="66" t="n">
        <v>46282.3333333333</v>
      </c>
      <c r="I135" s="66" t="n">
        <v>46282.4375</v>
      </c>
      <c r="J135" s="64" t="n">
        <v>10</v>
      </c>
      <c r="K135" s="64" t="s">
        <v>284</v>
      </c>
      <c r="L135" s="64" t="s">
        <v>280</v>
      </c>
      <c r="M135" s="67" t="str">
        <f aca="false">IF(A135="","",IF(AND(B135&gt;=WeekStart,B135&lt;=WeekEnd),"Yes","No"))</f>
        <v>Yes</v>
      </c>
      <c r="N135" s="67" t="str">
        <f aca="false">IF(A135="","",IF(L135&lt;&gt;"Verified","Not verified",IF(COUNTIFS(in_CGID,C135,in_ClientID,E135,in_Svc,G135)&gt;0,"Yes","Not entered")))</f>
        <v>Yes</v>
      </c>
    </row>
    <row r="136" customFormat="false" ht="15" hidden="false" customHeight="false" outlineLevel="0" collapsed="false">
      <c r="A136" s="64" t="s">
        <v>490</v>
      </c>
      <c r="B136" s="65" t="n">
        <v>46282</v>
      </c>
      <c r="C136" s="64" t="s">
        <v>327</v>
      </c>
      <c r="D136" s="64" t="s">
        <v>187</v>
      </c>
      <c r="E136" s="64" t="s">
        <v>364</v>
      </c>
      <c r="F136" s="64" t="s">
        <v>149</v>
      </c>
      <c r="G136" s="64" t="s">
        <v>113</v>
      </c>
      <c r="H136" s="66" t="n">
        <v>46282.3340277778</v>
      </c>
      <c r="I136" s="66" t="n">
        <v>46282.4784722222</v>
      </c>
      <c r="J136" s="64" t="n">
        <v>14</v>
      </c>
      <c r="K136" s="64" t="s">
        <v>284</v>
      </c>
      <c r="L136" s="64" t="s">
        <v>280</v>
      </c>
      <c r="M136" s="67" t="str">
        <f aca="false">IF(A136="","",IF(AND(B136&gt;=WeekStart,B136&lt;=WeekEnd),"Yes","No"))</f>
        <v>Yes</v>
      </c>
      <c r="N136" s="67" t="str">
        <f aca="false">IF(A136="","",IF(L136&lt;&gt;"Verified","Not verified",IF(COUNTIFS(in_CGID,C136,in_ClientID,E136,in_Svc,G136)&gt;0,"Yes","Not entered")))</f>
        <v>Yes</v>
      </c>
    </row>
    <row r="137" customFormat="false" ht="15" hidden="false" customHeight="false" outlineLevel="0" collapsed="false">
      <c r="A137" s="64" t="s">
        <v>491</v>
      </c>
      <c r="B137" s="65" t="n">
        <v>46282</v>
      </c>
      <c r="C137" s="64" t="s">
        <v>342</v>
      </c>
      <c r="D137" s="64" t="s">
        <v>137</v>
      </c>
      <c r="E137" s="64" t="s">
        <v>343</v>
      </c>
      <c r="F137" s="64" t="s">
        <v>138</v>
      </c>
      <c r="G137" s="64" t="s">
        <v>110</v>
      </c>
      <c r="H137" s="66" t="n">
        <v>46282.3375</v>
      </c>
      <c r="I137" s="66" t="n">
        <v>46282.4833333333</v>
      </c>
      <c r="J137" s="64" t="n">
        <v>14</v>
      </c>
      <c r="K137" s="64" t="s">
        <v>279</v>
      </c>
      <c r="L137" s="64" t="s">
        <v>280</v>
      </c>
      <c r="M137" s="67" t="str">
        <f aca="false">IF(A137="","",IF(AND(B137&gt;=WeekStart,B137&lt;=WeekEnd),"Yes","No"))</f>
        <v>Yes</v>
      </c>
      <c r="N137" s="67" t="str">
        <f aca="false">IF(A137="","",IF(L137&lt;&gt;"Verified","Not verified",IF(COUNTIFS(in_CGID,C137,in_ClientID,E137,in_Svc,G137)&gt;0,"Yes","Not entered")))</f>
        <v>Not entered</v>
      </c>
    </row>
    <row r="138" customFormat="false" ht="15" hidden="false" customHeight="false" outlineLevel="0" collapsed="false">
      <c r="A138" s="64" t="s">
        <v>492</v>
      </c>
      <c r="B138" s="65" t="n">
        <v>46282</v>
      </c>
      <c r="C138" s="64" t="s">
        <v>286</v>
      </c>
      <c r="D138" s="64" t="s">
        <v>139</v>
      </c>
      <c r="E138" s="64" t="s">
        <v>287</v>
      </c>
      <c r="F138" s="64" t="s">
        <v>141</v>
      </c>
      <c r="G138" s="64" t="s">
        <v>133</v>
      </c>
      <c r="H138" s="66" t="n">
        <v>46282.3722222222</v>
      </c>
      <c r="I138" s="66" t="n">
        <v>46282.4972222222</v>
      </c>
      <c r="J138" s="64" t="n">
        <v>12</v>
      </c>
      <c r="K138" s="64" t="s">
        <v>284</v>
      </c>
      <c r="L138" s="64" t="s">
        <v>280</v>
      </c>
      <c r="M138" s="67" t="str">
        <f aca="false">IF(A138="","",IF(AND(B138&gt;=WeekStart,B138&lt;=WeekEnd),"Yes","No"))</f>
        <v>Yes</v>
      </c>
      <c r="N138" s="67" t="str">
        <f aca="false">IF(A138="","",IF(L138&lt;&gt;"Verified","Not verified",IF(COUNTIFS(in_CGID,C138,in_ClientID,E138,in_Svc,G138)&gt;0,"Yes","Not entered")))</f>
        <v>Yes</v>
      </c>
    </row>
    <row r="139" customFormat="false" ht="15" hidden="false" customHeight="false" outlineLevel="0" collapsed="false">
      <c r="A139" s="64" t="s">
        <v>493</v>
      </c>
      <c r="B139" s="65" t="n">
        <v>46282</v>
      </c>
      <c r="C139" s="64" t="s">
        <v>360</v>
      </c>
      <c r="D139" s="64" t="s">
        <v>150</v>
      </c>
      <c r="E139" s="64" t="s">
        <v>361</v>
      </c>
      <c r="F139" s="64" t="s">
        <v>132</v>
      </c>
      <c r="G139" s="64" t="s">
        <v>133</v>
      </c>
      <c r="H139" s="66" t="n">
        <v>46282.3722222222</v>
      </c>
      <c r="I139" s="66" t="n">
        <v>46282.4979166667</v>
      </c>
      <c r="J139" s="64" t="n">
        <v>12</v>
      </c>
      <c r="K139" s="64" t="s">
        <v>279</v>
      </c>
      <c r="L139" s="64" t="s">
        <v>280</v>
      </c>
      <c r="M139" s="67" t="str">
        <f aca="false">IF(A139="","",IF(AND(B139&gt;=WeekStart,B139&lt;=WeekEnd),"Yes","No"))</f>
        <v>Yes</v>
      </c>
      <c r="N139" s="67" t="str">
        <f aca="false">IF(A139="","",IF(L139&lt;&gt;"Verified","Not verified",IF(COUNTIFS(in_CGID,C139,in_ClientID,E139,in_Svc,G139)&gt;0,"Yes","Not entered")))</f>
        <v>Yes</v>
      </c>
    </row>
    <row r="140" customFormat="false" ht="15" hidden="false" customHeight="false" outlineLevel="0" collapsed="false">
      <c r="A140" s="64" t="s">
        <v>494</v>
      </c>
      <c r="B140" s="65" t="n">
        <v>46282</v>
      </c>
      <c r="C140" s="64" t="s">
        <v>347</v>
      </c>
      <c r="D140" s="64" t="s">
        <v>134</v>
      </c>
      <c r="E140" s="64" t="s">
        <v>348</v>
      </c>
      <c r="F140" s="64" t="s">
        <v>136</v>
      </c>
      <c r="G140" s="64" t="s">
        <v>113</v>
      </c>
      <c r="H140" s="66" t="n">
        <v>46282.3736111111</v>
      </c>
      <c r="I140" s="66" t="n">
        <v>46282.5402777778</v>
      </c>
      <c r="J140" s="64" t="n">
        <v>16</v>
      </c>
      <c r="K140" s="64" t="s">
        <v>279</v>
      </c>
      <c r="L140" s="64" t="s">
        <v>280</v>
      </c>
      <c r="M140" s="67" t="str">
        <f aca="false">IF(A140="","",IF(AND(B140&gt;=WeekStart,B140&lt;=WeekEnd),"Yes","No"))</f>
        <v>Yes</v>
      </c>
      <c r="N140" s="67" t="str">
        <f aca="false">IF(A140="","",IF(L140&lt;&gt;"Verified","Not verified",IF(COUNTIFS(in_CGID,C140,in_ClientID,E140,in_Svc,G140)&gt;0,"Yes","Not entered")))</f>
        <v>Yes</v>
      </c>
    </row>
    <row r="141" customFormat="false" ht="15" hidden="false" customHeight="false" outlineLevel="0" collapsed="false">
      <c r="A141" s="64" t="s">
        <v>495</v>
      </c>
      <c r="B141" s="65" t="n">
        <v>46282</v>
      </c>
      <c r="C141" s="64" t="s">
        <v>332</v>
      </c>
      <c r="D141" s="64" t="s">
        <v>171</v>
      </c>
      <c r="E141" s="64" t="s">
        <v>333</v>
      </c>
      <c r="F141" s="64" t="s">
        <v>172</v>
      </c>
      <c r="G141" s="64" t="s">
        <v>113</v>
      </c>
      <c r="H141" s="66" t="n">
        <v>46282.3756944445</v>
      </c>
      <c r="I141" s="66" t="n">
        <v>46282.5215277778</v>
      </c>
      <c r="J141" s="64" t="n">
        <v>14</v>
      </c>
      <c r="K141" s="64" t="s">
        <v>284</v>
      </c>
      <c r="L141" s="64" t="s">
        <v>280</v>
      </c>
      <c r="M141" s="67" t="str">
        <f aca="false">IF(A141="","",IF(AND(B141&gt;=WeekStart,B141&lt;=WeekEnd),"Yes","No"))</f>
        <v>Yes</v>
      </c>
      <c r="N141" s="67" t="str">
        <f aca="false">IF(A141="","",IF(L141&lt;&gt;"Verified","Not verified",IF(COUNTIFS(in_CGID,C141,in_ClientID,E141,in_Svc,G141)&gt;0,"Yes","Not entered")))</f>
        <v>Yes</v>
      </c>
    </row>
    <row r="142" customFormat="false" ht="15" hidden="false" customHeight="false" outlineLevel="0" collapsed="false">
      <c r="A142" s="64" t="s">
        <v>496</v>
      </c>
      <c r="B142" s="65" t="n">
        <v>46282</v>
      </c>
      <c r="C142" s="64" t="s">
        <v>427</v>
      </c>
      <c r="D142" s="64" t="s">
        <v>175</v>
      </c>
      <c r="E142" s="64" t="s">
        <v>358</v>
      </c>
      <c r="F142" s="64" t="s">
        <v>161</v>
      </c>
      <c r="G142" s="64" t="s">
        <v>110</v>
      </c>
      <c r="H142" s="66" t="n">
        <v>46282.3770833333</v>
      </c>
      <c r="I142" s="66" t="n">
        <v>46282.5020833333</v>
      </c>
      <c r="J142" s="64" t="n">
        <v>12</v>
      </c>
      <c r="K142" s="64" t="s">
        <v>288</v>
      </c>
      <c r="L142" s="64" t="s">
        <v>280</v>
      </c>
      <c r="M142" s="67" t="str">
        <f aca="false">IF(A142="","",IF(AND(B142&gt;=WeekStart,B142&lt;=WeekEnd),"Yes","No"))</f>
        <v>Yes</v>
      </c>
      <c r="N142" s="67" t="str">
        <f aca="false">IF(A142="","",IF(L142&lt;&gt;"Verified","Not verified",IF(COUNTIFS(in_CGID,C142,in_ClientID,E142,in_Svc,G142)&gt;0,"Yes","Not entered")))</f>
        <v>Yes</v>
      </c>
    </row>
    <row r="143" customFormat="false" ht="15" hidden="false" customHeight="false" outlineLevel="0" collapsed="false">
      <c r="A143" s="64" t="s">
        <v>497</v>
      </c>
      <c r="B143" s="65" t="n">
        <v>46282</v>
      </c>
      <c r="C143" s="64" t="s">
        <v>355</v>
      </c>
      <c r="D143" s="64" t="s">
        <v>193</v>
      </c>
      <c r="E143" s="64" t="s">
        <v>330</v>
      </c>
      <c r="F143" s="64" t="s">
        <v>152</v>
      </c>
      <c r="G143" s="64" t="s">
        <v>113</v>
      </c>
      <c r="H143" s="66" t="n">
        <v>46282.3944444444</v>
      </c>
      <c r="I143" s="66" t="n">
        <v>46282.5013888889</v>
      </c>
      <c r="J143" s="64" t="n">
        <v>10</v>
      </c>
      <c r="K143" s="64" t="s">
        <v>284</v>
      </c>
      <c r="L143" s="64" t="s">
        <v>280</v>
      </c>
      <c r="M143" s="67" t="str">
        <f aca="false">IF(A143="","",IF(AND(B143&gt;=WeekStart,B143&lt;=WeekEnd),"Yes","No"))</f>
        <v>Yes</v>
      </c>
      <c r="N143" s="67" t="str">
        <f aca="false">IF(A143="","",IF(L143&lt;&gt;"Verified","Not verified",IF(COUNTIFS(in_CGID,C143,in_ClientID,E143,in_Svc,G143)&gt;0,"Yes","Not entered")))</f>
        <v>Yes</v>
      </c>
    </row>
    <row r="144" customFormat="false" ht="15" hidden="false" customHeight="false" outlineLevel="0" collapsed="false">
      <c r="A144" s="64" t="s">
        <v>498</v>
      </c>
      <c r="B144" s="65" t="n">
        <v>46282</v>
      </c>
      <c r="C144" s="64" t="s">
        <v>395</v>
      </c>
      <c r="D144" s="64" t="s">
        <v>179</v>
      </c>
      <c r="E144" s="64" t="s">
        <v>396</v>
      </c>
      <c r="F144" s="64" t="s">
        <v>180</v>
      </c>
      <c r="G144" s="64" t="s">
        <v>113</v>
      </c>
      <c r="H144" s="66" t="n">
        <v>46282.3958333333</v>
      </c>
      <c r="I144" s="66" t="n">
        <v>46282.5631944445</v>
      </c>
      <c r="J144" s="64" t="n">
        <v>16</v>
      </c>
      <c r="K144" s="64" t="s">
        <v>284</v>
      </c>
      <c r="L144" s="64" t="s">
        <v>280</v>
      </c>
      <c r="M144" s="67" t="str">
        <f aca="false">IF(A144="","",IF(AND(B144&gt;=WeekStart,B144&lt;=WeekEnd),"Yes","No"))</f>
        <v>Yes</v>
      </c>
      <c r="N144" s="67" t="str">
        <f aca="false">IF(A144="","",IF(L144&lt;&gt;"Verified","Not verified",IF(COUNTIFS(in_CGID,C144,in_ClientID,E144,in_Svc,G144)&gt;0,"Yes","Not entered")))</f>
        <v>Yes</v>
      </c>
    </row>
    <row r="145" customFormat="false" ht="15" hidden="false" customHeight="false" outlineLevel="0" collapsed="false">
      <c r="A145" s="64" t="s">
        <v>499</v>
      </c>
      <c r="B145" s="65" t="n">
        <v>46282</v>
      </c>
      <c r="C145" s="64" t="s">
        <v>286</v>
      </c>
      <c r="D145" s="64" t="s">
        <v>139</v>
      </c>
      <c r="E145" s="64" t="s">
        <v>290</v>
      </c>
      <c r="F145" s="64" t="s">
        <v>122</v>
      </c>
      <c r="G145" s="64" t="s">
        <v>113</v>
      </c>
      <c r="H145" s="66" t="n">
        <v>46282.3979166667</v>
      </c>
      <c r="I145" s="66" t="n">
        <v>46282.5034722222</v>
      </c>
      <c r="J145" s="64" t="n">
        <v>10</v>
      </c>
      <c r="K145" s="64" t="s">
        <v>279</v>
      </c>
      <c r="L145" s="64" t="s">
        <v>280</v>
      </c>
      <c r="M145" s="67" t="str">
        <f aca="false">IF(A145="","",IF(AND(B145&gt;=WeekStart,B145&lt;=WeekEnd),"Yes","No"))</f>
        <v>Yes</v>
      </c>
      <c r="N145" s="67" t="str">
        <f aca="false">IF(A145="","",IF(L145&lt;&gt;"Verified","Not verified",IF(COUNTIFS(in_CGID,C145,in_ClientID,E145,in_Svc,G145)&gt;0,"Yes","Not entered")))</f>
        <v>Yes</v>
      </c>
    </row>
    <row r="146" customFormat="false" ht="15" hidden="false" customHeight="false" outlineLevel="0" collapsed="false">
      <c r="A146" s="64" t="s">
        <v>500</v>
      </c>
      <c r="B146" s="65" t="n">
        <v>46282</v>
      </c>
      <c r="C146" s="64" t="s">
        <v>387</v>
      </c>
      <c r="D146" s="64" t="s">
        <v>185</v>
      </c>
      <c r="E146" s="64" t="s">
        <v>388</v>
      </c>
      <c r="F146" s="64" t="s">
        <v>186</v>
      </c>
      <c r="G146" s="64" t="s">
        <v>133</v>
      </c>
      <c r="H146" s="66" t="n">
        <v>46282.3979166667</v>
      </c>
      <c r="I146" s="66" t="n">
        <v>46282.48125</v>
      </c>
      <c r="J146" s="64" t="n">
        <v>8</v>
      </c>
      <c r="K146" s="64" t="s">
        <v>284</v>
      </c>
      <c r="L146" s="64" t="s">
        <v>280</v>
      </c>
      <c r="M146" s="67" t="str">
        <f aca="false">IF(A146="","",IF(AND(B146&gt;=WeekStart,B146&lt;=WeekEnd),"Yes","No"))</f>
        <v>Yes</v>
      </c>
      <c r="N146" s="67" t="str">
        <f aca="false">IF(A146="","",IF(L146&lt;&gt;"Verified","Not verified",IF(COUNTIFS(in_CGID,C146,in_ClientID,E146,in_Svc,G146)&gt;0,"Yes","Not entered")))</f>
        <v>Yes</v>
      </c>
    </row>
    <row r="147" customFormat="false" ht="15" hidden="false" customHeight="false" outlineLevel="0" collapsed="false">
      <c r="A147" s="64" t="s">
        <v>501</v>
      </c>
      <c r="B147" s="65" t="n">
        <v>46282</v>
      </c>
      <c r="C147" s="64" t="s">
        <v>282</v>
      </c>
      <c r="D147" s="64" t="s">
        <v>145</v>
      </c>
      <c r="E147" s="64" t="s">
        <v>300</v>
      </c>
      <c r="F147" s="64" t="s">
        <v>146</v>
      </c>
      <c r="G147" s="64" t="s">
        <v>117</v>
      </c>
      <c r="H147" s="66" t="n">
        <v>46282.4166666667</v>
      </c>
      <c r="I147" s="66" t="n">
        <v>46282.6069444444</v>
      </c>
      <c r="J147" s="64" t="n">
        <v>18</v>
      </c>
      <c r="K147" s="64" t="s">
        <v>284</v>
      </c>
      <c r="L147" s="64" t="s">
        <v>280</v>
      </c>
      <c r="M147" s="67" t="str">
        <f aca="false">IF(A147="","",IF(AND(B147&gt;=WeekStart,B147&lt;=WeekEnd),"Yes","No"))</f>
        <v>Yes</v>
      </c>
      <c r="N147" s="67" t="str">
        <f aca="false">IF(A147="","",IF(L147&lt;&gt;"Verified","Not verified",IF(COUNTIFS(in_CGID,C147,in_ClientID,E147,in_Svc,G147)&gt;0,"Yes","Not entered")))</f>
        <v>Yes</v>
      </c>
    </row>
    <row r="148" customFormat="false" ht="15" hidden="false" customHeight="false" outlineLevel="0" collapsed="false">
      <c r="A148" s="64" t="s">
        <v>502</v>
      </c>
      <c r="B148" s="65" t="n">
        <v>46282</v>
      </c>
      <c r="C148" s="64" t="s">
        <v>350</v>
      </c>
      <c r="D148" s="64" t="s">
        <v>142</v>
      </c>
      <c r="E148" s="64" t="s">
        <v>340</v>
      </c>
      <c r="F148" s="64" t="s">
        <v>143</v>
      </c>
      <c r="G148" s="64" t="s">
        <v>113</v>
      </c>
      <c r="H148" s="66" t="n">
        <v>46282.4166666667</v>
      </c>
      <c r="I148" s="66" t="n">
        <v>46282.5006944445</v>
      </c>
      <c r="J148" s="64" t="n">
        <v>8</v>
      </c>
      <c r="K148" s="64" t="s">
        <v>284</v>
      </c>
      <c r="L148" s="64" t="s">
        <v>280</v>
      </c>
      <c r="M148" s="67" t="str">
        <f aca="false">IF(A148="","",IF(AND(B148&gt;=WeekStart,B148&lt;=WeekEnd),"Yes","No"))</f>
        <v>Yes</v>
      </c>
      <c r="N148" s="67" t="str">
        <f aca="false">IF(A148="","",IF(L148&lt;&gt;"Verified","Not verified",IF(COUNTIFS(in_CGID,C148,in_ClientID,E148,in_Svc,G148)&gt;0,"Yes","Not entered")))</f>
        <v>Yes</v>
      </c>
    </row>
    <row r="149" customFormat="false" ht="15" hidden="false" customHeight="false" outlineLevel="0" collapsed="false">
      <c r="A149" s="64" t="s">
        <v>503</v>
      </c>
      <c r="B149" s="65" t="n">
        <v>46282</v>
      </c>
      <c r="C149" s="64" t="s">
        <v>339</v>
      </c>
      <c r="D149" s="64" t="s">
        <v>177</v>
      </c>
      <c r="E149" s="64" t="s">
        <v>300</v>
      </c>
      <c r="F149" s="64" t="s">
        <v>146</v>
      </c>
      <c r="G149" s="64" t="s">
        <v>113</v>
      </c>
      <c r="H149" s="66" t="n">
        <v>46282.4208333333</v>
      </c>
      <c r="I149" s="66" t="n">
        <v>46282.5666666667</v>
      </c>
      <c r="J149" s="64" t="n">
        <v>14</v>
      </c>
      <c r="K149" s="64" t="s">
        <v>284</v>
      </c>
      <c r="L149" s="64" t="s">
        <v>280</v>
      </c>
      <c r="M149" s="67" t="str">
        <f aca="false">IF(A149="","",IF(AND(B149&gt;=WeekStart,B149&lt;=WeekEnd),"Yes","No"))</f>
        <v>Yes</v>
      </c>
      <c r="N149" s="67" t="str">
        <f aca="false">IF(A149="","",IF(L149&lt;&gt;"Verified","Not verified",IF(COUNTIFS(in_CGID,C149,in_ClientID,E149,in_Svc,G149)&gt;0,"Yes","Not entered")))</f>
        <v>Yes</v>
      </c>
    </row>
    <row r="150" customFormat="false" ht="15" hidden="false" customHeight="false" outlineLevel="0" collapsed="false">
      <c r="A150" s="64" t="s">
        <v>504</v>
      </c>
      <c r="B150" s="65" t="n">
        <v>46282</v>
      </c>
      <c r="C150" s="64" t="s">
        <v>347</v>
      </c>
      <c r="D150" s="64" t="s">
        <v>134</v>
      </c>
      <c r="E150" s="64" t="s">
        <v>361</v>
      </c>
      <c r="F150" s="64" t="s">
        <v>132</v>
      </c>
      <c r="G150" s="64" t="s">
        <v>113</v>
      </c>
      <c r="H150" s="66" t="n">
        <v>46282.4972222222</v>
      </c>
      <c r="I150" s="66" t="n">
        <v>46282.5805555556</v>
      </c>
      <c r="J150" s="64" t="n">
        <v>8</v>
      </c>
      <c r="K150" s="64" t="s">
        <v>284</v>
      </c>
      <c r="L150" s="64" t="s">
        <v>280</v>
      </c>
      <c r="M150" s="67" t="str">
        <f aca="false">IF(A150="","",IF(AND(B150&gt;=WeekStart,B150&lt;=WeekEnd),"Yes","No"))</f>
        <v>Yes</v>
      </c>
      <c r="N150" s="67" t="str">
        <f aca="false">IF(A150="","",IF(L150&lt;&gt;"Verified","Not verified",IF(COUNTIFS(in_CGID,C150,in_ClientID,E150,in_Svc,G150)&gt;0,"Yes","Not entered")))</f>
        <v>Yes</v>
      </c>
    </row>
    <row r="151" customFormat="false" ht="15" hidden="false" customHeight="false" outlineLevel="0" collapsed="false">
      <c r="A151" s="64" t="s">
        <v>505</v>
      </c>
      <c r="B151" s="65" t="n">
        <v>46282</v>
      </c>
      <c r="C151" s="64" t="s">
        <v>387</v>
      </c>
      <c r="D151" s="64" t="s">
        <v>185</v>
      </c>
      <c r="E151" s="64" t="s">
        <v>361</v>
      </c>
      <c r="F151" s="64" t="s">
        <v>132</v>
      </c>
      <c r="G151" s="64" t="s">
        <v>113</v>
      </c>
      <c r="H151" s="66" t="n">
        <v>46282.5</v>
      </c>
      <c r="I151" s="66" t="n">
        <v>46282.6680555556</v>
      </c>
      <c r="J151" s="64" t="n">
        <v>16</v>
      </c>
      <c r="K151" s="64" t="s">
        <v>284</v>
      </c>
      <c r="L151" s="64" t="s">
        <v>280</v>
      </c>
      <c r="M151" s="67" t="str">
        <f aca="false">IF(A151="","",IF(AND(B151&gt;=WeekStart,B151&lt;=WeekEnd),"Yes","No"))</f>
        <v>Yes</v>
      </c>
      <c r="N151" s="67" t="str">
        <f aca="false">IF(A151="","",IF(L151&lt;&gt;"Verified","Not verified",IF(COUNTIFS(in_CGID,C151,in_ClientID,E151,in_Svc,G151)&gt;0,"Yes","Not entered")))</f>
        <v>Yes</v>
      </c>
    </row>
    <row r="152" customFormat="false" ht="15" hidden="false" customHeight="false" outlineLevel="0" collapsed="false">
      <c r="A152" s="64" t="s">
        <v>506</v>
      </c>
      <c r="B152" s="65" t="n">
        <v>46282</v>
      </c>
      <c r="C152" s="64" t="s">
        <v>507</v>
      </c>
      <c r="D152" s="64" t="s">
        <v>125</v>
      </c>
      <c r="E152" s="64" t="s">
        <v>508</v>
      </c>
      <c r="F152" s="64" t="s">
        <v>126</v>
      </c>
      <c r="G152" s="64" t="s">
        <v>117</v>
      </c>
      <c r="H152" s="66" t="n">
        <v>46282.5</v>
      </c>
      <c r="I152" s="66" t="n">
        <v>46282.7097222222</v>
      </c>
      <c r="J152" s="64" t="n">
        <v>20</v>
      </c>
      <c r="K152" s="64" t="s">
        <v>284</v>
      </c>
      <c r="L152" s="64" t="s">
        <v>280</v>
      </c>
      <c r="M152" s="67" t="str">
        <f aca="false">IF(A152="","",IF(AND(B152&gt;=WeekStart,B152&lt;=WeekEnd),"Yes","No"))</f>
        <v>Yes</v>
      </c>
      <c r="N152" s="67" t="str">
        <f aca="false">IF(A152="","",IF(L152&lt;&gt;"Verified","Not verified",IF(COUNTIFS(in_CGID,C152,in_ClientID,E152,in_Svc,G152)&gt;0,"Yes","Not entered")))</f>
        <v>Yes</v>
      </c>
    </row>
    <row r="153" customFormat="false" ht="15" hidden="false" customHeight="false" outlineLevel="0" collapsed="false">
      <c r="A153" s="64" t="s">
        <v>509</v>
      </c>
      <c r="B153" s="65" t="n">
        <v>46282</v>
      </c>
      <c r="C153" s="64" t="s">
        <v>323</v>
      </c>
      <c r="D153" s="64" t="s">
        <v>115</v>
      </c>
      <c r="E153" s="64" t="s">
        <v>310</v>
      </c>
      <c r="F153" s="64" t="s">
        <v>118</v>
      </c>
      <c r="G153" s="64" t="s">
        <v>113</v>
      </c>
      <c r="H153" s="66" t="n">
        <v>46282.5006944445</v>
      </c>
      <c r="I153" s="66" t="n">
        <v>46282.5868055556</v>
      </c>
      <c r="J153" s="64" t="n">
        <v>8</v>
      </c>
      <c r="K153" s="64" t="s">
        <v>284</v>
      </c>
      <c r="L153" s="64" t="s">
        <v>280</v>
      </c>
      <c r="M153" s="67" t="str">
        <f aca="false">IF(A153="","",IF(AND(B153&gt;=WeekStart,B153&lt;=WeekEnd),"Yes","No"))</f>
        <v>Yes</v>
      </c>
      <c r="N153" s="67" t="str">
        <f aca="false">IF(A153="","",IF(L153&lt;&gt;"Verified","Not verified",IF(COUNTIFS(in_CGID,C153,in_ClientID,E153,in_Svc,G153)&gt;0,"Yes","Not entered")))</f>
        <v>Yes</v>
      </c>
    </row>
    <row r="154" customFormat="false" ht="15" hidden="false" customHeight="false" outlineLevel="0" collapsed="false">
      <c r="A154" s="64" t="s">
        <v>510</v>
      </c>
      <c r="B154" s="65" t="n">
        <v>46282</v>
      </c>
      <c r="C154" s="64" t="s">
        <v>375</v>
      </c>
      <c r="D154" s="64" t="s">
        <v>191</v>
      </c>
      <c r="E154" s="64" t="s">
        <v>333</v>
      </c>
      <c r="F154" s="64" t="s">
        <v>172</v>
      </c>
      <c r="G154" s="64" t="s">
        <v>113</v>
      </c>
      <c r="H154" s="66" t="n">
        <v>46282.5020833333</v>
      </c>
      <c r="I154" s="66" t="n">
        <v>46282.5854166667</v>
      </c>
      <c r="J154" s="64" t="n">
        <v>8</v>
      </c>
      <c r="K154" s="64" t="s">
        <v>279</v>
      </c>
      <c r="L154" s="64" t="s">
        <v>280</v>
      </c>
      <c r="M154" s="67" t="str">
        <f aca="false">IF(A154="","",IF(AND(B154&gt;=WeekStart,B154&lt;=WeekEnd),"Yes","No"))</f>
        <v>Yes</v>
      </c>
      <c r="N154" s="67" t="str">
        <f aca="false">IF(A154="","",IF(L154&lt;&gt;"Verified","Not verified",IF(COUNTIFS(in_CGID,C154,in_ClientID,E154,in_Svc,G154)&gt;0,"Yes","Not entered")))</f>
        <v>Yes</v>
      </c>
    </row>
    <row r="155" customFormat="false" ht="15" hidden="false" customHeight="false" outlineLevel="0" collapsed="false">
      <c r="A155" s="64" t="s">
        <v>511</v>
      </c>
      <c r="B155" s="65" t="n">
        <v>46282</v>
      </c>
      <c r="C155" s="64" t="s">
        <v>305</v>
      </c>
      <c r="D155" s="64" t="s">
        <v>121</v>
      </c>
      <c r="E155" s="64" t="s">
        <v>290</v>
      </c>
      <c r="F155" s="64" t="s">
        <v>122</v>
      </c>
      <c r="G155" s="64" t="s">
        <v>113</v>
      </c>
      <c r="H155" s="66" t="n">
        <v>46282.5041666667</v>
      </c>
      <c r="I155" s="66" t="n">
        <v>46282.5861111111</v>
      </c>
      <c r="J155" s="64" t="n">
        <v>8</v>
      </c>
      <c r="K155" s="64" t="s">
        <v>284</v>
      </c>
      <c r="L155" s="64" t="s">
        <v>280</v>
      </c>
      <c r="M155" s="67" t="str">
        <f aca="false">IF(A155="","",IF(AND(B155&gt;=WeekStart,B155&lt;=WeekEnd),"Yes","No"))</f>
        <v>Yes</v>
      </c>
      <c r="N155" s="67" t="str">
        <f aca="false">IF(A155="","",IF(L155&lt;&gt;"Verified","Not verified",IF(COUNTIFS(in_CGID,C155,in_ClientID,E155,in_Svc,G155)&gt;0,"Yes","Not entered")))</f>
        <v>Yes</v>
      </c>
    </row>
    <row r="156" customFormat="false" ht="15" hidden="false" customHeight="false" outlineLevel="0" collapsed="false">
      <c r="A156" s="64" t="s">
        <v>512</v>
      </c>
      <c r="B156" s="65" t="n">
        <v>46282</v>
      </c>
      <c r="C156" s="64" t="s">
        <v>305</v>
      </c>
      <c r="D156" s="64" t="s">
        <v>121</v>
      </c>
      <c r="E156" s="64" t="s">
        <v>337</v>
      </c>
      <c r="F156" s="64" t="s">
        <v>123</v>
      </c>
      <c r="G156" s="64" t="s">
        <v>113</v>
      </c>
      <c r="H156" s="66" t="n">
        <v>46282.5388888889</v>
      </c>
      <c r="I156" s="66" t="n">
        <v>46282.6666666667</v>
      </c>
      <c r="J156" s="64" t="n">
        <v>12</v>
      </c>
      <c r="K156" s="64" t="s">
        <v>284</v>
      </c>
      <c r="L156" s="64" t="s">
        <v>280</v>
      </c>
      <c r="M156" s="67" t="str">
        <f aca="false">IF(A156="","",IF(AND(B156&gt;=WeekStart,B156&lt;=WeekEnd),"Yes","No"))</f>
        <v>Yes</v>
      </c>
      <c r="N156" s="67" t="str">
        <f aca="false">IF(A156="","",IF(L156&lt;&gt;"Verified","Not verified",IF(COUNTIFS(in_CGID,C156,in_ClientID,E156,in_Svc,G156)&gt;0,"Yes","Not entered")))</f>
        <v>Yes</v>
      </c>
    </row>
    <row r="157" customFormat="false" ht="15" hidden="false" customHeight="false" outlineLevel="0" collapsed="false">
      <c r="A157" s="64" t="s">
        <v>513</v>
      </c>
      <c r="B157" s="65" t="n">
        <v>46282</v>
      </c>
      <c r="C157" s="64" t="s">
        <v>282</v>
      </c>
      <c r="D157" s="64" t="s">
        <v>145</v>
      </c>
      <c r="E157" s="64" t="s">
        <v>283</v>
      </c>
      <c r="F157" s="64" t="s">
        <v>147</v>
      </c>
      <c r="G157" s="64" t="s">
        <v>110</v>
      </c>
      <c r="H157" s="66" t="n">
        <v>46282.5402777778</v>
      </c>
      <c r="I157" s="66" t="n">
        <v>46282.7069444444</v>
      </c>
      <c r="J157" s="64" t="n">
        <v>16</v>
      </c>
      <c r="K157" s="64" t="s">
        <v>284</v>
      </c>
      <c r="L157" s="64" t="s">
        <v>280</v>
      </c>
      <c r="M157" s="67" t="str">
        <f aca="false">IF(A157="","",IF(AND(B157&gt;=WeekStart,B157&lt;=WeekEnd),"Yes","No"))</f>
        <v>Yes</v>
      </c>
      <c r="N157" s="67" t="str">
        <f aca="false">IF(A157="","",IF(L157&lt;&gt;"Verified","Not verified",IF(COUNTIFS(in_CGID,C157,in_ClientID,E157,in_Svc,G157)&gt;0,"Yes","Not entered")))</f>
        <v>Yes</v>
      </c>
    </row>
    <row r="158" customFormat="false" ht="15" hidden="false" customHeight="false" outlineLevel="0" collapsed="false">
      <c r="A158" s="64" t="s">
        <v>514</v>
      </c>
      <c r="B158" s="65" t="n">
        <v>46282</v>
      </c>
      <c r="C158" s="64" t="s">
        <v>357</v>
      </c>
      <c r="D158" s="64" t="s">
        <v>160</v>
      </c>
      <c r="E158" s="64" t="s">
        <v>358</v>
      </c>
      <c r="F158" s="64" t="s">
        <v>161</v>
      </c>
      <c r="G158" s="64" t="s">
        <v>110</v>
      </c>
      <c r="H158" s="66" t="n">
        <v>46282.5416666667</v>
      </c>
      <c r="I158" s="66" t="n">
        <v>46282.625</v>
      </c>
      <c r="J158" s="64" t="n">
        <v>8</v>
      </c>
      <c r="K158" s="64" t="s">
        <v>284</v>
      </c>
      <c r="L158" s="64" t="s">
        <v>280</v>
      </c>
      <c r="M158" s="67" t="str">
        <f aca="false">IF(A158="","",IF(AND(B158&gt;=WeekStart,B158&lt;=WeekEnd),"Yes","No"))</f>
        <v>Yes</v>
      </c>
      <c r="N158" s="67" t="str">
        <f aca="false">IF(A158="","",IF(L158&lt;&gt;"Verified","Not verified",IF(COUNTIFS(in_CGID,C158,in_ClientID,E158,in_Svc,G158)&gt;0,"Yes","Not entered")))</f>
        <v>Yes</v>
      </c>
    </row>
    <row r="159" customFormat="false" ht="15" hidden="false" customHeight="false" outlineLevel="0" collapsed="false">
      <c r="A159" s="64" t="s">
        <v>515</v>
      </c>
      <c r="B159" s="65" t="n">
        <v>46282</v>
      </c>
      <c r="C159" s="64" t="s">
        <v>329</v>
      </c>
      <c r="D159" s="64" t="s">
        <v>176</v>
      </c>
      <c r="E159" s="64" t="s">
        <v>330</v>
      </c>
      <c r="F159" s="64" t="s">
        <v>152</v>
      </c>
      <c r="G159" s="64" t="s">
        <v>113</v>
      </c>
      <c r="H159" s="66" t="n">
        <v>46282.5423611111</v>
      </c>
      <c r="I159" s="66" t="n">
        <v>46282.6659722222</v>
      </c>
      <c r="J159" s="64" t="n">
        <v>12</v>
      </c>
      <c r="K159" s="64" t="s">
        <v>284</v>
      </c>
      <c r="L159" s="64" t="s">
        <v>280</v>
      </c>
      <c r="M159" s="67" t="str">
        <f aca="false">IF(A159="","",IF(AND(B159&gt;=WeekStart,B159&lt;=WeekEnd),"Yes","No"))</f>
        <v>Yes</v>
      </c>
      <c r="N159" s="67" t="str">
        <f aca="false">IF(A159="","",IF(L159&lt;&gt;"Verified","Not verified",IF(COUNTIFS(in_CGID,C159,in_ClientID,E159,in_Svc,G159)&gt;0,"Yes","Not entered")))</f>
        <v>Yes</v>
      </c>
    </row>
    <row r="160" customFormat="false" ht="15" hidden="false" customHeight="false" outlineLevel="0" collapsed="false">
      <c r="A160" s="64" t="s">
        <v>516</v>
      </c>
      <c r="B160" s="65" t="n">
        <v>46282</v>
      </c>
      <c r="C160" s="64" t="s">
        <v>309</v>
      </c>
      <c r="D160" s="64" t="s">
        <v>167</v>
      </c>
      <c r="E160" s="64" t="s">
        <v>310</v>
      </c>
      <c r="F160" s="64" t="s">
        <v>118</v>
      </c>
      <c r="G160" s="64" t="s">
        <v>133</v>
      </c>
      <c r="H160" s="66" t="n">
        <v>46282.54375</v>
      </c>
      <c r="I160" s="66" t="n">
        <v>46282.6277777778</v>
      </c>
      <c r="J160" s="64" t="n">
        <v>8</v>
      </c>
      <c r="K160" s="64" t="s">
        <v>284</v>
      </c>
      <c r="L160" s="64" t="s">
        <v>280</v>
      </c>
      <c r="M160" s="67" t="str">
        <f aca="false">IF(A160="","",IF(AND(B160&gt;=WeekStart,B160&lt;=WeekEnd),"Yes","No"))</f>
        <v>Yes</v>
      </c>
      <c r="N160" s="67" t="str">
        <f aca="false">IF(A160="","",IF(L160&lt;&gt;"Verified","Not verified",IF(COUNTIFS(in_CGID,C160,in_ClientID,E160,in_Svc,G160)&gt;0,"Yes","Not entered")))</f>
        <v>Yes</v>
      </c>
    </row>
    <row r="161" customFormat="false" ht="15" hidden="false" customHeight="false" outlineLevel="0" collapsed="false">
      <c r="A161" s="64" t="s">
        <v>517</v>
      </c>
      <c r="B161" s="65" t="n">
        <v>46282</v>
      </c>
      <c r="C161" s="64" t="s">
        <v>375</v>
      </c>
      <c r="D161" s="64" t="s">
        <v>191</v>
      </c>
      <c r="E161" s="64" t="s">
        <v>300</v>
      </c>
      <c r="F161" s="64" t="s">
        <v>146</v>
      </c>
      <c r="G161" s="64" t="s">
        <v>113</v>
      </c>
      <c r="H161" s="66" t="n">
        <v>46282.54375</v>
      </c>
      <c r="I161" s="66" t="n">
        <v>46282.66875</v>
      </c>
      <c r="J161" s="64" t="n">
        <v>12</v>
      </c>
      <c r="K161" s="64" t="s">
        <v>284</v>
      </c>
      <c r="L161" s="64" t="s">
        <v>280</v>
      </c>
      <c r="M161" s="67" t="str">
        <f aca="false">IF(A161="","",IF(AND(B161&gt;=WeekStart,B161&lt;=WeekEnd),"Yes","No"))</f>
        <v>Yes</v>
      </c>
      <c r="N161" s="67" t="str">
        <f aca="false">IF(A161="","",IF(L161&lt;&gt;"Verified","Not verified",IF(COUNTIFS(in_CGID,C161,in_ClientID,E161,in_Svc,G161)&gt;0,"Yes","Not entered")))</f>
        <v>Yes</v>
      </c>
    </row>
    <row r="162" customFormat="false" ht="15" hidden="false" customHeight="false" outlineLevel="0" collapsed="false">
      <c r="A162" s="64" t="s">
        <v>518</v>
      </c>
      <c r="B162" s="65" t="n">
        <v>46282</v>
      </c>
      <c r="C162" s="64" t="s">
        <v>309</v>
      </c>
      <c r="D162" s="64" t="s">
        <v>167</v>
      </c>
      <c r="E162" s="64" t="s">
        <v>325</v>
      </c>
      <c r="F162" s="64" t="s">
        <v>168</v>
      </c>
      <c r="G162" s="64" t="s">
        <v>113</v>
      </c>
      <c r="H162" s="66" t="n">
        <v>46282.5458333333</v>
      </c>
      <c r="I162" s="66" t="n">
        <v>46282.6298611111</v>
      </c>
      <c r="J162" s="64" t="n">
        <v>8</v>
      </c>
      <c r="K162" s="64" t="s">
        <v>284</v>
      </c>
      <c r="L162" s="64" t="s">
        <v>280</v>
      </c>
      <c r="M162" s="67" t="str">
        <f aca="false">IF(A162="","",IF(AND(B162&gt;=WeekStart,B162&lt;=WeekEnd),"Yes","No"))</f>
        <v>Yes</v>
      </c>
      <c r="N162" s="67" t="str">
        <f aca="false">IF(A162="","",IF(L162&lt;&gt;"Verified","Not verified",IF(COUNTIFS(in_CGID,C162,in_ClientID,E162,in_Svc,G162)&gt;0,"Yes","Not entered")))</f>
        <v>Yes</v>
      </c>
    </row>
    <row r="163" customFormat="false" ht="15" hidden="false" customHeight="false" outlineLevel="0" collapsed="false">
      <c r="A163" s="64" t="s">
        <v>519</v>
      </c>
      <c r="B163" s="65" t="n">
        <v>46282</v>
      </c>
      <c r="C163" s="64" t="s">
        <v>421</v>
      </c>
      <c r="D163" s="64" t="s">
        <v>127</v>
      </c>
      <c r="E163" s="64" t="s">
        <v>417</v>
      </c>
      <c r="F163" s="64" t="s">
        <v>128</v>
      </c>
      <c r="G163" s="64" t="s">
        <v>113</v>
      </c>
      <c r="H163" s="66" t="n">
        <v>46282.5458333333</v>
      </c>
      <c r="I163" s="66" t="n">
        <v>46282.6298611111</v>
      </c>
      <c r="J163" s="64" t="n">
        <v>8</v>
      </c>
      <c r="K163" s="64" t="s">
        <v>284</v>
      </c>
      <c r="L163" s="64" t="s">
        <v>280</v>
      </c>
      <c r="M163" s="67" t="str">
        <f aca="false">IF(A163="","",IF(AND(B163&gt;=WeekStart,B163&lt;=WeekEnd),"Yes","No"))</f>
        <v>Yes</v>
      </c>
      <c r="N163" s="67" t="str">
        <f aca="false">IF(A163="","",IF(L163&lt;&gt;"Verified","Not verified",IF(COUNTIFS(in_CGID,C163,in_ClientID,E163,in_Svc,G163)&gt;0,"Yes","Not entered")))</f>
        <v>Yes</v>
      </c>
    </row>
    <row r="164" customFormat="false" ht="15" hidden="false" customHeight="false" outlineLevel="0" collapsed="false">
      <c r="A164" s="64" t="s">
        <v>520</v>
      </c>
      <c r="B164" s="65" t="n">
        <v>46282</v>
      </c>
      <c r="C164" s="64" t="s">
        <v>318</v>
      </c>
      <c r="D164" s="64" t="s">
        <v>194</v>
      </c>
      <c r="E164" s="64" t="s">
        <v>319</v>
      </c>
      <c r="F164" s="64" t="s">
        <v>195</v>
      </c>
      <c r="G164" s="64" t="s">
        <v>113</v>
      </c>
      <c r="H164" s="66" t="n">
        <v>46282.5819444444</v>
      </c>
      <c r="I164" s="66" t="n">
        <v>46282.6659722222</v>
      </c>
      <c r="J164" s="64" t="n">
        <v>8</v>
      </c>
      <c r="K164" s="64" t="s">
        <v>284</v>
      </c>
      <c r="L164" s="64" t="s">
        <v>280</v>
      </c>
      <c r="M164" s="67" t="str">
        <f aca="false">IF(A164="","",IF(AND(B164&gt;=WeekStart,B164&lt;=WeekEnd),"Yes","No"))</f>
        <v>Yes</v>
      </c>
      <c r="N164" s="67" t="str">
        <f aca="false">IF(A164="","",IF(L164&lt;&gt;"Verified","Not verified",IF(COUNTIFS(in_CGID,C164,in_ClientID,E164,in_Svc,G164)&gt;0,"Yes","Not entered")))</f>
        <v>Yes</v>
      </c>
    </row>
    <row r="165" customFormat="false" ht="15" hidden="false" customHeight="false" outlineLevel="0" collapsed="false">
      <c r="A165" s="64" t="s">
        <v>521</v>
      </c>
      <c r="B165" s="65" t="n">
        <v>46282</v>
      </c>
      <c r="C165" s="64" t="s">
        <v>447</v>
      </c>
      <c r="D165" s="64" t="s">
        <v>181</v>
      </c>
      <c r="E165" s="64" t="s">
        <v>396</v>
      </c>
      <c r="F165" s="64" t="s">
        <v>180</v>
      </c>
      <c r="G165" s="64" t="s">
        <v>133</v>
      </c>
      <c r="H165" s="66" t="n">
        <v>46282.5833333333</v>
      </c>
      <c r="I165" s="66" t="n">
        <v>46282.7069444444</v>
      </c>
      <c r="J165" s="64" t="n">
        <v>12</v>
      </c>
      <c r="K165" s="64" t="s">
        <v>284</v>
      </c>
      <c r="L165" s="64" t="s">
        <v>280</v>
      </c>
      <c r="M165" s="67" t="str">
        <f aca="false">IF(A165="","",IF(AND(B165&gt;=WeekStart,B165&lt;=WeekEnd),"Yes","No"))</f>
        <v>Yes</v>
      </c>
      <c r="N165" s="67" t="str">
        <f aca="false">IF(A165="","",IF(L165&lt;&gt;"Verified","Not verified",IF(COUNTIFS(in_CGID,C165,in_ClientID,E165,in_Svc,G165)&gt;0,"Yes","Not entered")))</f>
        <v>Yes</v>
      </c>
    </row>
    <row r="166" customFormat="false" ht="15" hidden="false" customHeight="false" outlineLevel="0" collapsed="false">
      <c r="A166" s="64" t="s">
        <v>522</v>
      </c>
      <c r="B166" s="65" t="n">
        <v>46282</v>
      </c>
      <c r="C166" s="64" t="s">
        <v>327</v>
      </c>
      <c r="D166" s="64" t="s">
        <v>187</v>
      </c>
      <c r="E166" s="64" t="s">
        <v>310</v>
      </c>
      <c r="F166" s="64" t="s">
        <v>118</v>
      </c>
      <c r="G166" s="64" t="s">
        <v>110</v>
      </c>
      <c r="H166" s="66" t="n">
        <v>46282.5833333333</v>
      </c>
      <c r="I166" s="66" t="n">
        <v>46282.7090277778</v>
      </c>
      <c r="J166" s="64" t="n">
        <v>12</v>
      </c>
      <c r="K166" s="64" t="s">
        <v>284</v>
      </c>
      <c r="L166" s="64" t="s">
        <v>280</v>
      </c>
      <c r="M166" s="67" t="str">
        <f aca="false">IF(A166="","",IF(AND(B166&gt;=WeekStart,B166&lt;=WeekEnd),"Yes","No"))</f>
        <v>Yes</v>
      </c>
      <c r="N166" s="67" t="str">
        <f aca="false">IF(A166="","",IF(L166&lt;&gt;"Verified","Not verified",IF(COUNTIFS(in_CGID,C166,in_ClientID,E166,in_Svc,G166)&gt;0,"Yes","Not entered")))</f>
        <v>Yes</v>
      </c>
    </row>
    <row r="167" customFormat="false" ht="15" hidden="false" customHeight="false" outlineLevel="0" collapsed="false">
      <c r="A167" s="64" t="s">
        <v>523</v>
      </c>
      <c r="B167" s="65" t="n">
        <v>46282</v>
      </c>
      <c r="C167" s="64" t="s">
        <v>363</v>
      </c>
      <c r="D167" s="64" t="s">
        <v>192</v>
      </c>
      <c r="E167" s="64" t="s">
        <v>364</v>
      </c>
      <c r="F167" s="64" t="s">
        <v>149</v>
      </c>
      <c r="G167" s="64" t="s">
        <v>110</v>
      </c>
      <c r="H167" s="66" t="n">
        <v>46282.5840277778</v>
      </c>
      <c r="I167" s="66" t="n">
        <v>46282.7104166667</v>
      </c>
      <c r="J167" s="64" t="n">
        <v>12</v>
      </c>
      <c r="K167" s="64" t="s">
        <v>284</v>
      </c>
      <c r="L167" s="64" t="s">
        <v>280</v>
      </c>
      <c r="M167" s="67" t="str">
        <f aca="false">IF(A167="","",IF(AND(B167&gt;=WeekStart,B167&lt;=WeekEnd),"Yes","No"))</f>
        <v>Yes</v>
      </c>
      <c r="N167" s="67" t="str">
        <f aca="false">IF(A167="","",IF(L167&lt;&gt;"Verified","Not verified",IF(COUNTIFS(in_CGID,C167,in_ClientID,E167,in_Svc,G167)&gt;0,"Yes","Not entered")))</f>
        <v>Yes</v>
      </c>
    </row>
    <row r="168" customFormat="false" ht="15" hidden="false" customHeight="false" outlineLevel="0" collapsed="false">
      <c r="A168" s="64" t="s">
        <v>524</v>
      </c>
      <c r="B168" s="65" t="n">
        <v>46282</v>
      </c>
      <c r="C168" s="64" t="s">
        <v>305</v>
      </c>
      <c r="D168" s="64" t="s">
        <v>121</v>
      </c>
      <c r="E168" s="64" t="s">
        <v>411</v>
      </c>
      <c r="F168" s="64" t="s">
        <v>124</v>
      </c>
      <c r="G168" s="64" t="s">
        <v>110</v>
      </c>
      <c r="H168" s="66" t="n">
        <v>46282.625</v>
      </c>
      <c r="I168" s="66" t="n">
        <v>46282.7291666667</v>
      </c>
      <c r="J168" s="64" t="n">
        <v>10</v>
      </c>
      <c r="K168" s="64" t="s">
        <v>284</v>
      </c>
      <c r="L168" s="64" t="s">
        <v>280</v>
      </c>
      <c r="M168" s="67" t="str">
        <f aca="false">IF(A168="","",IF(AND(B168&gt;=WeekStart,B168&lt;=WeekEnd),"Yes","No"))</f>
        <v>Yes</v>
      </c>
      <c r="N168" s="67" t="str">
        <f aca="false">IF(A168="","",IF(L168&lt;&gt;"Verified","Not verified",IF(COUNTIFS(in_CGID,C168,in_ClientID,E168,in_Svc,G168)&gt;0,"Yes","Not entered")))</f>
        <v>Yes</v>
      </c>
    </row>
    <row r="169" customFormat="false" ht="15" hidden="false" customHeight="false" outlineLevel="0" collapsed="false">
      <c r="A169" s="64" t="s">
        <v>525</v>
      </c>
      <c r="B169" s="65" t="n">
        <v>46282</v>
      </c>
      <c r="C169" s="64" t="s">
        <v>353</v>
      </c>
      <c r="D169" s="64" t="s">
        <v>189</v>
      </c>
      <c r="E169" s="64" t="s">
        <v>310</v>
      </c>
      <c r="F169" s="64" t="s">
        <v>118</v>
      </c>
      <c r="G169" s="64" t="s">
        <v>157</v>
      </c>
      <c r="H169" s="66" t="n">
        <v>46282.625</v>
      </c>
      <c r="I169" s="66" t="n">
        <v>46282.6583333333</v>
      </c>
      <c r="J169" s="64" t="n">
        <v>1</v>
      </c>
      <c r="K169" s="64" t="s">
        <v>284</v>
      </c>
      <c r="L169" s="64" t="s">
        <v>280</v>
      </c>
      <c r="M169" s="67" t="str">
        <f aca="false">IF(A169="","",IF(AND(B169&gt;=WeekStart,B169&lt;=WeekEnd),"Yes","No"))</f>
        <v>Yes</v>
      </c>
      <c r="N169" s="67" t="str">
        <f aca="false">IF(A169="","",IF(L169&lt;&gt;"Verified","Not verified",IF(COUNTIFS(in_CGID,C169,in_ClientID,E169,in_Svc,G169)&gt;0,"Yes","Not entered")))</f>
        <v>Yes</v>
      </c>
    </row>
    <row r="170" customFormat="false" ht="15" hidden="false" customHeight="false" outlineLevel="0" collapsed="false">
      <c r="A170" s="64" t="s">
        <v>526</v>
      </c>
      <c r="B170" s="65" t="n">
        <v>46282</v>
      </c>
      <c r="C170" s="64" t="s">
        <v>277</v>
      </c>
      <c r="D170" s="64" t="s">
        <v>108</v>
      </c>
      <c r="E170" s="64" t="s">
        <v>278</v>
      </c>
      <c r="F170" s="64" t="s">
        <v>109</v>
      </c>
      <c r="G170" s="64" t="s">
        <v>110</v>
      </c>
      <c r="H170" s="66" t="n">
        <v>46282.625</v>
      </c>
      <c r="I170" s="66" t="n">
        <v>46282.7736111111</v>
      </c>
      <c r="J170" s="64" t="n">
        <v>14</v>
      </c>
      <c r="K170" s="64" t="s">
        <v>284</v>
      </c>
      <c r="L170" s="64" t="s">
        <v>280</v>
      </c>
      <c r="M170" s="67" t="str">
        <f aca="false">IF(A170="","",IF(AND(B170&gt;=WeekStart,B170&lt;=WeekEnd),"Yes","No"))</f>
        <v>Yes</v>
      </c>
      <c r="N170" s="67" t="str">
        <f aca="false">IF(A170="","",IF(L170&lt;&gt;"Verified","Not verified",IF(COUNTIFS(in_CGID,C170,in_ClientID,E170,in_Svc,G170)&gt;0,"Yes","Not entered")))</f>
        <v>Yes</v>
      </c>
    </row>
    <row r="171" customFormat="false" ht="15" hidden="false" customHeight="false" outlineLevel="0" collapsed="false">
      <c r="A171" s="64" t="s">
        <v>527</v>
      </c>
      <c r="B171" s="65" t="n">
        <v>46282</v>
      </c>
      <c r="C171" s="64" t="s">
        <v>528</v>
      </c>
      <c r="D171" s="64" t="s">
        <v>148</v>
      </c>
      <c r="E171" s="64" t="s">
        <v>364</v>
      </c>
      <c r="F171" s="64" t="s">
        <v>149</v>
      </c>
      <c r="G171" s="64" t="s">
        <v>110</v>
      </c>
      <c r="H171" s="66" t="n">
        <v>46282.6256944445</v>
      </c>
      <c r="I171" s="66" t="n">
        <v>46282.7715277778</v>
      </c>
      <c r="J171" s="64" t="n">
        <v>14</v>
      </c>
      <c r="K171" s="64" t="s">
        <v>284</v>
      </c>
      <c r="L171" s="64" t="s">
        <v>280</v>
      </c>
      <c r="M171" s="67" t="str">
        <f aca="false">IF(A171="","",IF(AND(B171&gt;=WeekStart,B171&lt;=WeekEnd),"Yes","No"))</f>
        <v>Yes</v>
      </c>
      <c r="N171" s="67" t="str">
        <f aca="false">IF(A171="","",IF(L171&lt;&gt;"Verified","Not verified",IF(COUNTIFS(in_CGID,C171,in_ClientID,E171,in_Svc,G171)&gt;0,"Yes","Not entered")))</f>
        <v>Yes</v>
      </c>
    </row>
    <row r="172" customFormat="false" ht="15" hidden="false" customHeight="false" outlineLevel="0" collapsed="false">
      <c r="A172" s="64" t="s">
        <v>529</v>
      </c>
      <c r="B172" s="65" t="n">
        <v>46282</v>
      </c>
      <c r="C172" s="64" t="s">
        <v>294</v>
      </c>
      <c r="D172" s="64" t="s">
        <v>190</v>
      </c>
      <c r="E172" s="64" t="s">
        <v>295</v>
      </c>
      <c r="F172" s="64" t="s">
        <v>153</v>
      </c>
      <c r="G172" s="64" t="s">
        <v>117</v>
      </c>
      <c r="H172" s="66" t="n">
        <v>46282.6291666667</v>
      </c>
      <c r="I172" s="66" t="n">
        <v>46282.9</v>
      </c>
      <c r="J172" s="64" t="n">
        <v>26</v>
      </c>
      <c r="K172" s="64" t="s">
        <v>284</v>
      </c>
      <c r="L172" s="64" t="s">
        <v>280</v>
      </c>
      <c r="M172" s="67" t="str">
        <f aca="false">IF(A172="","",IF(AND(B172&gt;=WeekStart,B172&lt;=WeekEnd),"Yes","No"))</f>
        <v>Yes</v>
      </c>
      <c r="N172" s="67" t="str">
        <f aca="false">IF(A172="","",IF(L172&lt;&gt;"Verified","Not verified",IF(COUNTIFS(in_CGID,C172,in_ClientID,E172,in_Svc,G172)&gt;0,"Yes","Not entered")))</f>
        <v>Yes</v>
      </c>
    </row>
    <row r="173" customFormat="false" ht="15" hidden="false" customHeight="false" outlineLevel="0" collapsed="false">
      <c r="A173" s="64" t="s">
        <v>530</v>
      </c>
      <c r="B173" s="65" t="n">
        <v>46283</v>
      </c>
      <c r="C173" s="64" t="s">
        <v>277</v>
      </c>
      <c r="D173" s="64" t="s">
        <v>108</v>
      </c>
      <c r="E173" s="64" t="s">
        <v>321</v>
      </c>
      <c r="F173" s="64" t="s">
        <v>112</v>
      </c>
      <c r="G173" s="64" t="s">
        <v>113</v>
      </c>
      <c r="H173" s="66" t="n">
        <v>46283.2902777778</v>
      </c>
      <c r="I173" s="66" t="n">
        <v>46283.4375</v>
      </c>
      <c r="J173" s="64" t="n">
        <v>14</v>
      </c>
      <c r="K173" s="64" t="s">
        <v>288</v>
      </c>
      <c r="L173" s="64" t="s">
        <v>280</v>
      </c>
      <c r="M173" s="67" t="str">
        <f aca="false">IF(A173="","",IF(AND(B173&gt;=WeekStart,B173&lt;=WeekEnd),"Yes","No"))</f>
        <v>Yes</v>
      </c>
      <c r="N173" s="67" t="str">
        <f aca="false">IF(A173="","",IF(L173&lt;&gt;"Verified","Not verified",IF(COUNTIFS(in_CGID,C173,in_ClientID,E173,in_Svc,G173)&gt;0,"Yes","Not entered")))</f>
        <v>Yes</v>
      </c>
    </row>
    <row r="174" customFormat="false" ht="15" hidden="false" customHeight="false" outlineLevel="0" collapsed="false">
      <c r="A174" s="64" t="s">
        <v>531</v>
      </c>
      <c r="B174" s="65" t="n">
        <v>46283</v>
      </c>
      <c r="C174" s="64" t="s">
        <v>297</v>
      </c>
      <c r="D174" s="64" t="s">
        <v>169</v>
      </c>
      <c r="E174" s="64" t="s">
        <v>298</v>
      </c>
      <c r="F174" s="64" t="s">
        <v>170</v>
      </c>
      <c r="G174" s="64" t="s">
        <v>113</v>
      </c>
      <c r="H174" s="66" t="n">
        <v>46283.2923611111</v>
      </c>
      <c r="I174" s="66" t="n">
        <v>46283.3951388889</v>
      </c>
      <c r="J174" s="64" t="n">
        <v>10</v>
      </c>
      <c r="K174" s="64" t="s">
        <v>284</v>
      </c>
      <c r="L174" s="64" t="s">
        <v>280</v>
      </c>
      <c r="M174" s="67" t="str">
        <f aca="false">IF(A174="","",IF(AND(B174&gt;=WeekStart,B174&lt;=WeekEnd),"Yes","No"))</f>
        <v>Yes</v>
      </c>
      <c r="N174" s="67" t="str">
        <f aca="false">IF(A174="","",IF(L174&lt;&gt;"Verified","Not verified",IF(COUNTIFS(in_CGID,C174,in_ClientID,E174,in_Svc,G174)&gt;0,"Yes","Not entered")))</f>
        <v>Yes</v>
      </c>
    </row>
    <row r="175" customFormat="false" ht="15" hidden="false" customHeight="false" outlineLevel="0" collapsed="false">
      <c r="A175" s="64" t="s">
        <v>532</v>
      </c>
      <c r="B175" s="65" t="n">
        <v>46283</v>
      </c>
      <c r="C175" s="64" t="s">
        <v>353</v>
      </c>
      <c r="D175" s="64" t="s">
        <v>189</v>
      </c>
      <c r="E175" s="64" t="s">
        <v>283</v>
      </c>
      <c r="F175" s="64" t="s">
        <v>147</v>
      </c>
      <c r="G175" s="64" t="s">
        <v>113</v>
      </c>
      <c r="H175" s="66" t="n">
        <v>46283.2923611111</v>
      </c>
      <c r="I175" s="66" t="n">
        <v>46283.4597222222</v>
      </c>
      <c r="J175" s="64" t="n">
        <v>16</v>
      </c>
      <c r="K175" s="64" t="s">
        <v>284</v>
      </c>
      <c r="L175" s="64" t="s">
        <v>280</v>
      </c>
      <c r="M175" s="67" t="str">
        <f aca="false">IF(A175="","",IF(AND(B175&gt;=WeekStart,B175&lt;=WeekEnd),"Yes","No"))</f>
        <v>Yes</v>
      </c>
      <c r="N175" s="67" t="str">
        <f aca="false">IF(A175="","",IF(L175&lt;&gt;"Verified","Not verified",IF(COUNTIFS(in_CGID,C175,in_ClientID,E175,in_Svc,G175)&gt;0,"Yes","Not entered")))</f>
        <v>Yes</v>
      </c>
    </row>
    <row r="176" customFormat="false" ht="15" hidden="false" customHeight="false" outlineLevel="0" collapsed="false">
      <c r="A176" s="64" t="s">
        <v>533</v>
      </c>
      <c r="B176" s="65" t="n">
        <v>46283</v>
      </c>
      <c r="C176" s="64" t="s">
        <v>350</v>
      </c>
      <c r="D176" s="64" t="s">
        <v>142</v>
      </c>
      <c r="E176" s="64" t="s">
        <v>340</v>
      </c>
      <c r="F176" s="64" t="s">
        <v>143</v>
      </c>
      <c r="G176" s="64" t="s">
        <v>113</v>
      </c>
      <c r="H176" s="66" t="n">
        <v>46283.29375</v>
      </c>
      <c r="I176" s="66" t="n">
        <v>46283.3986111111</v>
      </c>
      <c r="J176" s="64" t="n">
        <v>10</v>
      </c>
      <c r="K176" s="64" t="s">
        <v>279</v>
      </c>
      <c r="L176" s="64" t="s">
        <v>280</v>
      </c>
      <c r="M176" s="67" t="str">
        <f aca="false">IF(A176="","",IF(AND(B176&gt;=WeekStart,B176&lt;=WeekEnd),"Yes","No"))</f>
        <v>Yes</v>
      </c>
      <c r="N176" s="67" t="str">
        <f aca="false">IF(A176="","",IF(L176&lt;&gt;"Verified","Not verified",IF(COUNTIFS(in_CGID,C176,in_ClientID,E176,in_Svc,G176)&gt;0,"Yes","Not entered")))</f>
        <v>Yes</v>
      </c>
    </row>
    <row r="177" customFormat="false" ht="15" hidden="false" customHeight="false" outlineLevel="0" collapsed="false">
      <c r="A177" s="64" t="s">
        <v>534</v>
      </c>
      <c r="B177" s="65" t="n">
        <v>46283</v>
      </c>
      <c r="C177" s="64" t="s">
        <v>318</v>
      </c>
      <c r="D177" s="64" t="s">
        <v>194</v>
      </c>
      <c r="E177" s="64" t="s">
        <v>319</v>
      </c>
      <c r="F177" s="64" t="s">
        <v>195</v>
      </c>
      <c r="G177" s="64" t="s">
        <v>113</v>
      </c>
      <c r="H177" s="66" t="n">
        <v>46283.29375</v>
      </c>
      <c r="I177" s="66" t="n">
        <v>46283.41875</v>
      </c>
      <c r="J177" s="64" t="n">
        <v>12</v>
      </c>
      <c r="K177" s="64" t="s">
        <v>288</v>
      </c>
      <c r="L177" s="64" t="s">
        <v>280</v>
      </c>
      <c r="M177" s="67" t="str">
        <f aca="false">IF(A177="","",IF(AND(B177&gt;=WeekStart,B177&lt;=WeekEnd),"Yes","No"))</f>
        <v>Yes</v>
      </c>
      <c r="N177" s="67" t="str">
        <f aca="false">IF(A177="","",IF(L177&lt;&gt;"Verified","Not verified",IF(COUNTIFS(in_CGID,C177,in_ClientID,E177,in_Svc,G177)&gt;0,"Yes","Not entered")))</f>
        <v>Yes</v>
      </c>
    </row>
    <row r="178" customFormat="false" ht="15" hidden="false" customHeight="false" outlineLevel="0" collapsed="false">
      <c r="A178" s="64" t="s">
        <v>535</v>
      </c>
      <c r="B178" s="65" t="n">
        <v>46283</v>
      </c>
      <c r="C178" s="64" t="s">
        <v>339</v>
      </c>
      <c r="D178" s="64" t="s">
        <v>177</v>
      </c>
      <c r="E178" s="64" t="s">
        <v>340</v>
      </c>
      <c r="F178" s="64" t="s">
        <v>143</v>
      </c>
      <c r="G178" s="64" t="s">
        <v>133</v>
      </c>
      <c r="H178" s="66" t="n">
        <v>46283.3125</v>
      </c>
      <c r="I178" s="66" t="n">
        <v>46283.3958333333</v>
      </c>
      <c r="J178" s="64" t="n">
        <v>8</v>
      </c>
      <c r="K178" s="64" t="s">
        <v>284</v>
      </c>
      <c r="L178" s="64" t="s">
        <v>280</v>
      </c>
      <c r="M178" s="67" t="str">
        <f aca="false">IF(A178="","",IF(AND(B178&gt;=WeekStart,B178&lt;=WeekEnd),"Yes","No"))</f>
        <v>Yes</v>
      </c>
      <c r="N178" s="67" t="str">
        <f aca="false">IF(A178="","",IF(L178&lt;&gt;"Verified","Not verified",IF(COUNTIFS(in_CGID,C178,in_ClientID,E178,in_Svc,G178)&gt;0,"Yes","Not entered")))</f>
        <v>Yes</v>
      </c>
    </row>
    <row r="179" customFormat="false" ht="15" hidden="false" customHeight="false" outlineLevel="0" collapsed="false">
      <c r="A179" s="64" t="s">
        <v>536</v>
      </c>
      <c r="B179" s="65" t="n">
        <v>46283</v>
      </c>
      <c r="C179" s="64" t="s">
        <v>277</v>
      </c>
      <c r="D179" s="64" t="s">
        <v>108</v>
      </c>
      <c r="E179" s="64" t="s">
        <v>278</v>
      </c>
      <c r="F179" s="64" t="s">
        <v>109</v>
      </c>
      <c r="G179" s="64" t="s">
        <v>110</v>
      </c>
      <c r="H179" s="66" t="n">
        <v>46283.3125</v>
      </c>
      <c r="I179" s="66" t="n">
        <v>46283.4375</v>
      </c>
      <c r="J179" s="64" t="n">
        <v>12</v>
      </c>
      <c r="K179" s="64" t="s">
        <v>284</v>
      </c>
      <c r="L179" s="64" t="s">
        <v>280</v>
      </c>
      <c r="M179" s="67" t="str">
        <f aca="false">IF(A179="","",IF(AND(B179&gt;=WeekStart,B179&lt;=WeekEnd),"Yes","No"))</f>
        <v>Yes</v>
      </c>
      <c r="N179" s="67" t="str">
        <f aca="false">IF(A179="","",IF(L179&lt;&gt;"Verified","Not verified",IF(COUNTIFS(in_CGID,C179,in_ClientID,E179,in_Svc,G179)&gt;0,"Yes","Not entered")))</f>
        <v>Yes</v>
      </c>
    </row>
    <row r="180" customFormat="false" ht="15" hidden="false" customHeight="false" outlineLevel="0" collapsed="false">
      <c r="A180" s="64" t="s">
        <v>537</v>
      </c>
      <c r="B180" s="65" t="n">
        <v>46283</v>
      </c>
      <c r="C180" s="64" t="s">
        <v>315</v>
      </c>
      <c r="D180" s="64" t="s">
        <v>158</v>
      </c>
      <c r="E180" s="64" t="s">
        <v>316</v>
      </c>
      <c r="F180" s="64" t="s">
        <v>159</v>
      </c>
      <c r="G180" s="64" t="s">
        <v>113</v>
      </c>
      <c r="H180" s="66" t="n">
        <v>46283.3131944445</v>
      </c>
      <c r="I180" s="66" t="n">
        <v>46283.4590277778</v>
      </c>
      <c r="J180" s="64" t="n">
        <v>14</v>
      </c>
      <c r="K180" s="64" t="s">
        <v>284</v>
      </c>
      <c r="L180" s="64" t="s">
        <v>280</v>
      </c>
      <c r="M180" s="67" t="str">
        <f aca="false">IF(A180="","",IF(AND(B180&gt;=WeekStart,B180&lt;=WeekEnd),"Yes","No"))</f>
        <v>Yes</v>
      </c>
      <c r="N180" s="67" t="str">
        <f aca="false">IF(A180="","",IF(L180&lt;&gt;"Verified","Not verified",IF(COUNTIFS(in_CGID,C180,in_ClientID,E180,in_Svc,G180)&gt;0,"Yes","Not entered")))</f>
        <v>Yes</v>
      </c>
    </row>
    <row r="181" customFormat="false" ht="15" hidden="false" customHeight="false" outlineLevel="0" collapsed="false">
      <c r="A181" s="64" t="s">
        <v>538</v>
      </c>
      <c r="B181" s="65" t="n">
        <v>46283</v>
      </c>
      <c r="C181" s="64" t="s">
        <v>427</v>
      </c>
      <c r="D181" s="64" t="s">
        <v>175</v>
      </c>
      <c r="E181" s="64" t="s">
        <v>340</v>
      </c>
      <c r="F181" s="64" t="s">
        <v>143</v>
      </c>
      <c r="G181" s="64" t="s">
        <v>110</v>
      </c>
      <c r="H181" s="66" t="n">
        <v>46283.3131944445</v>
      </c>
      <c r="I181" s="66" t="n">
        <v>46283.4590277778</v>
      </c>
      <c r="J181" s="64" t="n">
        <v>14</v>
      </c>
      <c r="K181" s="64" t="s">
        <v>284</v>
      </c>
      <c r="L181" s="64" t="s">
        <v>280</v>
      </c>
      <c r="M181" s="67" t="str">
        <f aca="false">IF(A181="","",IF(AND(B181&gt;=WeekStart,B181&lt;=WeekEnd),"Yes","No"))</f>
        <v>Yes</v>
      </c>
      <c r="N181" s="67" t="str">
        <f aca="false">IF(A181="","",IF(L181&lt;&gt;"Verified","Not verified",IF(COUNTIFS(in_CGID,C181,in_ClientID,E181,in_Svc,G181)&gt;0,"Yes","Not entered")))</f>
        <v>Yes</v>
      </c>
    </row>
    <row r="182" customFormat="false" ht="15" hidden="false" customHeight="false" outlineLevel="0" collapsed="false">
      <c r="A182" s="64" t="s">
        <v>539</v>
      </c>
      <c r="B182" s="65" t="n">
        <v>46283</v>
      </c>
      <c r="C182" s="64" t="s">
        <v>312</v>
      </c>
      <c r="D182" s="64" t="s">
        <v>154</v>
      </c>
      <c r="E182" s="64" t="s">
        <v>348</v>
      </c>
      <c r="F182" s="64" t="s">
        <v>136</v>
      </c>
      <c r="G182" s="64" t="s">
        <v>113</v>
      </c>
      <c r="H182" s="66" t="n">
        <v>46283.3166666667</v>
      </c>
      <c r="I182" s="66" t="n">
        <v>46283.4625</v>
      </c>
      <c r="J182" s="64" t="n">
        <v>14</v>
      </c>
      <c r="K182" s="64" t="s">
        <v>284</v>
      </c>
      <c r="L182" s="64" t="s">
        <v>280</v>
      </c>
      <c r="M182" s="67" t="str">
        <f aca="false">IF(A182="","",IF(AND(B182&gt;=WeekStart,B182&lt;=WeekEnd),"Yes","No"))</f>
        <v>Yes</v>
      </c>
      <c r="N182" s="67" t="str">
        <f aca="false">IF(A182="","",IF(L182&lt;&gt;"Verified","Not verified",IF(COUNTIFS(in_CGID,C182,in_ClientID,E182,in_Svc,G182)&gt;0,"Yes","Not entered")))</f>
        <v>Yes</v>
      </c>
    </row>
    <row r="183" customFormat="false" ht="15" hidden="false" customHeight="false" outlineLevel="0" collapsed="false">
      <c r="A183" s="64" t="s">
        <v>540</v>
      </c>
      <c r="B183" s="65" t="n">
        <v>46283</v>
      </c>
      <c r="C183" s="64" t="s">
        <v>454</v>
      </c>
      <c r="D183" s="64" t="s">
        <v>182</v>
      </c>
      <c r="E183" s="64" t="s">
        <v>455</v>
      </c>
      <c r="F183" s="64" t="s">
        <v>183</v>
      </c>
      <c r="G183" s="64" t="s">
        <v>110</v>
      </c>
      <c r="H183" s="66" t="n">
        <v>46283.3166666667</v>
      </c>
      <c r="I183" s="66" t="n">
        <v>46283.4006944444</v>
      </c>
      <c r="J183" s="64" t="n">
        <v>8</v>
      </c>
      <c r="K183" s="64" t="s">
        <v>284</v>
      </c>
      <c r="L183" s="64" t="s">
        <v>280</v>
      </c>
      <c r="M183" s="67" t="str">
        <f aca="false">IF(A183="","",IF(AND(B183&gt;=WeekStart,B183&lt;=WeekEnd),"Yes","No"))</f>
        <v>Yes</v>
      </c>
      <c r="N183" s="67" t="str">
        <f aca="false">IF(A183="","",IF(L183&lt;&gt;"Verified","Not verified",IF(COUNTIFS(in_CGID,C183,in_ClientID,E183,in_Svc,G183)&gt;0,"Yes","Not entered")))</f>
        <v>Yes</v>
      </c>
    </row>
    <row r="184" customFormat="false" ht="15" hidden="false" customHeight="false" outlineLevel="0" collapsed="false">
      <c r="A184" s="64" t="s">
        <v>541</v>
      </c>
      <c r="B184" s="65" t="n">
        <v>46283</v>
      </c>
      <c r="C184" s="64" t="s">
        <v>329</v>
      </c>
      <c r="D184" s="64" t="s">
        <v>176</v>
      </c>
      <c r="E184" s="64" t="s">
        <v>330</v>
      </c>
      <c r="F184" s="64" t="s">
        <v>152</v>
      </c>
      <c r="G184" s="64" t="s">
        <v>113</v>
      </c>
      <c r="H184" s="66" t="n">
        <v>46283.3305555556</v>
      </c>
      <c r="I184" s="66" t="n">
        <v>46283.4972222222</v>
      </c>
      <c r="J184" s="64" t="n">
        <v>16</v>
      </c>
      <c r="K184" s="64" t="s">
        <v>284</v>
      </c>
      <c r="L184" s="64" t="s">
        <v>280</v>
      </c>
      <c r="M184" s="67" t="str">
        <f aca="false">IF(A184="","",IF(AND(B184&gt;=WeekStart,B184&lt;=WeekEnd),"Yes","No"))</f>
        <v>Yes</v>
      </c>
      <c r="N184" s="67" t="str">
        <f aca="false">IF(A184="","",IF(L184&lt;&gt;"Verified","Not verified",IF(COUNTIFS(in_CGID,C184,in_ClientID,E184,in_Svc,G184)&gt;0,"Yes","Not entered")))</f>
        <v>Yes</v>
      </c>
    </row>
    <row r="185" customFormat="false" ht="15" hidden="false" customHeight="false" outlineLevel="0" collapsed="false">
      <c r="A185" s="64" t="s">
        <v>542</v>
      </c>
      <c r="B185" s="65" t="n">
        <v>46283</v>
      </c>
      <c r="C185" s="64" t="s">
        <v>309</v>
      </c>
      <c r="D185" s="64" t="s">
        <v>167</v>
      </c>
      <c r="E185" s="64" t="s">
        <v>310</v>
      </c>
      <c r="F185" s="64" t="s">
        <v>118</v>
      </c>
      <c r="G185" s="64" t="s">
        <v>133</v>
      </c>
      <c r="H185" s="66" t="n">
        <v>46283.3319444444</v>
      </c>
      <c r="I185" s="66" t="n">
        <v>46283.4375</v>
      </c>
      <c r="J185" s="64" t="n">
        <v>10</v>
      </c>
      <c r="K185" s="64" t="s">
        <v>279</v>
      </c>
      <c r="L185" s="64" t="s">
        <v>280</v>
      </c>
      <c r="M185" s="67" t="str">
        <f aca="false">IF(A185="","",IF(AND(B185&gt;=WeekStart,B185&lt;=WeekEnd),"Yes","No"))</f>
        <v>Yes</v>
      </c>
      <c r="N185" s="67" t="str">
        <f aca="false">IF(A185="","",IF(L185&lt;&gt;"Verified","Not verified",IF(COUNTIFS(in_CGID,C185,in_ClientID,E185,in_Svc,G185)&gt;0,"Yes","Not entered")))</f>
        <v>Yes</v>
      </c>
    </row>
    <row r="186" customFormat="false" ht="15" hidden="false" customHeight="false" outlineLevel="0" collapsed="false">
      <c r="A186" s="64" t="s">
        <v>543</v>
      </c>
      <c r="B186" s="65" t="n">
        <v>46283</v>
      </c>
      <c r="C186" s="64" t="s">
        <v>286</v>
      </c>
      <c r="D186" s="64" t="s">
        <v>139</v>
      </c>
      <c r="E186" s="64" t="s">
        <v>290</v>
      </c>
      <c r="F186" s="64" t="s">
        <v>122</v>
      </c>
      <c r="G186" s="64" t="s">
        <v>113</v>
      </c>
      <c r="H186" s="66" t="n">
        <v>46283.3319444444</v>
      </c>
      <c r="I186" s="66" t="n">
        <v>46283.4152777778</v>
      </c>
      <c r="J186" s="64" t="n">
        <v>8</v>
      </c>
      <c r="K186" s="64" t="s">
        <v>284</v>
      </c>
      <c r="L186" s="64" t="s">
        <v>280</v>
      </c>
      <c r="M186" s="67" t="str">
        <f aca="false">IF(A186="","",IF(AND(B186&gt;=WeekStart,B186&lt;=WeekEnd),"Yes","No"))</f>
        <v>Yes</v>
      </c>
      <c r="N186" s="67" t="str">
        <f aca="false">IF(A186="","",IF(L186&lt;&gt;"Verified","Not verified",IF(COUNTIFS(in_CGID,C186,in_ClientID,E186,in_Svc,G186)&gt;0,"Yes","Not entered")))</f>
        <v>Yes</v>
      </c>
    </row>
    <row r="187" customFormat="false" ht="15" hidden="false" customHeight="false" outlineLevel="0" collapsed="false">
      <c r="A187" s="64" t="s">
        <v>544</v>
      </c>
      <c r="B187" s="65" t="n">
        <v>46283</v>
      </c>
      <c r="C187" s="64" t="s">
        <v>425</v>
      </c>
      <c r="D187" s="64" t="s">
        <v>131</v>
      </c>
      <c r="E187" s="64" t="s">
        <v>361</v>
      </c>
      <c r="F187" s="64" t="s">
        <v>132</v>
      </c>
      <c r="G187" s="64" t="s">
        <v>133</v>
      </c>
      <c r="H187" s="66" t="n">
        <v>46283.3340277778</v>
      </c>
      <c r="I187" s="66" t="n">
        <v>46283.4173611111</v>
      </c>
      <c r="J187" s="64" t="n">
        <v>8</v>
      </c>
      <c r="K187" s="64" t="s">
        <v>284</v>
      </c>
      <c r="L187" s="64" t="s">
        <v>280</v>
      </c>
      <c r="M187" s="67" t="str">
        <f aca="false">IF(A187="","",IF(AND(B187&gt;=WeekStart,B187&lt;=WeekEnd),"Yes","No"))</f>
        <v>Yes</v>
      </c>
      <c r="N187" s="67" t="str">
        <f aca="false">IF(A187="","",IF(L187&lt;&gt;"Verified","Not verified",IF(COUNTIFS(in_CGID,C187,in_ClientID,E187,in_Svc,G187)&gt;0,"Yes","Not entered")))</f>
        <v>Yes</v>
      </c>
    </row>
    <row r="188" customFormat="false" ht="15" hidden="false" customHeight="false" outlineLevel="0" collapsed="false">
      <c r="A188" s="64" t="s">
        <v>545</v>
      </c>
      <c r="B188" s="65" t="n">
        <v>46283</v>
      </c>
      <c r="C188" s="64" t="s">
        <v>327</v>
      </c>
      <c r="D188" s="64" t="s">
        <v>187</v>
      </c>
      <c r="E188" s="64" t="s">
        <v>364</v>
      </c>
      <c r="F188" s="64" t="s">
        <v>149</v>
      </c>
      <c r="G188" s="64" t="s">
        <v>113</v>
      </c>
      <c r="H188" s="66" t="n">
        <v>46283.3354166667</v>
      </c>
      <c r="I188" s="66" t="n">
        <v>46283.4618055556</v>
      </c>
      <c r="J188" s="64" t="n">
        <v>12</v>
      </c>
      <c r="K188" s="64" t="s">
        <v>284</v>
      </c>
      <c r="L188" s="64" t="s">
        <v>280</v>
      </c>
      <c r="M188" s="67" t="str">
        <f aca="false">IF(A188="","",IF(AND(B188&gt;=WeekStart,B188&lt;=WeekEnd),"Yes","No"))</f>
        <v>Yes</v>
      </c>
      <c r="N188" s="67" t="str">
        <f aca="false">IF(A188="","",IF(L188&lt;&gt;"Verified","Not verified",IF(COUNTIFS(in_CGID,C188,in_ClientID,E188,in_Svc,G188)&gt;0,"Yes","Not entered")))</f>
        <v>Yes</v>
      </c>
    </row>
    <row r="189" customFormat="false" ht="15" hidden="false" customHeight="false" outlineLevel="0" collapsed="false">
      <c r="A189" s="64" t="s">
        <v>546</v>
      </c>
      <c r="B189" s="65" t="n">
        <v>46283</v>
      </c>
      <c r="C189" s="64" t="s">
        <v>395</v>
      </c>
      <c r="D189" s="64" t="s">
        <v>179</v>
      </c>
      <c r="E189" s="64" t="s">
        <v>396</v>
      </c>
      <c r="F189" s="64" t="s">
        <v>180</v>
      </c>
      <c r="G189" s="64" t="s">
        <v>113</v>
      </c>
      <c r="H189" s="66" t="n">
        <v>46283.3375</v>
      </c>
      <c r="I189" s="66" t="n">
        <v>46283.5048611111</v>
      </c>
      <c r="J189" s="64" t="n">
        <v>16</v>
      </c>
      <c r="K189" s="64" t="s">
        <v>284</v>
      </c>
      <c r="L189" s="64" t="s">
        <v>280</v>
      </c>
      <c r="M189" s="67" t="str">
        <f aca="false">IF(A189="","",IF(AND(B189&gt;=WeekStart,B189&lt;=WeekEnd),"Yes","No"))</f>
        <v>Yes</v>
      </c>
      <c r="N189" s="67" t="str">
        <f aca="false">IF(A189="","",IF(L189&lt;&gt;"Verified","Not verified",IF(COUNTIFS(in_CGID,C189,in_ClientID,E189,in_Svc,G189)&gt;0,"Yes","Not entered")))</f>
        <v>Yes</v>
      </c>
    </row>
    <row r="190" customFormat="false" ht="15" hidden="false" customHeight="false" outlineLevel="0" collapsed="false">
      <c r="A190" s="64" t="s">
        <v>547</v>
      </c>
      <c r="B190" s="65" t="n">
        <v>46283</v>
      </c>
      <c r="C190" s="64" t="s">
        <v>360</v>
      </c>
      <c r="D190" s="64" t="s">
        <v>150</v>
      </c>
      <c r="E190" s="64" t="s">
        <v>361</v>
      </c>
      <c r="F190" s="64" t="s">
        <v>132</v>
      </c>
      <c r="G190" s="64" t="s">
        <v>133</v>
      </c>
      <c r="H190" s="66" t="n">
        <v>46283.3736111111</v>
      </c>
      <c r="I190" s="66" t="n">
        <v>46283.4555555556</v>
      </c>
      <c r="J190" s="64" t="n">
        <v>8</v>
      </c>
      <c r="K190" s="64" t="s">
        <v>284</v>
      </c>
      <c r="L190" s="64" t="s">
        <v>280</v>
      </c>
      <c r="M190" s="67" t="str">
        <f aca="false">IF(A190="","",IF(AND(B190&gt;=WeekStart,B190&lt;=WeekEnd),"Yes","No"))</f>
        <v>Yes</v>
      </c>
      <c r="N190" s="67" t="str">
        <f aca="false">IF(A190="","",IF(L190&lt;&gt;"Verified","Not verified",IF(COUNTIFS(in_CGID,C190,in_ClientID,E190,in_Svc,G190)&gt;0,"Yes","Not entered")))</f>
        <v>Yes</v>
      </c>
    </row>
    <row r="191" customFormat="false" ht="15" hidden="false" customHeight="false" outlineLevel="0" collapsed="false">
      <c r="A191" s="64" t="s">
        <v>548</v>
      </c>
      <c r="B191" s="65" t="n">
        <v>46283</v>
      </c>
      <c r="C191" s="64" t="s">
        <v>329</v>
      </c>
      <c r="D191" s="64" t="s">
        <v>176</v>
      </c>
      <c r="E191" s="64" t="s">
        <v>403</v>
      </c>
      <c r="F191" s="64" t="s">
        <v>116</v>
      </c>
      <c r="G191" s="64" t="s">
        <v>117</v>
      </c>
      <c r="H191" s="66" t="n">
        <v>46283.375</v>
      </c>
      <c r="I191" s="66" t="n">
        <v>46283.5</v>
      </c>
      <c r="J191" s="64" t="n">
        <v>12</v>
      </c>
      <c r="K191" s="64" t="s">
        <v>288</v>
      </c>
      <c r="L191" s="64" t="s">
        <v>549</v>
      </c>
      <c r="M191" s="67" t="str">
        <f aca="false">IF(A191="","",IF(AND(B191&gt;=WeekStart,B191&lt;=WeekEnd),"Yes","No"))</f>
        <v>Yes</v>
      </c>
      <c r="N191" s="67" t="str">
        <f aca="false">IF(A191="","",IF(L191&lt;&gt;"Verified","Not verified",IF(COUNTIFS(in_CGID,C191,in_ClientID,E191,in_Svc,G191)&gt;0,"Yes","Not entered")))</f>
        <v>Not verified</v>
      </c>
    </row>
    <row r="192" customFormat="false" ht="15" hidden="false" customHeight="false" outlineLevel="0" collapsed="false">
      <c r="A192" s="64" t="s">
        <v>550</v>
      </c>
      <c r="B192" s="65" t="n">
        <v>46283</v>
      </c>
      <c r="C192" s="64" t="s">
        <v>323</v>
      </c>
      <c r="D192" s="64" t="s">
        <v>115</v>
      </c>
      <c r="E192" s="64" t="s">
        <v>403</v>
      </c>
      <c r="F192" s="64" t="s">
        <v>116</v>
      </c>
      <c r="G192" s="64" t="s">
        <v>117</v>
      </c>
      <c r="H192" s="66" t="n">
        <v>46283.375</v>
      </c>
      <c r="I192" s="66" t="n">
        <v>46283.5</v>
      </c>
      <c r="J192" s="64" t="n">
        <v>12</v>
      </c>
      <c r="K192" s="64" t="s">
        <v>288</v>
      </c>
      <c r="L192" s="64" t="s">
        <v>549</v>
      </c>
      <c r="M192" s="67" t="str">
        <f aca="false">IF(A192="","",IF(AND(B192&gt;=WeekStart,B192&lt;=WeekEnd),"Yes","No"))</f>
        <v>Yes</v>
      </c>
      <c r="N192" s="67" t="str">
        <f aca="false">IF(A192="","",IF(L192&lt;&gt;"Verified","Not verified",IF(COUNTIFS(in_CGID,C192,in_ClientID,E192,in_Svc,G192)&gt;0,"Yes","Not entered")))</f>
        <v>Not verified</v>
      </c>
    </row>
    <row r="193" customFormat="false" ht="15" hidden="false" customHeight="false" outlineLevel="0" collapsed="false">
      <c r="A193" s="64" t="s">
        <v>551</v>
      </c>
      <c r="B193" s="65" t="n">
        <v>46283</v>
      </c>
      <c r="C193" s="64" t="s">
        <v>277</v>
      </c>
      <c r="D193" s="64" t="s">
        <v>108</v>
      </c>
      <c r="E193" s="64" t="s">
        <v>278</v>
      </c>
      <c r="F193" s="64" t="s">
        <v>109</v>
      </c>
      <c r="G193" s="64" t="s">
        <v>110</v>
      </c>
      <c r="H193" s="66" t="n">
        <v>46283.375</v>
      </c>
      <c r="I193" s="66" t="n">
        <v>46283.5</v>
      </c>
      <c r="J193" s="64" t="n">
        <v>12</v>
      </c>
      <c r="K193" s="64" t="s">
        <v>288</v>
      </c>
      <c r="L193" s="64" t="s">
        <v>549</v>
      </c>
      <c r="M193" s="67" t="str">
        <f aca="false">IF(A193="","",IF(AND(B193&gt;=WeekStart,B193&lt;=WeekEnd),"Yes","No"))</f>
        <v>Yes</v>
      </c>
      <c r="N193" s="67" t="str">
        <f aca="false">IF(A193="","",IF(L193&lt;&gt;"Verified","Not verified",IF(COUNTIFS(in_CGID,C193,in_ClientID,E193,in_Svc,G193)&gt;0,"Yes","Not entered")))</f>
        <v>Not verified</v>
      </c>
    </row>
    <row r="194" customFormat="false" ht="15" hidden="false" customHeight="false" outlineLevel="0" collapsed="false">
      <c r="A194" s="64" t="s">
        <v>552</v>
      </c>
      <c r="B194" s="65" t="n">
        <v>46283</v>
      </c>
      <c r="C194" s="64" t="s">
        <v>329</v>
      </c>
      <c r="D194" s="64" t="s">
        <v>176</v>
      </c>
      <c r="E194" s="64" t="s">
        <v>403</v>
      </c>
      <c r="F194" s="64" t="s">
        <v>116</v>
      </c>
      <c r="G194" s="64" t="s">
        <v>117</v>
      </c>
      <c r="H194" s="66" t="n">
        <v>46283.3770833333</v>
      </c>
      <c r="I194" s="66" t="n">
        <v>46283.6923611111</v>
      </c>
      <c r="J194" s="64" t="n">
        <v>30</v>
      </c>
      <c r="K194" s="64" t="s">
        <v>284</v>
      </c>
      <c r="L194" s="64" t="s">
        <v>280</v>
      </c>
      <c r="M194" s="67" t="str">
        <f aca="false">IF(A194="","",IF(AND(B194&gt;=WeekStart,B194&lt;=WeekEnd),"Yes","No"))</f>
        <v>Yes</v>
      </c>
      <c r="N194" s="67" t="str">
        <f aca="false">IF(A194="","",IF(L194&lt;&gt;"Verified","Not verified",IF(COUNTIFS(in_CGID,C194,in_ClientID,E194,in_Svc,G194)&gt;0,"Yes","Not entered")))</f>
        <v>Yes</v>
      </c>
    </row>
    <row r="195" customFormat="false" ht="15" hidden="false" customHeight="false" outlineLevel="0" collapsed="false">
      <c r="A195" s="64" t="s">
        <v>553</v>
      </c>
      <c r="B195" s="65" t="n">
        <v>46283</v>
      </c>
      <c r="C195" s="64" t="s">
        <v>305</v>
      </c>
      <c r="D195" s="64" t="s">
        <v>121</v>
      </c>
      <c r="E195" s="64" t="s">
        <v>290</v>
      </c>
      <c r="F195" s="64" t="s">
        <v>122</v>
      </c>
      <c r="G195" s="64" t="s">
        <v>113</v>
      </c>
      <c r="H195" s="66" t="n">
        <v>46283.3791666667</v>
      </c>
      <c r="I195" s="66" t="n">
        <v>46283.525</v>
      </c>
      <c r="J195" s="64" t="n">
        <v>14</v>
      </c>
      <c r="K195" s="64" t="s">
        <v>284</v>
      </c>
      <c r="L195" s="64" t="s">
        <v>280</v>
      </c>
      <c r="M195" s="67" t="str">
        <f aca="false">IF(A195="","",IF(AND(B195&gt;=WeekStart,B195&lt;=WeekEnd),"Yes","No"))</f>
        <v>Yes</v>
      </c>
      <c r="N195" s="67" t="str">
        <f aca="false">IF(A195="","",IF(L195&lt;&gt;"Verified","Not verified",IF(COUNTIFS(in_CGID,C195,in_ClientID,E195,in_Svc,G195)&gt;0,"Yes","Not entered")))</f>
        <v>Yes</v>
      </c>
    </row>
    <row r="196" customFormat="false" ht="15" hidden="false" customHeight="false" outlineLevel="0" collapsed="false">
      <c r="A196" s="64" t="s">
        <v>554</v>
      </c>
      <c r="B196" s="65" t="n">
        <v>46283</v>
      </c>
      <c r="C196" s="64" t="s">
        <v>475</v>
      </c>
      <c r="D196" s="64" t="s">
        <v>129</v>
      </c>
      <c r="E196" s="64" t="s">
        <v>476</v>
      </c>
      <c r="F196" s="64" t="s">
        <v>130</v>
      </c>
      <c r="G196" s="64" t="s">
        <v>117</v>
      </c>
      <c r="H196" s="66" t="n">
        <v>46283.3791666667</v>
      </c>
      <c r="I196" s="66" t="n">
        <v>46283.6513888889</v>
      </c>
      <c r="J196" s="64" t="n">
        <v>26</v>
      </c>
      <c r="K196" s="64" t="s">
        <v>284</v>
      </c>
      <c r="L196" s="64" t="s">
        <v>280</v>
      </c>
      <c r="M196" s="67" t="str">
        <f aca="false">IF(A196="","",IF(AND(B196&gt;=WeekStart,B196&lt;=WeekEnd),"Yes","No"))</f>
        <v>Yes</v>
      </c>
      <c r="N196" s="67" t="str">
        <f aca="false">IF(A196="","",IF(L196&lt;&gt;"Verified","Not verified",IF(COUNTIFS(in_CGID,C196,in_ClientID,E196,in_Svc,G196)&gt;0,"Yes","Not entered")))</f>
        <v>Yes</v>
      </c>
    </row>
    <row r="197" customFormat="false" ht="15" hidden="false" customHeight="false" outlineLevel="0" collapsed="false">
      <c r="A197" s="64" t="s">
        <v>555</v>
      </c>
      <c r="B197" s="65" t="n">
        <v>46283</v>
      </c>
      <c r="C197" s="64" t="s">
        <v>307</v>
      </c>
      <c r="D197" s="64" t="s">
        <v>166</v>
      </c>
      <c r="E197" s="64" t="s">
        <v>290</v>
      </c>
      <c r="F197" s="64" t="s">
        <v>122</v>
      </c>
      <c r="G197" s="64" t="s">
        <v>133</v>
      </c>
      <c r="H197" s="66" t="n">
        <v>46283.3930555556</v>
      </c>
      <c r="I197" s="66" t="n">
        <v>46283.4958333333</v>
      </c>
      <c r="J197" s="64" t="n">
        <v>10</v>
      </c>
      <c r="K197" s="64" t="s">
        <v>284</v>
      </c>
      <c r="L197" s="64" t="s">
        <v>280</v>
      </c>
      <c r="M197" s="67" t="str">
        <f aca="false">IF(A197="","",IF(AND(B197&gt;=WeekStart,B197&lt;=WeekEnd),"Yes","No"))</f>
        <v>Yes</v>
      </c>
      <c r="N197" s="67" t="str">
        <f aca="false">IF(A197="","",IF(L197&lt;&gt;"Verified","Not verified",IF(COUNTIFS(in_CGID,C197,in_ClientID,E197,in_Svc,G197)&gt;0,"Yes","Not entered")))</f>
        <v>Yes</v>
      </c>
    </row>
    <row r="198" customFormat="false" ht="15" hidden="false" customHeight="false" outlineLevel="0" collapsed="false">
      <c r="A198" s="64" t="s">
        <v>556</v>
      </c>
      <c r="B198" s="65" t="n">
        <v>46283</v>
      </c>
      <c r="C198" s="64" t="s">
        <v>369</v>
      </c>
      <c r="D198" s="64" t="s">
        <v>173</v>
      </c>
      <c r="E198" s="64" t="s">
        <v>370</v>
      </c>
      <c r="F198" s="64" t="s">
        <v>174</v>
      </c>
      <c r="G198" s="64" t="s">
        <v>133</v>
      </c>
      <c r="H198" s="66" t="n">
        <v>46283.3965277778</v>
      </c>
      <c r="I198" s="66" t="n">
        <v>46283.5034722222</v>
      </c>
      <c r="J198" s="64" t="n">
        <v>10</v>
      </c>
      <c r="K198" s="64" t="s">
        <v>284</v>
      </c>
      <c r="L198" s="64" t="s">
        <v>280</v>
      </c>
      <c r="M198" s="67" t="str">
        <f aca="false">IF(A198="","",IF(AND(B198&gt;=WeekStart,B198&lt;=WeekEnd),"Yes","No"))</f>
        <v>Yes</v>
      </c>
      <c r="N198" s="67" t="str">
        <f aca="false">IF(A198="","",IF(L198&lt;&gt;"Verified","Not verified",IF(COUNTIFS(in_CGID,C198,in_ClientID,E198,in_Svc,G198)&gt;0,"Yes","Not entered")))</f>
        <v>Yes</v>
      </c>
    </row>
    <row r="199" customFormat="false" ht="15" hidden="false" customHeight="false" outlineLevel="0" collapsed="false">
      <c r="A199" s="64" t="s">
        <v>557</v>
      </c>
      <c r="B199" s="65" t="n">
        <v>46283</v>
      </c>
      <c r="C199" s="64" t="s">
        <v>312</v>
      </c>
      <c r="D199" s="64" t="s">
        <v>154</v>
      </c>
      <c r="E199" s="64" t="s">
        <v>313</v>
      </c>
      <c r="F199" s="64" t="s">
        <v>155</v>
      </c>
      <c r="G199" s="64" t="s">
        <v>113</v>
      </c>
      <c r="H199" s="66" t="n">
        <v>46283.3979166667</v>
      </c>
      <c r="I199" s="66" t="n">
        <v>46283.5229166667</v>
      </c>
      <c r="J199" s="64" t="n">
        <v>12</v>
      </c>
      <c r="K199" s="64" t="s">
        <v>284</v>
      </c>
      <c r="L199" s="64" t="s">
        <v>280</v>
      </c>
      <c r="M199" s="67" t="str">
        <f aca="false">IF(A199="","",IF(AND(B199&gt;=WeekStart,B199&lt;=WeekEnd),"Yes","No"))</f>
        <v>Yes</v>
      </c>
      <c r="N199" s="67" t="str">
        <f aca="false">IF(A199="","",IF(L199&lt;&gt;"Verified","Not verified",IF(COUNTIFS(in_CGID,C199,in_ClientID,E199,in_Svc,G199)&gt;0,"Yes","Not entered")))</f>
        <v>Yes</v>
      </c>
    </row>
    <row r="200" customFormat="false" ht="15" hidden="false" customHeight="false" outlineLevel="0" collapsed="false">
      <c r="A200" s="64" t="s">
        <v>558</v>
      </c>
      <c r="B200" s="65" t="n">
        <v>46283</v>
      </c>
      <c r="C200" s="64" t="s">
        <v>286</v>
      </c>
      <c r="D200" s="64" t="s">
        <v>139</v>
      </c>
      <c r="E200" s="64" t="s">
        <v>373</v>
      </c>
      <c r="F200" s="64" t="s">
        <v>140</v>
      </c>
      <c r="G200" s="64" t="s">
        <v>113</v>
      </c>
      <c r="H200" s="66" t="n">
        <v>46283.4</v>
      </c>
      <c r="I200" s="66" t="n">
        <v>46283.5055555556</v>
      </c>
      <c r="J200" s="64" t="n">
        <v>10</v>
      </c>
      <c r="K200" s="64" t="s">
        <v>284</v>
      </c>
      <c r="L200" s="64" t="s">
        <v>280</v>
      </c>
      <c r="M200" s="67" t="str">
        <f aca="false">IF(A200="","",IF(AND(B200&gt;=WeekStart,B200&lt;=WeekEnd),"Yes","No"))</f>
        <v>Yes</v>
      </c>
      <c r="N200" s="67" t="str">
        <f aca="false">IF(A200="","",IF(L200&lt;&gt;"Verified","Not verified",IF(COUNTIFS(in_CGID,C200,in_ClientID,E200,in_Svc,G200)&gt;0,"Yes","Not entered")))</f>
        <v>Yes</v>
      </c>
    </row>
    <row r="201" customFormat="false" ht="15" hidden="false" customHeight="false" outlineLevel="0" collapsed="false">
      <c r="A201" s="64" t="s">
        <v>559</v>
      </c>
      <c r="B201" s="65" t="n">
        <v>46283</v>
      </c>
      <c r="C201" s="64" t="s">
        <v>342</v>
      </c>
      <c r="D201" s="64" t="s">
        <v>137</v>
      </c>
      <c r="E201" s="64" t="s">
        <v>343</v>
      </c>
      <c r="F201" s="64" t="s">
        <v>138</v>
      </c>
      <c r="G201" s="64" t="s">
        <v>110</v>
      </c>
      <c r="H201" s="66" t="n">
        <v>46283.41875</v>
      </c>
      <c r="I201" s="66" t="n">
        <v>46283.5215277778</v>
      </c>
      <c r="J201" s="64" t="n">
        <v>10</v>
      </c>
      <c r="K201" s="64" t="s">
        <v>284</v>
      </c>
      <c r="L201" s="64" t="s">
        <v>280</v>
      </c>
      <c r="M201" s="67" t="str">
        <f aca="false">IF(A201="","",IF(AND(B201&gt;=WeekStart,B201&lt;=WeekEnd),"Yes","No"))</f>
        <v>Yes</v>
      </c>
      <c r="N201" s="67" t="str">
        <f aca="false">IF(A201="","",IF(L201&lt;&gt;"Verified","Not verified",IF(COUNTIFS(in_CGID,C201,in_ClientID,E201,in_Svc,G201)&gt;0,"Yes","Not entered")))</f>
        <v>Not entered</v>
      </c>
    </row>
    <row r="202" customFormat="false" ht="15" hidden="false" customHeight="false" outlineLevel="0" collapsed="false">
      <c r="A202" s="64" t="s">
        <v>560</v>
      </c>
      <c r="B202" s="65" t="n">
        <v>46283</v>
      </c>
      <c r="C202" s="64" t="s">
        <v>332</v>
      </c>
      <c r="D202" s="64" t="s">
        <v>171</v>
      </c>
      <c r="E202" s="64" t="s">
        <v>333</v>
      </c>
      <c r="F202" s="64" t="s">
        <v>172</v>
      </c>
      <c r="G202" s="64" t="s">
        <v>113</v>
      </c>
      <c r="H202" s="66" t="n">
        <v>46283.41875</v>
      </c>
      <c r="I202" s="66" t="n">
        <v>46283.5236111111</v>
      </c>
      <c r="J202" s="64" t="n">
        <v>10</v>
      </c>
      <c r="K202" s="64" t="s">
        <v>284</v>
      </c>
      <c r="L202" s="64" t="s">
        <v>280</v>
      </c>
      <c r="M202" s="67" t="str">
        <f aca="false">IF(A202="","",IF(AND(B202&gt;=WeekStart,B202&lt;=WeekEnd),"Yes","No"))</f>
        <v>Yes</v>
      </c>
      <c r="N202" s="67" t="str">
        <f aca="false">IF(A202="","",IF(L202&lt;&gt;"Verified","Not verified",IF(COUNTIFS(in_CGID,C202,in_ClientID,E202,in_Svc,G202)&gt;0,"Yes","Not entered")))</f>
        <v>Yes</v>
      </c>
    </row>
    <row r="203" customFormat="false" ht="15" hidden="false" customHeight="false" outlineLevel="0" collapsed="false">
      <c r="A203" s="64" t="s">
        <v>561</v>
      </c>
      <c r="B203" s="65" t="n">
        <v>46283</v>
      </c>
      <c r="C203" s="64" t="s">
        <v>335</v>
      </c>
      <c r="D203" s="64" t="s">
        <v>151</v>
      </c>
      <c r="E203" s="64" t="s">
        <v>330</v>
      </c>
      <c r="F203" s="64" t="s">
        <v>152</v>
      </c>
      <c r="G203" s="64" t="s">
        <v>113</v>
      </c>
      <c r="H203" s="66" t="n">
        <v>46283.4986111111</v>
      </c>
      <c r="I203" s="66" t="n">
        <v>46283.625</v>
      </c>
      <c r="J203" s="64" t="n">
        <v>12</v>
      </c>
      <c r="K203" s="64" t="s">
        <v>284</v>
      </c>
      <c r="L203" s="64" t="s">
        <v>280</v>
      </c>
      <c r="M203" s="67" t="str">
        <f aca="false">IF(A203="","",IF(AND(B203&gt;=WeekStart,B203&lt;=WeekEnd),"Yes","No"))</f>
        <v>Yes</v>
      </c>
      <c r="N203" s="67" t="str">
        <f aca="false">IF(A203="","",IF(L203&lt;&gt;"Verified","Not verified",IF(COUNTIFS(in_CGID,C203,in_ClientID,E203,in_Svc,G203)&gt;0,"Yes","Not entered")))</f>
        <v>Yes</v>
      </c>
    </row>
    <row r="204" customFormat="false" ht="15" hidden="false" customHeight="false" outlineLevel="0" collapsed="false">
      <c r="A204" s="64" t="s">
        <v>562</v>
      </c>
      <c r="B204" s="65" t="n">
        <v>46283</v>
      </c>
      <c r="C204" s="64" t="s">
        <v>327</v>
      </c>
      <c r="D204" s="64" t="s">
        <v>187</v>
      </c>
      <c r="E204" s="64" t="s">
        <v>310</v>
      </c>
      <c r="F204" s="64" t="s">
        <v>118</v>
      </c>
      <c r="G204" s="64" t="s">
        <v>110</v>
      </c>
      <c r="H204" s="66" t="n">
        <v>46283.5</v>
      </c>
      <c r="I204" s="66" t="n">
        <v>46283.6666666667</v>
      </c>
      <c r="J204" s="64" t="n">
        <v>16</v>
      </c>
      <c r="K204" s="64" t="s">
        <v>284</v>
      </c>
      <c r="L204" s="64" t="s">
        <v>280</v>
      </c>
      <c r="M204" s="67" t="str">
        <f aca="false">IF(A204="","",IF(AND(B204&gt;=WeekStart,B204&lt;=WeekEnd),"Yes","No"))</f>
        <v>Yes</v>
      </c>
      <c r="N204" s="67" t="str">
        <f aca="false">IF(A204="","",IF(L204&lt;&gt;"Verified","Not verified",IF(COUNTIFS(in_CGID,C204,in_ClientID,E204,in_Svc,G204)&gt;0,"Yes","Not entered")))</f>
        <v>Yes</v>
      </c>
    </row>
    <row r="205" customFormat="false" ht="15" hidden="false" customHeight="false" outlineLevel="0" collapsed="false">
      <c r="A205" s="64" t="s">
        <v>563</v>
      </c>
      <c r="B205" s="65" t="n">
        <v>46283</v>
      </c>
      <c r="C205" s="64" t="s">
        <v>286</v>
      </c>
      <c r="D205" s="64" t="s">
        <v>139</v>
      </c>
      <c r="E205" s="64" t="s">
        <v>287</v>
      </c>
      <c r="F205" s="64" t="s">
        <v>141</v>
      </c>
      <c r="G205" s="64" t="s">
        <v>133</v>
      </c>
      <c r="H205" s="66" t="n">
        <v>46283.5020833333</v>
      </c>
      <c r="I205" s="66" t="n">
        <v>46283.5854166667</v>
      </c>
      <c r="J205" s="64" t="n">
        <v>8</v>
      </c>
      <c r="K205" s="64" t="s">
        <v>284</v>
      </c>
      <c r="L205" s="64" t="s">
        <v>280</v>
      </c>
      <c r="M205" s="67" t="str">
        <f aca="false">IF(A205="","",IF(AND(B205&gt;=WeekStart,B205&lt;=WeekEnd),"Yes","No"))</f>
        <v>Yes</v>
      </c>
      <c r="N205" s="67" t="str">
        <f aca="false">IF(A205="","",IF(L205&lt;&gt;"Verified","Not verified",IF(COUNTIFS(in_CGID,C205,in_ClientID,E205,in_Svc,G205)&gt;0,"Yes","Not entered")))</f>
        <v>Yes</v>
      </c>
    </row>
    <row r="206" customFormat="false" ht="15" hidden="false" customHeight="false" outlineLevel="0" collapsed="false">
      <c r="A206" s="64" t="s">
        <v>564</v>
      </c>
      <c r="B206" s="65" t="n">
        <v>46283</v>
      </c>
      <c r="C206" s="64" t="s">
        <v>416</v>
      </c>
      <c r="D206" s="64" t="s">
        <v>178</v>
      </c>
      <c r="E206" s="64" t="s">
        <v>417</v>
      </c>
      <c r="F206" s="64" t="s">
        <v>128</v>
      </c>
      <c r="G206" s="64" t="s">
        <v>117</v>
      </c>
      <c r="H206" s="66" t="n">
        <v>46283.5388888889</v>
      </c>
      <c r="I206" s="66" t="n">
        <v>46283.7263888889</v>
      </c>
      <c r="J206" s="64" t="n">
        <v>18</v>
      </c>
      <c r="K206" s="64" t="s">
        <v>279</v>
      </c>
      <c r="L206" s="64" t="s">
        <v>280</v>
      </c>
      <c r="M206" s="67" t="str">
        <f aca="false">IF(A206="","",IF(AND(B206&gt;=WeekStart,B206&lt;=WeekEnd),"Yes","No"))</f>
        <v>Yes</v>
      </c>
      <c r="N206" s="67" t="str">
        <f aca="false">IF(A206="","",IF(L206&lt;&gt;"Verified","Not verified",IF(COUNTIFS(in_CGID,C206,in_ClientID,E206,in_Svc,G206)&gt;0,"Yes","Not entered")))</f>
        <v>Yes</v>
      </c>
    </row>
    <row r="207" customFormat="false" ht="15" hidden="false" customHeight="false" outlineLevel="0" collapsed="false">
      <c r="A207" s="64" t="s">
        <v>565</v>
      </c>
      <c r="B207" s="65" t="n">
        <v>46283</v>
      </c>
      <c r="C207" s="64" t="s">
        <v>528</v>
      </c>
      <c r="D207" s="64" t="s">
        <v>148</v>
      </c>
      <c r="E207" s="64" t="s">
        <v>364</v>
      </c>
      <c r="F207" s="64" t="s">
        <v>149</v>
      </c>
      <c r="G207" s="64" t="s">
        <v>110</v>
      </c>
      <c r="H207" s="66" t="n">
        <v>46283.5402777778</v>
      </c>
      <c r="I207" s="66" t="n">
        <v>46283.625</v>
      </c>
      <c r="J207" s="64" t="n">
        <v>8</v>
      </c>
      <c r="K207" s="64" t="s">
        <v>284</v>
      </c>
      <c r="L207" s="64" t="s">
        <v>280</v>
      </c>
      <c r="M207" s="67" t="str">
        <f aca="false">IF(A207="","",IF(AND(B207&gt;=WeekStart,B207&lt;=WeekEnd),"Yes","No"))</f>
        <v>Yes</v>
      </c>
      <c r="N207" s="67" t="str">
        <f aca="false">IF(A207="","",IF(L207&lt;&gt;"Verified","Not verified",IF(COUNTIFS(in_CGID,C207,in_ClientID,E207,in_Svc,G207)&gt;0,"Yes","Not entered")))</f>
        <v>Yes</v>
      </c>
    </row>
    <row r="208" customFormat="false" ht="15" hidden="false" customHeight="false" outlineLevel="0" collapsed="false">
      <c r="A208" s="64" t="s">
        <v>566</v>
      </c>
      <c r="B208" s="65" t="n">
        <v>46283</v>
      </c>
      <c r="C208" s="64" t="s">
        <v>339</v>
      </c>
      <c r="D208" s="64" t="s">
        <v>177</v>
      </c>
      <c r="E208" s="64" t="s">
        <v>300</v>
      </c>
      <c r="F208" s="64" t="s">
        <v>146</v>
      </c>
      <c r="G208" s="64" t="s">
        <v>113</v>
      </c>
      <c r="H208" s="66" t="n">
        <v>46283.5402777778</v>
      </c>
      <c r="I208" s="66" t="n">
        <v>46283.6861111111</v>
      </c>
      <c r="J208" s="64" t="n">
        <v>14</v>
      </c>
      <c r="K208" s="64" t="s">
        <v>284</v>
      </c>
      <c r="L208" s="64" t="s">
        <v>280</v>
      </c>
      <c r="M208" s="67" t="str">
        <f aca="false">IF(A208="","",IF(AND(B208&gt;=WeekStart,B208&lt;=WeekEnd),"Yes","No"))</f>
        <v>Yes</v>
      </c>
      <c r="N208" s="67" t="str">
        <f aca="false">IF(A208="","",IF(L208&lt;&gt;"Verified","Not verified",IF(COUNTIFS(in_CGID,C208,in_ClientID,E208,in_Svc,G208)&gt;0,"Yes","Not entered")))</f>
        <v>Yes</v>
      </c>
    </row>
    <row r="209" customFormat="false" ht="15" hidden="false" customHeight="false" outlineLevel="0" collapsed="false">
      <c r="A209" s="64" t="s">
        <v>567</v>
      </c>
      <c r="B209" s="65" t="n">
        <v>46283</v>
      </c>
      <c r="C209" s="64" t="s">
        <v>347</v>
      </c>
      <c r="D209" s="64" t="s">
        <v>134</v>
      </c>
      <c r="E209" s="64" t="s">
        <v>452</v>
      </c>
      <c r="F209" s="64" t="s">
        <v>135</v>
      </c>
      <c r="G209" s="64" t="s">
        <v>133</v>
      </c>
      <c r="H209" s="66" t="n">
        <v>46283.5416666667</v>
      </c>
      <c r="I209" s="66" t="n">
        <v>46283.6256944445</v>
      </c>
      <c r="J209" s="64" t="n">
        <v>8</v>
      </c>
      <c r="K209" s="64" t="s">
        <v>284</v>
      </c>
      <c r="L209" s="64" t="s">
        <v>280</v>
      </c>
      <c r="M209" s="67" t="str">
        <f aca="false">IF(A209="","",IF(AND(B209&gt;=WeekStart,B209&lt;=WeekEnd),"Yes","No"))</f>
        <v>Yes</v>
      </c>
      <c r="N209" s="67" t="str">
        <f aca="false">IF(A209="","",IF(L209&lt;&gt;"Verified","Not verified",IF(COUNTIFS(in_CGID,C209,in_ClientID,E209,in_Svc,G209)&gt;0,"Yes","Not entered")))</f>
        <v>Yes</v>
      </c>
    </row>
    <row r="210" customFormat="false" ht="15" hidden="false" customHeight="false" outlineLevel="0" collapsed="false">
      <c r="A210" s="64" t="s">
        <v>568</v>
      </c>
      <c r="B210" s="65" t="n">
        <v>46283</v>
      </c>
      <c r="C210" s="64" t="s">
        <v>323</v>
      </c>
      <c r="D210" s="64" t="s">
        <v>115</v>
      </c>
      <c r="E210" s="64" t="s">
        <v>403</v>
      </c>
      <c r="F210" s="64" t="s">
        <v>116</v>
      </c>
      <c r="G210" s="64" t="s">
        <v>117</v>
      </c>
      <c r="H210" s="66" t="n">
        <v>46283.5416666667</v>
      </c>
      <c r="I210" s="66" t="n">
        <v>46283.7083333333</v>
      </c>
      <c r="J210" s="64" t="n">
        <v>16</v>
      </c>
      <c r="K210" s="64" t="s">
        <v>284</v>
      </c>
      <c r="L210" s="64" t="s">
        <v>280</v>
      </c>
      <c r="M210" s="67" t="str">
        <f aca="false">IF(A210="","",IF(AND(B210&gt;=WeekStart,B210&lt;=WeekEnd),"Yes","No"))</f>
        <v>Yes</v>
      </c>
      <c r="N210" s="67" t="str">
        <f aca="false">IF(A210="","",IF(L210&lt;&gt;"Verified","Not verified",IF(COUNTIFS(in_CGID,C210,in_ClientID,E210,in_Svc,G210)&gt;0,"Yes","Not entered")))</f>
        <v>Yes</v>
      </c>
    </row>
    <row r="211" customFormat="false" ht="15" hidden="false" customHeight="false" outlineLevel="0" collapsed="false">
      <c r="A211" s="64" t="s">
        <v>569</v>
      </c>
      <c r="B211" s="65" t="n">
        <v>46283</v>
      </c>
      <c r="C211" s="64" t="s">
        <v>355</v>
      </c>
      <c r="D211" s="64" t="s">
        <v>193</v>
      </c>
      <c r="E211" s="64" t="s">
        <v>330</v>
      </c>
      <c r="F211" s="64" t="s">
        <v>152</v>
      </c>
      <c r="G211" s="64" t="s">
        <v>113</v>
      </c>
      <c r="H211" s="66" t="n">
        <v>46283.5416666667</v>
      </c>
      <c r="I211" s="66" t="n">
        <v>46283.6888888889</v>
      </c>
      <c r="J211" s="64" t="n">
        <v>14</v>
      </c>
      <c r="K211" s="64" t="s">
        <v>284</v>
      </c>
      <c r="L211" s="64" t="s">
        <v>280</v>
      </c>
      <c r="M211" s="67" t="str">
        <f aca="false">IF(A211="","",IF(AND(B211&gt;=WeekStart,B211&lt;=WeekEnd),"Yes","No"))</f>
        <v>Yes</v>
      </c>
      <c r="N211" s="67" t="str">
        <f aca="false">IF(A211="","",IF(L211&lt;&gt;"Verified","Not verified",IF(COUNTIFS(in_CGID,C211,in_ClientID,E211,in_Svc,G211)&gt;0,"Yes","Not entered")))</f>
        <v>Yes</v>
      </c>
    </row>
    <row r="212" customFormat="false" ht="15" hidden="false" customHeight="false" outlineLevel="0" collapsed="false">
      <c r="A212" s="64" t="s">
        <v>570</v>
      </c>
      <c r="B212" s="65" t="n">
        <v>46283</v>
      </c>
      <c r="C212" s="64" t="s">
        <v>305</v>
      </c>
      <c r="D212" s="64" t="s">
        <v>121</v>
      </c>
      <c r="E212" s="64" t="s">
        <v>337</v>
      </c>
      <c r="F212" s="64" t="s">
        <v>123</v>
      </c>
      <c r="G212" s="64" t="s">
        <v>113</v>
      </c>
      <c r="H212" s="66" t="n">
        <v>46283.54375</v>
      </c>
      <c r="I212" s="66" t="n">
        <v>46283.6256944445</v>
      </c>
      <c r="J212" s="64" t="n">
        <v>8</v>
      </c>
      <c r="K212" s="64" t="s">
        <v>284</v>
      </c>
      <c r="L212" s="64" t="s">
        <v>280</v>
      </c>
      <c r="M212" s="67" t="str">
        <f aca="false">IF(A212="","",IF(AND(B212&gt;=WeekStart,B212&lt;=WeekEnd),"Yes","No"))</f>
        <v>Yes</v>
      </c>
      <c r="N212" s="67" t="str">
        <f aca="false">IF(A212="","",IF(L212&lt;&gt;"Verified","Not verified",IF(COUNTIFS(in_CGID,C212,in_ClientID,E212,in_Svc,G212)&gt;0,"Yes","Not entered")))</f>
        <v>Yes</v>
      </c>
    </row>
    <row r="213" customFormat="false" ht="15" hidden="false" customHeight="false" outlineLevel="0" collapsed="false">
      <c r="A213" s="64" t="s">
        <v>571</v>
      </c>
      <c r="B213" s="65" t="n">
        <v>46283</v>
      </c>
      <c r="C213" s="64" t="s">
        <v>375</v>
      </c>
      <c r="D213" s="64" t="s">
        <v>191</v>
      </c>
      <c r="E213" s="64" t="s">
        <v>300</v>
      </c>
      <c r="F213" s="64" t="s">
        <v>146</v>
      </c>
      <c r="G213" s="64" t="s">
        <v>113</v>
      </c>
      <c r="H213" s="66" t="n">
        <v>46283.5458333333</v>
      </c>
      <c r="I213" s="66" t="n">
        <v>46283.65</v>
      </c>
      <c r="J213" s="64" t="n">
        <v>10</v>
      </c>
      <c r="K213" s="64" t="s">
        <v>284</v>
      </c>
      <c r="L213" s="64" t="s">
        <v>280</v>
      </c>
      <c r="M213" s="67" t="str">
        <f aca="false">IF(A213="","",IF(AND(B213&gt;=WeekStart,B213&lt;=WeekEnd),"Yes","No"))</f>
        <v>Yes</v>
      </c>
      <c r="N213" s="67" t="str">
        <f aca="false">IF(A213="","",IF(L213&lt;&gt;"Verified","Not verified",IF(COUNTIFS(in_CGID,C213,in_ClientID,E213,in_Svc,G213)&gt;0,"Yes","Not entered")))</f>
        <v>Yes</v>
      </c>
    </row>
    <row r="214" customFormat="false" ht="15" hidden="false" customHeight="false" outlineLevel="0" collapsed="false">
      <c r="A214" s="64" t="s">
        <v>572</v>
      </c>
      <c r="B214" s="65" t="n">
        <v>46283</v>
      </c>
      <c r="C214" s="64" t="s">
        <v>307</v>
      </c>
      <c r="D214" s="64" t="s">
        <v>166</v>
      </c>
      <c r="E214" s="64" t="s">
        <v>295</v>
      </c>
      <c r="F214" s="64" t="s">
        <v>153</v>
      </c>
      <c r="G214" s="64" t="s">
        <v>113</v>
      </c>
      <c r="H214" s="66" t="n">
        <v>46283.5833333333</v>
      </c>
      <c r="I214" s="66" t="n">
        <v>46283.6881944445</v>
      </c>
      <c r="J214" s="64" t="n">
        <v>10</v>
      </c>
      <c r="K214" s="64" t="s">
        <v>284</v>
      </c>
      <c r="L214" s="64" t="s">
        <v>280</v>
      </c>
      <c r="M214" s="67" t="str">
        <f aca="false">IF(A214="","",IF(AND(B214&gt;=WeekStart,B214&lt;=WeekEnd),"Yes","No"))</f>
        <v>Yes</v>
      </c>
      <c r="N214" s="67" t="str">
        <f aca="false">IF(A214="","",IF(L214&lt;&gt;"Verified","Not verified",IF(COUNTIFS(in_CGID,C214,in_ClientID,E214,in_Svc,G214)&gt;0,"Yes","Not entered")))</f>
        <v>Yes</v>
      </c>
    </row>
    <row r="215" customFormat="false" ht="15" hidden="false" customHeight="false" outlineLevel="0" collapsed="false">
      <c r="A215" s="64" t="s">
        <v>573</v>
      </c>
      <c r="B215" s="65" t="n">
        <v>46283</v>
      </c>
      <c r="C215" s="64" t="s">
        <v>355</v>
      </c>
      <c r="D215" s="64" t="s">
        <v>193</v>
      </c>
      <c r="E215" s="64" t="s">
        <v>388</v>
      </c>
      <c r="F215" s="64" t="s">
        <v>186</v>
      </c>
      <c r="G215" s="64" t="s">
        <v>113</v>
      </c>
      <c r="H215" s="66" t="n">
        <v>46283.5833333333</v>
      </c>
      <c r="I215" s="66" t="n">
        <v>46283.6694444444</v>
      </c>
      <c r="J215" s="64" t="n">
        <v>8</v>
      </c>
      <c r="K215" s="64" t="s">
        <v>284</v>
      </c>
      <c r="L215" s="64" t="s">
        <v>280</v>
      </c>
      <c r="M215" s="67" t="str">
        <f aca="false">IF(A215="","",IF(AND(B215&gt;=WeekStart,B215&lt;=WeekEnd),"Yes","No"))</f>
        <v>Yes</v>
      </c>
      <c r="N215" s="67" t="str">
        <f aca="false">IF(A215="","",IF(L215&lt;&gt;"Verified","Not verified",IF(COUNTIFS(in_CGID,C215,in_ClientID,E215,in_Svc,G215)&gt;0,"Yes","Not entered")))</f>
        <v>Yes</v>
      </c>
    </row>
    <row r="216" customFormat="false" ht="15" hidden="false" customHeight="false" outlineLevel="0" collapsed="false">
      <c r="A216" s="64" t="s">
        <v>574</v>
      </c>
      <c r="B216" s="65" t="n">
        <v>46283</v>
      </c>
      <c r="C216" s="64" t="s">
        <v>309</v>
      </c>
      <c r="D216" s="64" t="s">
        <v>167</v>
      </c>
      <c r="E216" s="64" t="s">
        <v>325</v>
      </c>
      <c r="F216" s="64" t="s">
        <v>168</v>
      </c>
      <c r="G216" s="64" t="s">
        <v>113</v>
      </c>
      <c r="H216" s="66" t="n">
        <v>46283.5840277778</v>
      </c>
      <c r="I216" s="66" t="n">
        <v>46283.6895833333</v>
      </c>
      <c r="J216" s="64" t="n">
        <v>10</v>
      </c>
      <c r="K216" s="64" t="s">
        <v>284</v>
      </c>
      <c r="L216" s="64" t="s">
        <v>280</v>
      </c>
      <c r="M216" s="67" t="str">
        <f aca="false">IF(A216="","",IF(AND(B216&gt;=WeekStart,B216&lt;=WeekEnd),"Yes","No"))</f>
        <v>Yes</v>
      </c>
      <c r="N216" s="67" t="str">
        <f aca="false">IF(A216="","",IF(L216&lt;&gt;"Verified","Not verified",IF(COUNTIFS(in_CGID,C216,in_ClientID,E216,in_Svc,G216)&gt;0,"Yes","Not entered")))</f>
        <v>Yes</v>
      </c>
    </row>
    <row r="217" customFormat="false" ht="15" hidden="false" customHeight="false" outlineLevel="0" collapsed="false">
      <c r="A217" s="64" t="s">
        <v>575</v>
      </c>
      <c r="B217" s="65" t="n">
        <v>46283</v>
      </c>
      <c r="C217" s="64" t="s">
        <v>357</v>
      </c>
      <c r="D217" s="64" t="s">
        <v>160</v>
      </c>
      <c r="E217" s="64" t="s">
        <v>358</v>
      </c>
      <c r="F217" s="64" t="s">
        <v>161</v>
      </c>
      <c r="G217" s="64" t="s">
        <v>110</v>
      </c>
      <c r="H217" s="66" t="n">
        <v>46283.5854166667</v>
      </c>
      <c r="I217" s="66" t="n">
        <v>46283.6895833333</v>
      </c>
      <c r="J217" s="64" t="n">
        <v>10</v>
      </c>
      <c r="K217" s="64" t="s">
        <v>284</v>
      </c>
      <c r="L217" s="64" t="s">
        <v>280</v>
      </c>
      <c r="M217" s="67" t="str">
        <f aca="false">IF(A217="","",IF(AND(B217&gt;=WeekStart,B217&lt;=WeekEnd),"Yes","No"))</f>
        <v>Yes</v>
      </c>
      <c r="N217" s="67" t="str">
        <f aca="false">IF(A217="","",IF(L217&lt;&gt;"Verified","Not verified",IF(COUNTIFS(in_CGID,C217,in_ClientID,E217,in_Svc,G217)&gt;0,"Yes","Not entered")))</f>
        <v>Yes</v>
      </c>
    </row>
    <row r="218" customFormat="false" ht="15" hidden="false" customHeight="false" outlineLevel="0" collapsed="false">
      <c r="A218" s="64" t="s">
        <v>576</v>
      </c>
      <c r="B218" s="65" t="n">
        <v>46283</v>
      </c>
      <c r="C218" s="64" t="s">
        <v>347</v>
      </c>
      <c r="D218" s="64" t="s">
        <v>134</v>
      </c>
      <c r="E218" s="64" t="s">
        <v>361</v>
      </c>
      <c r="F218" s="64" t="s">
        <v>132</v>
      </c>
      <c r="G218" s="64" t="s">
        <v>113</v>
      </c>
      <c r="H218" s="66" t="n">
        <v>46283.6256944445</v>
      </c>
      <c r="I218" s="66" t="n">
        <v>46283.7076388889</v>
      </c>
      <c r="J218" s="64" t="n">
        <v>8</v>
      </c>
      <c r="K218" s="64" t="s">
        <v>284</v>
      </c>
      <c r="L218" s="64" t="s">
        <v>280</v>
      </c>
      <c r="M218" s="67" t="str">
        <f aca="false">IF(A218="","",IF(AND(B218&gt;=WeekStart,B218&lt;=WeekEnd),"Yes","No"))</f>
        <v>Yes</v>
      </c>
      <c r="N218" s="67" t="str">
        <f aca="false">IF(A218="","",IF(L218&lt;&gt;"Verified","Not verified",IF(COUNTIFS(in_CGID,C218,in_ClientID,E218,in_Svc,G218)&gt;0,"Yes","Not entered")))</f>
        <v>Yes</v>
      </c>
    </row>
    <row r="219" customFormat="false" ht="15" hidden="false" customHeight="false" outlineLevel="0" collapsed="false">
      <c r="A219" s="64" t="s">
        <v>577</v>
      </c>
      <c r="B219" s="65" t="n">
        <v>46283</v>
      </c>
      <c r="C219" s="64" t="s">
        <v>277</v>
      </c>
      <c r="D219" s="64" t="s">
        <v>108</v>
      </c>
      <c r="E219" s="64" t="s">
        <v>292</v>
      </c>
      <c r="F219" s="64" t="s">
        <v>114</v>
      </c>
      <c r="G219" s="64" t="s">
        <v>110</v>
      </c>
      <c r="H219" s="66" t="n">
        <v>46283.6270833333</v>
      </c>
      <c r="I219" s="66" t="n">
        <v>46283.73125</v>
      </c>
      <c r="J219" s="64" t="n">
        <v>10</v>
      </c>
      <c r="K219" s="64" t="s">
        <v>284</v>
      </c>
      <c r="L219" s="64" t="s">
        <v>280</v>
      </c>
      <c r="M219" s="67" t="str">
        <f aca="false">IF(A219="","",IF(AND(B219&gt;=WeekStart,B219&lt;=WeekEnd),"Yes","No"))</f>
        <v>Yes</v>
      </c>
      <c r="N219" s="67" t="str">
        <f aca="false">IF(A219="","",IF(L219&lt;&gt;"Verified","Not verified",IF(COUNTIFS(in_CGID,C219,in_ClientID,E219,in_Svc,G219)&gt;0,"Yes","Not entered")))</f>
        <v>Yes</v>
      </c>
    </row>
    <row r="220" customFormat="false" ht="15" hidden="false" customHeight="false" outlineLevel="0" collapsed="false">
      <c r="A220" s="64" t="s">
        <v>578</v>
      </c>
      <c r="B220" s="65" t="n">
        <v>46284</v>
      </c>
      <c r="C220" s="64" t="s">
        <v>312</v>
      </c>
      <c r="D220" s="64" t="s">
        <v>154</v>
      </c>
      <c r="E220" s="64" t="s">
        <v>313</v>
      </c>
      <c r="F220" s="64" t="s">
        <v>155</v>
      </c>
      <c r="G220" s="64" t="s">
        <v>113</v>
      </c>
      <c r="H220" s="66" t="n">
        <v>46284.5840277778</v>
      </c>
      <c r="I220" s="66" t="n">
        <v>46284.7326388889</v>
      </c>
      <c r="J220" s="64" t="n">
        <v>14</v>
      </c>
      <c r="K220" s="64" t="s">
        <v>284</v>
      </c>
      <c r="L220" s="64" t="s">
        <v>280</v>
      </c>
      <c r="M220" s="67" t="str">
        <f aca="false">IF(A220="","",IF(AND(B220&gt;=WeekStart,B220&lt;=WeekEnd),"Yes","No"))</f>
        <v>Yes</v>
      </c>
      <c r="N220" s="67" t="str">
        <f aca="false">IF(A220="","",IF(L220&lt;&gt;"Verified","Not verified",IF(COUNTIFS(in_CGID,C220,in_ClientID,E220,in_Svc,G220)&gt;0,"Yes","Not entered")))</f>
        <v>Yes</v>
      </c>
    </row>
    <row r="221" customFormat="false" ht="15" hidden="false" customHeight="false" outlineLevel="0" collapsed="false">
      <c r="A221" s="64" t="s">
        <v>579</v>
      </c>
      <c r="B221" s="65" t="n">
        <v>46284</v>
      </c>
      <c r="C221" s="64" t="s">
        <v>580</v>
      </c>
      <c r="D221" s="64" t="s">
        <v>156</v>
      </c>
      <c r="E221" s="64" t="s">
        <v>330</v>
      </c>
      <c r="F221" s="64" t="s">
        <v>152</v>
      </c>
      <c r="G221" s="64" t="s">
        <v>157</v>
      </c>
      <c r="H221" s="66" t="n">
        <v>46284.6236111111</v>
      </c>
      <c r="I221" s="66" t="n">
        <v>46284.6583333333</v>
      </c>
      <c r="J221" s="64" t="n">
        <v>1</v>
      </c>
      <c r="K221" s="64" t="s">
        <v>279</v>
      </c>
      <c r="L221" s="64" t="s">
        <v>280</v>
      </c>
      <c r="M221" s="67" t="str">
        <f aca="false">IF(A221="","",IF(AND(B221&gt;=WeekStart,B221&lt;=WeekEnd),"Yes","No"))</f>
        <v>Yes</v>
      </c>
      <c r="N221" s="67" t="str">
        <f aca="false">IF(A221="","",IF(L221&lt;&gt;"Verified","Not verified",IF(COUNTIFS(in_CGID,C221,in_ClientID,E221,in_Svc,G221)&gt;0,"Yes","Not entered")))</f>
        <v>Yes</v>
      </c>
    </row>
    <row r="222" customFormat="false" ht="15" hidden="false" customHeight="false" outlineLevel="0" collapsed="false">
      <c r="A222" s="64" t="s">
        <v>581</v>
      </c>
      <c r="B222" s="65" t="n">
        <v>46285</v>
      </c>
      <c r="C222" s="64" t="s">
        <v>318</v>
      </c>
      <c r="D222" s="64" t="s">
        <v>194</v>
      </c>
      <c r="E222" s="64" t="s">
        <v>319</v>
      </c>
      <c r="F222" s="64" t="s">
        <v>195</v>
      </c>
      <c r="G222" s="64" t="s">
        <v>113</v>
      </c>
      <c r="H222" s="66" t="n">
        <v>46285.3333333333</v>
      </c>
      <c r="I222" s="66" t="n">
        <v>46285.4569444444</v>
      </c>
      <c r="J222" s="64" t="n">
        <v>12</v>
      </c>
      <c r="K222" s="64" t="s">
        <v>284</v>
      </c>
      <c r="L222" s="64" t="s">
        <v>280</v>
      </c>
      <c r="M222" s="67" t="str">
        <f aca="false">IF(A222="","",IF(AND(B222&gt;=WeekStart,B222&lt;=WeekEnd),"Yes","No"))</f>
        <v>Yes</v>
      </c>
      <c r="N222" s="67" t="str">
        <f aca="false">IF(A222="","",IF(L222&lt;&gt;"Verified","Not verified",IF(COUNTIFS(in_CGID,C222,in_ClientID,E222,in_Svc,G222)&gt;0,"Yes","Not entered")))</f>
        <v>Yes</v>
      </c>
    </row>
    <row r="223" customFormat="false" ht="15" hidden="false" customHeight="false" outlineLevel="0" collapsed="false">
      <c r="A223" s="64" t="s">
        <v>582</v>
      </c>
      <c r="B223" s="65" t="n">
        <v>46285</v>
      </c>
      <c r="C223" s="64" t="s">
        <v>454</v>
      </c>
      <c r="D223" s="64" t="s">
        <v>182</v>
      </c>
      <c r="E223" s="64" t="s">
        <v>455</v>
      </c>
      <c r="F223" s="64" t="s">
        <v>183</v>
      </c>
      <c r="G223" s="64" t="s">
        <v>110</v>
      </c>
      <c r="H223" s="66" t="n">
        <v>46285.4972222222</v>
      </c>
      <c r="I223" s="66" t="n">
        <v>46285.6236111111</v>
      </c>
      <c r="J223" s="64" t="n">
        <v>12</v>
      </c>
      <c r="K223" s="64" t="s">
        <v>284</v>
      </c>
      <c r="L223" s="64" t="s">
        <v>280</v>
      </c>
      <c r="M223" s="67" t="str">
        <f aca="false">IF(A223="","",IF(AND(B223&gt;=WeekStart,B223&lt;=WeekEnd),"Yes","No"))</f>
        <v>Yes</v>
      </c>
      <c r="N223" s="67" t="str">
        <f aca="false">IF(A223="","",IF(L223&lt;&gt;"Verified","Not verified",IF(COUNTIFS(in_CGID,C223,in_ClientID,E223,in_Svc,G223)&gt;0,"Yes","Not entered")))</f>
        <v>Yes</v>
      </c>
    </row>
    <row r="224" customFormat="false" ht="15" hidden="false" customHeight="false" outlineLevel="0" collapsed="false">
      <c r="A224" s="64" t="s">
        <v>583</v>
      </c>
      <c r="B224" s="65" t="n">
        <v>46285</v>
      </c>
      <c r="C224" s="64" t="s">
        <v>335</v>
      </c>
      <c r="D224" s="64" t="s">
        <v>151</v>
      </c>
      <c r="E224" s="64" t="s">
        <v>337</v>
      </c>
      <c r="F224" s="64" t="s">
        <v>123</v>
      </c>
      <c r="G224" s="64" t="s">
        <v>113</v>
      </c>
      <c r="H224" s="66" t="n">
        <v>46285.5041666667</v>
      </c>
      <c r="I224" s="66" t="n">
        <v>46285.6513888889</v>
      </c>
      <c r="J224" s="64" t="n">
        <v>14</v>
      </c>
      <c r="K224" s="64" t="s">
        <v>284</v>
      </c>
      <c r="L224" s="64" t="s">
        <v>280</v>
      </c>
      <c r="M224" s="67" t="str">
        <f aca="false">IF(A224="","",IF(AND(B224&gt;=WeekStart,B224&lt;=WeekEnd),"Yes","No"))</f>
        <v>Yes</v>
      </c>
      <c r="N224" s="67" t="str">
        <f aca="false">IF(A224="","",IF(L224&lt;&gt;"Verified","Not verified",IF(COUNTIFS(in_CGID,C224,in_ClientID,E224,in_Svc,G224)&gt;0,"Yes","Not entered")))</f>
        <v>Yes</v>
      </c>
    </row>
    <row r="225" customFormat="false" ht="15" hidden="false" customHeight="false" outlineLevel="0" collapsed="false">
      <c r="A225" s="64" t="s">
        <v>584</v>
      </c>
      <c r="B225" s="65" t="n">
        <v>46285</v>
      </c>
      <c r="C225" s="64" t="s">
        <v>312</v>
      </c>
      <c r="D225" s="64" t="s">
        <v>154</v>
      </c>
      <c r="E225" s="64" t="s">
        <v>313</v>
      </c>
      <c r="F225" s="64" t="s">
        <v>155</v>
      </c>
      <c r="G225" s="64" t="s">
        <v>113</v>
      </c>
      <c r="H225" s="66" t="n">
        <v>46285.5423611111</v>
      </c>
      <c r="I225" s="66" t="n">
        <v>46285.6680555556</v>
      </c>
      <c r="J225" s="64" t="n">
        <v>12</v>
      </c>
      <c r="K225" s="64" t="s">
        <v>284</v>
      </c>
      <c r="L225" s="64" t="s">
        <v>280</v>
      </c>
      <c r="M225" s="67" t="str">
        <f aca="false">IF(A225="","",IF(AND(B225&gt;=WeekStart,B225&lt;=WeekEnd),"Yes","No"))</f>
        <v>Yes</v>
      </c>
      <c r="N225" s="67" t="str">
        <f aca="false">IF(A225="","",IF(L225&lt;&gt;"Verified","Not verified",IF(COUNTIFS(in_CGID,C225,in_ClientID,E225,in_Svc,G225)&gt;0,"Yes","Not entered")))</f>
        <v>Yes</v>
      </c>
    </row>
    <row r="226" customFormat="false" ht="15" hidden="false" customHeight="false" outlineLevel="0" collapsed="false">
      <c r="A226" s="64" t="s">
        <v>585</v>
      </c>
      <c r="B226" s="65" t="n">
        <v>46285</v>
      </c>
      <c r="C226" s="64" t="s">
        <v>335</v>
      </c>
      <c r="D226" s="64" t="s">
        <v>151</v>
      </c>
      <c r="E226" s="64" t="s">
        <v>295</v>
      </c>
      <c r="F226" s="64" t="s">
        <v>153</v>
      </c>
      <c r="G226" s="64" t="s">
        <v>117</v>
      </c>
      <c r="H226" s="66" t="n">
        <v>46285.6291666667</v>
      </c>
      <c r="I226" s="66" t="n">
        <v>46285.8569444444</v>
      </c>
      <c r="J226" s="64" t="n">
        <v>22</v>
      </c>
      <c r="K226" s="64" t="s">
        <v>284</v>
      </c>
      <c r="L226" s="64" t="s">
        <v>280</v>
      </c>
      <c r="M226" s="67" t="str">
        <f aca="false">IF(A226="","",IF(AND(B226&gt;=WeekStart,B226&lt;=WeekEnd),"Yes","No"))</f>
        <v>Yes</v>
      </c>
      <c r="N226" s="67" t="str">
        <f aca="false">IF(A226="","",IF(L226&lt;&gt;"Verified","Not verified",IF(COUNTIFS(in_CGID,C226,in_ClientID,E226,in_Svc,G226)&gt;0,"Yes","Not entered")))</f>
        <v>Yes</v>
      </c>
    </row>
    <row r="227" customFormat="false" ht="15" hidden="false" customHeight="false" outlineLevel="0" collapsed="false">
      <c r="A227" s="64"/>
      <c r="B227" s="65"/>
      <c r="C227" s="64"/>
      <c r="D227" s="64"/>
      <c r="E227" s="64"/>
      <c r="F227" s="64"/>
      <c r="G227" s="64"/>
      <c r="H227" s="66"/>
      <c r="I227" s="66"/>
      <c r="J227" s="64"/>
      <c r="K227" s="64"/>
      <c r="L227" s="64"/>
      <c r="M227" s="67" t="str">
        <f aca="false">IF(A227="","",IF(AND(B227&gt;=WeekStart,B227&lt;=WeekEnd),"Yes","No"))</f>
        <v/>
      </c>
      <c r="N227" s="67" t="str">
        <f aca="false">IF(A227="","",IF(L227&lt;&gt;"Verified","Not verified",IF(COUNTIFS(in_CGID,C227,in_ClientID,E227,in_Svc,G227)&gt;0,"Yes","Not entered")))</f>
        <v/>
      </c>
    </row>
    <row r="228" customFormat="false" ht="15" hidden="false" customHeight="false" outlineLevel="0" collapsed="false">
      <c r="A228" s="64"/>
      <c r="B228" s="65"/>
      <c r="C228" s="64"/>
      <c r="D228" s="64"/>
      <c r="E228" s="64"/>
      <c r="F228" s="64"/>
      <c r="G228" s="64"/>
      <c r="H228" s="66"/>
      <c r="I228" s="66"/>
      <c r="J228" s="64"/>
      <c r="K228" s="64"/>
      <c r="L228" s="64"/>
      <c r="M228" s="67" t="str">
        <f aca="false">IF(A228="","",IF(AND(B228&gt;=WeekStart,B228&lt;=WeekEnd),"Yes","No"))</f>
        <v/>
      </c>
      <c r="N228" s="67" t="str">
        <f aca="false">IF(A228="","",IF(L228&lt;&gt;"Verified","Not verified",IF(COUNTIFS(in_CGID,C228,in_ClientID,E228,in_Svc,G228)&gt;0,"Yes","Not entered")))</f>
        <v/>
      </c>
    </row>
    <row r="229" customFormat="false" ht="15" hidden="false" customHeight="false" outlineLevel="0" collapsed="false">
      <c r="A229" s="64"/>
      <c r="B229" s="65"/>
      <c r="C229" s="64"/>
      <c r="D229" s="64"/>
      <c r="E229" s="64"/>
      <c r="F229" s="64"/>
      <c r="G229" s="64"/>
      <c r="H229" s="66"/>
      <c r="I229" s="66"/>
      <c r="J229" s="64"/>
      <c r="K229" s="64"/>
      <c r="L229" s="64"/>
      <c r="M229" s="67" t="str">
        <f aca="false">IF(A229="","",IF(AND(B229&gt;=WeekStart,B229&lt;=WeekEnd),"Yes","No"))</f>
        <v/>
      </c>
      <c r="N229" s="67" t="str">
        <f aca="false">IF(A229="","",IF(L229&lt;&gt;"Verified","Not verified",IF(COUNTIFS(in_CGID,C229,in_ClientID,E229,in_Svc,G229)&gt;0,"Yes","Not entered")))</f>
        <v/>
      </c>
    </row>
    <row r="230" customFormat="false" ht="15" hidden="false" customHeight="false" outlineLevel="0" collapsed="false">
      <c r="A230" s="64"/>
      <c r="B230" s="65"/>
      <c r="C230" s="64"/>
      <c r="D230" s="64"/>
      <c r="E230" s="64"/>
      <c r="F230" s="64"/>
      <c r="G230" s="64"/>
      <c r="H230" s="66"/>
      <c r="I230" s="66"/>
      <c r="J230" s="64"/>
      <c r="K230" s="64"/>
      <c r="L230" s="64"/>
      <c r="M230" s="67" t="str">
        <f aca="false">IF(A230="","",IF(AND(B230&gt;=WeekStart,B230&lt;=WeekEnd),"Yes","No"))</f>
        <v/>
      </c>
      <c r="N230" s="67" t="str">
        <f aca="false">IF(A230="","",IF(L230&lt;&gt;"Verified","Not verified",IF(COUNTIFS(in_CGID,C230,in_ClientID,E230,in_Svc,G230)&gt;0,"Yes","Not entered")))</f>
        <v/>
      </c>
    </row>
    <row r="231" customFormat="false" ht="15" hidden="false" customHeight="false" outlineLevel="0" collapsed="false">
      <c r="A231" s="64"/>
      <c r="B231" s="65"/>
      <c r="C231" s="64"/>
      <c r="D231" s="64"/>
      <c r="E231" s="64"/>
      <c r="F231" s="64"/>
      <c r="G231" s="64"/>
      <c r="H231" s="66"/>
      <c r="I231" s="66"/>
      <c r="J231" s="64"/>
      <c r="K231" s="64"/>
      <c r="L231" s="64"/>
      <c r="M231" s="67" t="str">
        <f aca="false">IF(A231="","",IF(AND(B231&gt;=WeekStart,B231&lt;=WeekEnd),"Yes","No"))</f>
        <v/>
      </c>
      <c r="N231" s="67" t="str">
        <f aca="false">IF(A231="","",IF(L231&lt;&gt;"Verified","Not verified",IF(COUNTIFS(in_CGID,C231,in_ClientID,E231,in_Svc,G231)&gt;0,"Yes","Not entered")))</f>
        <v/>
      </c>
    </row>
    <row r="232" customFormat="false" ht="15" hidden="false" customHeight="false" outlineLevel="0" collapsed="false">
      <c r="A232" s="64"/>
      <c r="B232" s="65"/>
      <c r="C232" s="64"/>
      <c r="D232" s="64"/>
      <c r="E232" s="64"/>
      <c r="F232" s="64"/>
      <c r="G232" s="64"/>
      <c r="H232" s="66"/>
      <c r="I232" s="66"/>
      <c r="J232" s="64"/>
      <c r="K232" s="64"/>
      <c r="L232" s="64"/>
      <c r="M232" s="67" t="str">
        <f aca="false">IF(A232="","",IF(AND(B232&gt;=WeekStart,B232&lt;=WeekEnd),"Yes","No"))</f>
        <v/>
      </c>
      <c r="N232" s="67" t="str">
        <f aca="false">IF(A232="","",IF(L232&lt;&gt;"Verified","Not verified",IF(COUNTIFS(in_CGID,C232,in_ClientID,E232,in_Svc,G232)&gt;0,"Yes","Not entered")))</f>
        <v/>
      </c>
    </row>
    <row r="233" customFormat="false" ht="15" hidden="false" customHeight="false" outlineLevel="0" collapsed="false">
      <c r="A233" s="64"/>
      <c r="B233" s="65"/>
      <c r="C233" s="64"/>
      <c r="D233" s="64"/>
      <c r="E233" s="64"/>
      <c r="F233" s="64"/>
      <c r="G233" s="64"/>
      <c r="H233" s="66"/>
      <c r="I233" s="66"/>
      <c r="J233" s="64"/>
      <c r="K233" s="64"/>
      <c r="L233" s="64"/>
      <c r="M233" s="67" t="str">
        <f aca="false">IF(A233="","",IF(AND(B233&gt;=WeekStart,B233&lt;=WeekEnd),"Yes","No"))</f>
        <v/>
      </c>
      <c r="N233" s="67" t="str">
        <f aca="false">IF(A233="","",IF(L233&lt;&gt;"Verified","Not verified",IF(COUNTIFS(in_CGID,C233,in_ClientID,E233,in_Svc,G233)&gt;0,"Yes","Not entered")))</f>
        <v/>
      </c>
    </row>
    <row r="234" customFormat="false" ht="15" hidden="false" customHeight="false" outlineLevel="0" collapsed="false">
      <c r="A234" s="64"/>
      <c r="B234" s="65"/>
      <c r="C234" s="64"/>
      <c r="D234" s="64"/>
      <c r="E234" s="64"/>
      <c r="F234" s="64"/>
      <c r="G234" s="64"/>
      <c r="H234" s="66"/>
      <c r="I234" s="66"/>
      <c r="J234" s="64"/>
      <c r="K234" s="64"/>
      <c r="L234" s="64"/>
      <c r="M234" s="67" t="str">
        <f aca="false">IF(A234="","",IF(AND(B234&gt;=WeekStart,B234&lt;=WeekEnd),"Yes","No"))</f>
        <v/>
      </c>
      <c r="N234" s="67" t="str">
        <f aca="false">IF(A234="","",IF(L234&lt;&gt;"Verified","Not verified",IF(COUNTIFS(in_CGID,C234,in_ClientID,E234,in_Svc,G234)&gt;0,"Yes","Not entered")))</f>
        <v/>
      </c>
    </row>
    <row r="235" customFormat="false" ht="15" hidden="false" customHeight="false" outlineLevel="0" collapsed="false">
      <c r="A235" s="64"/>
      <c r="B235" s="65"/>
      <c r="C235" s="64"/>
      <c r="D235" s="64"/>
      <c r="E235" s="64"/>
      <c r="F235" s="64"/>
      <c r="G235" s="64"/>
      <c r="H235" s="66"/>
      <c r="I235" s="66"/>
      <c r="J235" s="64"/>
      <c r="K235" s="64"/>
      <c r="L235" s="64"/>
      <c r="M235" s="67" t="str">
        <f aca="false">IF(A235="","",IF(AND(B235&gt;=WeekStart,B235&lt;=WeekEnd),"Yes","No"))</f>
        <v/>
      </c>
      <c r="N235" s="67" t="str">
        <f aca="false">IF(A235="","",IF(L235&lt;&gt;"Verified","Not verified",IF(COUNTIFS(in_CGID,C235,in_ClientID,E235,in_Svc,G235)&gt;0,"Yes","Not entered")))</f>
        <v/>
      </c>
    </row>
    <row r="236" customFormat="false" ht="15" hidden="false" customHeight="false" outlineLevel="0" collapsed="false">
      <c r="A236" s="64"/>
      <c r="B236" s="65"/>
      <c r="C236" s="64"/>
      <c r="D236" s="64"/>
      <c r="E236" s="64"/>
      <c r="F236" s="64"/>
      <c r="G236" s="64"/>
      <c r="H236" s="66"/>
      <c r="I236" s="66"/>
      <c r="J236" s="64"/>
      <c r="K236" s="64"/>
      <c r="L236" s="64"/>
      <c r="M236" s="67" t="str">
        <f aca="false">IF(A236="","",IF(AND(B236&gt;=WeekStart,B236&lt;=WeekEnd),"Yes","No"))</f>
        <v/>
      </c>
      <c r="N236" s="67" t="str">
        <f aca="false">IF(A236="","",IF(L236&lt;&gt;"Verified","Not verified",IF(COUNTIFS(in_CGID,C236,in_ClientID,E236,in_Svc,G236)&gt;0,"Yes","Not entered")))</f>
        <v/>
      </c>
    </row>
    <row r="237" customFormat="false" ht="15" hidden="false" customHeight="false" outlineLevel="0" collapsed="false">
      <c r="A237" s="64"/>
      <c r="B237" s="65"/>
      <c r="C237" s="64"/>
      <c r="D237" s="64"/>
      <c r="E237" s="64"/>
      <c r="F237" s="64"/>
      <c r="G237" s="64"/>
      <c r="H237" s="66"/>
      <c r="I237" s="66"/>
      <c r="J237" s="64"/>
      <c r="K237" s="64"/>
      <c r="L237" s="64"/>
      <c r="M237" s="67" t="str">
        <f aca="false">IF(A237="","",IF(AND(B237&gt;=WeekStart,B237&lt;=WeekEnd),"Yes","No"))</f>
        <v/>
      </c>
      <c r="N237" s="67" t="str">
        <f aca="false">IF(A237="","",IF(L237&lt;&gt;"Verified","Not verified",IF(COUNTIFS(in_CGID,C237,in_ClientID,E237,in_Svc,G237)&gt;0,"Yes","Not entered")))</f>
        <v/>
      </c>
    </row>
    <row r="238" customFormat="false" ht="15" hidden="false" customHeight="false" outlineLevel="0" collapsed="false">
      <c r="A238" s="64"/>
      <c r="B238" s="65"/>
      <c r="C238" s="64"/>
      <c r="D238" s="64"/>
      <c r="E238" s="64"/>
      <c r="F238" s="64"/>
      <c r="G238" s="64"/>
      <c r="H238" s="66"/>
      <c r="I238" s="66"/>
      <c r="J238" s="64"/>
      <c r="K238" s="64"/>
      <c r="L238" s="64"/>
      <c r="M238" s="67" t="str">
        <f aca="false">IF(A238="","",IF(AND(B238&gt;=WeekStart,B238&lt;=WeekEnd),"Yes","No"))</f>
        <v/>
      </c>
      <c r="N238" s="67" t="str">
        <f aca="false">IF(A238="","",IF(L238&lt;&gt;"Verified","Not verified",IF(COUNTIFS(in_CGID,C238,in_ClientID,E238,in_Svc,G238)&gt;0,"Yes","Not entered")))</f>
        <v/>
      </c>
    </row>
    <row r="239" customFormat="false" ht="15" hidden="false" customHeight="false" outlineLevel="0" collapsed="false">
      <c r="A239" s="64"/>
      <c r="B239" s="65"/>
      <c r="C239" s="64"/>
      <c r="D239" s="64"/>
      <c r="E239" s="64"/>
      <c r="F239" s="64"/>
      <c r="G239" s="64"/>
      <c r="H239" s="66"/>
      <c r="I239" s="66"/>
      <c r="J239" s="64"/>
      <c r="K239" s="64"/>
      <c r="L239" s="64"/>
      <c r="M239" s="67" t="str">
        <f aca="false">IF(A239="","",IF(AND(B239&gt;=WeekStart,B239&lt;=WeekEnd),"Yes","No"))</f>
        <v/>
      </c>
      <c r="N239" s="67" t="str">
        <f aca="false">IF(A239="","",IF(L239&lt;&gt;"Verified","Not verified",IF(COUNTIFS(in_CGID,C239,in_ClientID,E239,in_Svc,G239)&gt;0,"Yes","Not entered")))</f>
        <v/>
      </c>
    </row>
    <row r="240" customFormat="false" ht="15" hidden="false" customHeight="false" outlineLevel="0" collapsed="false">
      <c r="A240" s="64"/>
      <c r="B240" s="65"/>
      <c r="C240" s="64"/>
      <c r="D240" s="64"/>
      <c r="E240" s="64"/>
      <c r="F240" s="64"/>
      <c r="G240" s="64"/>
      <c r="H240" s="66"/>
      <c r="I240" s="66"/>
      <c r="J240" s="64"/>
      <c r="K240" s="64"/>
      <c r="L240" s="64"/>
      <c r="M240" s="67" t="str">
        <f aca="false">IF(A240="","",IF(AND(B240&gt;=WeekStart,B240&lt;=WeekEnd),"Yes","No"))</f>
        <v/>
      </c>
      <c r="N240" s="67" t="str">
        <f aca="false">IF(A240="","",IF(L240&lt;&gt;"Verified","Not verified",IF(COUNTIFS(in_CGID,C240,in_ClientID,E240,in_Svc,G240)&gt;0,"Yes","Not entered")))</f>
        <v/>
      </c>
    </row>
    <row r="241" customFormat="false" ht="15" hidden="false" customHeight="false" outlineLevel="0" collapsed="false">
      <c r="A241" s="64"/>
      <c r="B241" s="65"/>
      <c r="C241" s="64"/>
      <c r="D241" s="64"/>
      <c r="E241" s="64"/>
      <c r="F241" s="64"/>
      <c r="G241" s="64"/>
      <c r="H241" s="66"/>
      <c r="I241" s="66"/>
      <c r="J241" s="64"/>
      <c r="K241" s="64"/>
      <c r="L241" s="64"/>
      <c r="M241" s="67" t="str">
        <f aca="false">IF(A241="","",IF(AND(B241&gt;=WeekStart,B241&lt;=WeekEnd),"Yes","No"))</f>
        <v/>
      </c>
      <c r="N241" s="67" t="str">
        <f aca="false">IF(A241="","",IF(L241&lt;&gt;"Verified","Not verified",IF(COUNTIFS(in_CGID,C241,in_ClientID,E241,in_Svc,G241)&gt;0,"Yes","Not entered")))</f>
        <v/>
      </c>
    </row>
    <row r="242" customFormat="false" ht="15" hidden="false" customHeight="false" outlineLevel="0" collapsed="false">
      <c r="A242" s="64"/>
      <c r="B242" s="65"/>
      <c r="C242" s="64"/>
      <c r="D242" s="64"/>
      <c r="E242" s="64"/>
      <c r="F242" s="64"/>
      <c r="G242" s="64"/>
      <c r="H242" s="66"/>
      <c r="I242" s="66"/>
      <c r="J242" s="64"/>
      <c r="K242" s="64"/>
      <c r="L242" s="64"/>
      <c r="M242" s="67" t="str">
        <f aca="false">IF(A242="","",IF(AND(B242&gt;=WeekStart,B242&lt;=WeekEnd),"Yes","No"))</f>
        <v/>
      </c>
      <c r="N242" s="67" t="str">
        <f aca="false">IF(A242="","",IF(L242&lt;&gt;"Verified","Not verified",IF(COUNTIFS(in_CGID,C242,in_ClientID,E242,in_Svc,G242)&gt;0,"Yes","Not entered")))</f>
        <v/>
      </c>
    </row>
    <row r="243" customFormat="false" ht="15" hidden="false" customHeight="false" outlineLevel="0" collapsed="false">
      <c r="A243" s="64"/>
      <c r="B243" s="65"/>
      <c r="C243" s="64"/>
      <c r="D243" s="64"/>
      <c r="E243" s="64"/>
      <c r="F243" s="64"/>
      <c r="G243" s="64"/>
      <c r="H243" s="66"/>
      <c r="I243" s="66"/>
      <c r="J243" s="64"/>
      <c r="K243" s="64"/>
      <c r="L243" s="64"/>
      <c r="M243" s="67" t="str">
        <f aca="false">IF(A243="","",IF(AND(B243&gt;=WeekStart,B243&lt;=WeekEnd),"Yes","No"))</f>
        <v/>
      </c>
      <c r="N243" s="67" t="str">
        <f aca="false">IF(A243="","",IF(L243&lt;&gt;"Verified","Not verified",IF(COUNTIFS(in_CGID,C243,in_ClientID,E243,in_Svc,G243)&gt;0,"Yes","Not entered")))</f>
        <v/>
      </c>
    </row>
    <row r="244" customFormat="false" ht="15" hidden="false" customHeight="false" outlineLevel="0" collapsed="false">
      <c r="A244" s="64"/>
      <c r="B244" s="65"/>
      <c r="C244" s="64"/>
      <c r="D244" s="64"/>
      <c r="E244" s="64"/>
      <c r="F244" s="64"/>
      <c r="G244" s="64"/>
      <c r="H244" s="66"/>
      <c r="I244" s="66"/>
      <c r="J244" s="64"/>
      <c r="K244" s="64"/>
      <c r="L244" s="64"/>
      <c r="M244" s="67" t="str">
        <f aca="false">IF(A244="","",IF(AND(B244&gt;=WeekStart,B244&lt;=WeekEnd),"Yes","No"))</f>
        <v/>
      </c>
      <c r="N244" s="67" t="str">
        <f aca="false">IF(A244="","",IF(L244&lt;&gt;"Verified","Not verified",IF(COUNTIFS(in_CGID,C244,in_ClientID,E244,in_Svc,G244)&gt;0,"Yes","Not entered")))</f>
        <v/>
      </c>
    </row>
    <row r="245" customFormat="false" ht="15" hidden="false" customHeight="false" outlineLevel="0" collapsed="false">
      <c r="A245" s="64"/>
      <c r="B245" s="65"/>
      <c r="C245" s="64"/>
      <c r="D245" s="64"/>
      <c r="E245" s="64"/>
      <c r="F245" s="64"/>
      <c r="G245" s="64"/>
      <c r="H245" s="66"/>
      <c r="I245" s="66"/>
      <c r="J245" s="64"/>
      <c r="K245" s="64"/>
      <c r="L245" s="64"/>
      <c r="M245" s="67" t="str">
        <f aca="false">IF(A245="","",IF(AND(B245&gt;=WeekStart,B245&lt;=WeekEnd),"Yes","No"))</f>
        <v/>
      </c>
      <c r="N245" s="67" t="str">
        <f aca="false">IF(A245="","",IF(L245&lt;&gt;"Verified","Not verified",IF(COUNTIFS(in_CGID,C245,in_ClientID,E245,in_Svc,G245)&gt;0,"Yes","Not entered")))</f>
        <v/>
      </c>
    </row>
    <row r="246" customFormat="false" ht="15" hidden="false" customHeight="false" outlineLevel="0" collapsed="false">
      <c r="A246" s="64"/>
      <c r="B246" s="65"/>
      <c r="C246" s="64"/>
      <c r="D246" s="64"/>
      <c r="E246" s="64"/>
      <c r="F246" s="64"/>
      <c r="G246" s="64"/>
      <c r="H246" s="66"/>
      <c r="I246" s="66"/>
      <c r="J246" s="64"/>
      <c r="K246" s="64"/>
      <c r="L246" s="64"/>
      <c r="M246" s="67" t="str">
        <f aca="false">IF(A246="","",IF(AND(B246&gt;=WeekStart,B246&lt;=WeekEnd),"Yes","No"))</f>
        <v/>
      </c>
      <c r="N246" s="67" t="str">
        <f aca="false">IF(A246="","",IF(L246&lt;&gt;"Verified","Not verified",IF(COUNTIFS(in_CGID,C246,in_ClientID,E246,in_Svc,G246)&gt;0,"Yes","Not entered")))</f>
        <v/>
      </c>
    </row>
    <row r="247" customFormat="false" ht="15" hidden="false" customHeight="false" outlineLevel="0" collapsed="false">
      <c r="A247" s="64"/>
      <c r="B247" s="65"/>
      <c r="C247" s="64"/>
      <c r="D247" s="64"/>
      <c r="E247" s="64"/>
      <c r="F247" s="64"/>
      <c r="G247" s="64"/>
      <c r="H247" s="66"/>
      <c r="I247" s="66"/>
      <c r="J247" s="64"/>
      <c r="K247" s="64"/>
      <c r="L247" s="64"/>
      <c r="M247" s="67" t="str">
        <f aca="false">IF(A247="","",IF(AND(B247&gt;=WeekStart,B247&lt;=WeekEnd),"Yes","No"))</f>
        <v/>
      </c>
      <c r="N247" s="67" t="str">
        <f aca="false">IF(A247="","",IF(L247&lt;&gt;"Verified","Not verified",IF(COUNTIFS(in_CGID,C247,in_ClientID,E247,in_Svc,G247)&gt;0,"Yes","Not entered")))</f>
        <v/>
      </c>
    </row>
    <row r="248" customFormat="false" ht="15" hidden="false" customHeight="false" outlineLevel="0" collapsed="false">
      <c r="A248" s="64"/>
      <c r="B248" s="65"/>
      <c r="C248" s="64"/>
      <c r="D248" s="64"/>
      <c r="E248" s="64"/>
      <c r="F248" s="64"/>
      <c r="G248" s="64"/>
      <c r="H248" s="66"/>
      <c r="I248" s="66"/>
      <c r="J248" s="64"/>
      <c r="K248" s="64"/>
      <c r="L248" s="64"/>
      <c r="M248" s="67" t="str">
        <f aca="false">IF(A248="","",IF(AND(B248&gt;=WeekStart,B248&lt;=WeekEnd),"Yes","No"))</f>
        <v/>
      </c>
      <c r="N248" s="67" t="str">
        <f aca="false">IF(A248="","",IF(L248&lt;&gt;"Verified","Not verified",IF(COUNTIFS(in_CGID,C248,in_ClientID,E248,in_Svc,G248)&gt;0,"Yes","Not entered")))</f>
        <v/>
      </c>
    </row>
    <row r="249" customFormat="false" ht="15" hidden="false" customHeight="false" outlineLevel="0" collapsed="false">
      <c r="A249" s="64"/>
      <c r="B249" s="65"/>
      <c r="C249" s="64"/>
      <c r="D249" s="64"/>
      <c r="E249" s="64"/>
      <c r="F249" s="64"/>
      <c r="G249" s="64"/>
      <c r="H249" s="66"/>
      <c r="I249" s="66"/>
      <c r="J249" s="64"/>
      <c r="K249" s="64"/>
      <c r="L249" s="64"/>
      <c r="M249" s="67" t="str">
        <f aca="false">IF(A249="","",IF(AND(B249&gt;=WeekStart,B249&lt;=WeekEnd),"Yes","No"))</f>
        <v/>
      </c>
      <c r="N249" s="67" t="str">
        <f aca="false">IF(A249="","",IF(L249&lt;&gt;"Verified","Not verified",IF(COUNTIFS(in_CGID,C249,in_ClientID,E249,in_Svc,G249)&gt;0,"Yes","Not entered")))</f>
        <v/>
      </c>
    </row>
    <row r="250" customFormat="false" ht="15" hidden="false" customHeight="false" outlineLevel="0" collapsed="false">
      <c r="A250" s="64"/>
      <c r="B250" s="65"/>
      <c r="C250" s="64"/>
      <c r="D250" s="64"/>
      <c r="E250" s="64"/>
      <c r="F250" s="64"/>
      <c r="G250" s="64"/>
      <c r="H250" s="66"/>
      <c r="I250" s="66"/>
      <c r="J250" s="64"/>
      <c r="K250" s="64"/>
      <c r="L250" s="64"/>
      <c r="M250" s="67" t="str">
        <f aca="false">IF(A250="","",IF(AND(B250&gt;=WeekStart,B250&lt;=WeekEnd),"Yes","No"))</f>
        <v/>
      </c>
      <c r="N250" s="67" t="str">
        <f aca="false">IF(A250="","",IF(L250&lt;&gt;"Verified","Not verified",IF(COUNTIFS(in_CGID,C250,in_ClientID,E250,in_Svc,G250)&gt;0,"Yes","Not entered")))</f>
        <v/>
      </c>
    </row>
    <row r="251" customFormat="false" ht="15" hidden="false" customHeight="false" outlineLevel="0" collapsed="false">
      <c r="A251" s="64"/>
      <c r="B251" s="65"/>
      <c r="C251" s="64"/>
      <c r="D251" s="64"/>
      <c r="E251" s="64"/>
      <c r="F251" s="64"/>
      <c r="G251" s="64"/>
      <c r="H251" s="66"/>
      <c r="I251" s="66"/>
      <c r="J251" s="64"/>
      <c r="K251" s="64"/>
      <c r="L251" s="64"/>
      <c r="M251" s="67" t="str">
        <f aca="false">IF(A251="","",IF(AND(B251&gt;=WeekStart,B251&lt;=WeekEnd),"Yes","No"))</f>
        <v/>
      </c>
      <c r="N251" s="67" t="str">
        <f aca="false">IF(A251="","",IF(L251&lt;&gt;"Verified","Not verified",IF(COUNTIFS(in_CGID,C251,in_ClientID,E251,in_Svc,G251)&gt;0,"Yes","Not entered")))</f>
        <v/>
      </c>
    </row>
    <row r="252" customFormat="false" ht="15" hidden="false" customHeight="false" outlineLevel="0" collapsed="false">
      <c r="A252" s="64"/>
      <c r="B252" s="65"/>
      <c r="C252" s="64"/>
      <c r="D252" s="64"/>
      <c r="E252" s="64"/>
      <c r="F252" s="64"/>
      <c r="G252" s="64"/>
      <c r="H252" s="66"/>
      <c r="I252" s="66"/>
      <c r="J252" s="64"/>
      <c r="K252" s="64"/>
      <c r="L252" s="64"/>
      <c r="M252" s="67" t="str">
        <f aca="false">IF(A252="","",IF(AND(B252&gt;=WeekStart,B252&lt;=WeekEnd),"Yes","No"))</f>
        <v/>
      </c>
      <c r="N252" s="67" t="str">
        <f aca="false">IF(A252="","",IF(L252&lt;&gt;"Verified","Not verified",IF(COUNTIFS(in_CGID,C252,in_ClientID,E252,in_Svc,G252)&gt;0,"Yes","Not entered")))</f>
        <v/>
      </c>
    </row>
    <row r="253" customFormat="false" ht="15" hidden="false" customHeight="false" outlineLevel="0" collapsed="false">
      <c r="A253" s="64"/>
      <c r="B253" s="65"/>
      <c r="C253" s="64"/>
      <c r="D253" s="64"/>
      <c r="E253" s="64"/>
      <c r="F253" s="64"/>
      <c r="G253" s="64"/>
      <c r="H253" s="66"/>
      <c r="I253" s="66"/>
      <c r="J253" s="64"/>
      <c r="K253" s="64"/>
      <c r="L253" s="64"/>
      <c r="M253" s="67" t="str">
        <f aca="false">IF(A253="","",IF(AND(B253&gt;=WeekStart,B253&lt;=WeekEnd),"Yes","No"))</f>
        <v/>
      </c>
      <c r="N253" s="67" t="str">
        <f aca="false">IF(A253="","",IF(L253&lt;&gt;"Verified","Not verified",IF(COUNTIFS(in_CGID,C253,in_ClientID,E253,in_Svc,G253)&gt;0,"Yes","Not entered")))</f>
        <v/>
      </c>
    </row>
    <row r="254" customFormat="false" ht="15" hidden="false" customHeight="false" outlineLevel="0" collapsed="false">
      <c r="A254" s="64"/>
      <c r="B254" s="65"/>
      <c r="C254" s="64"/>
      <c r="D254" s="64"/>
      <c r="E254" s="64"/>
      <c r="F254" s="64"/>
      <c r="G254" s="64"/>
      <c r="H254" s="66"/>
      <c r="I254" s="66"/>
      <c r="J254" s="64"/>
      <c r="K254" s="64"/>
      <c r="L254" s="64"/>
      <c r="M254" s="67" t="str">
        <f aca="false">IF(A254="","",IF(AND(B254&gt;=WeekStart,B254&lt;=WeekEnd),"Yes","No"))</f>
        <v/>
      </c>
      <c r="N254" s="67" t="str">
        <f aca="false">IF(A254="","",IF(L254&lt;&gt;"Verified","Not verified",IF(COUNTIFS(in_CGID,C254,in_ClientID,E254,in_Svc,G254)&gt;0,"Yes","Not entered")))</f>
        <v/>
      </c>
    </row>
    <row r="255" customFormat="false" ht="15" hidden="false" customHeight="false" outlineLevel="0" collapsed="false">
      <c r="A255" s="64"/>
      <c r="B255" s="65"/>
      <c r="C255" s="64"/>
      <c r="D255" s="64"/>
      <c r="E255" s="64"/>
      <c r="F255" s="64"/>
      <c r="G255" s="64"/>
      <c r="H255" s="66"/>
      <c r="I255" s="66"/>
      <c r="J255" s="64"/>
      <c r="K255" s="64"/>
      <c r="L255" s="64"/>
      <c r="M255" s="67" t="str">
        <f aca="false">IF(A255="","",IF(AND(B255&gt;=WeekStart,B255&lt;=WeekEnd),"Yes","No"))</f>
        <v/>
      </c>
      <c r="N255" s="67" t="str">
        <f aca="false">IF(A255="","",IF(L255&lt;&gt;"Verified","Not verified",IF(COUNTIFS(in_CGID,C255,in_ClientID,E255,in_Svc,G255)&gt;0,"Yes","Not entered")))</f>
        <v/>
      </c>
    </row>
    <row r="256" customFormat="false" ht="15" hidden="false" customHeight="false" outlineLevel="0" collapsed="false">
      <c r="A256" s="64"/>
      <c r="B256" s="65"/>
      <c r="C256" s="64"/>
      <c r="D256" s="64"/>
      <c r="E256" s="64"/>
      <c r="F256" s="64"/>
      <c r="G256" s="64"/>
      <c r="H256" s="66"/>
      <c r="I256" s="66"/>
      <c r="J256" s="64"/>
      <c r="K256" s="64"/>
      <c r="L256" s="64"/>
      <c r="M256" s="67" t="str">
        <f aca="false">IF(A256="","",IF(AND(B256&gt;=WeekStart,B256&lt;=WeekEnd),"Yes","No"))</f>
        <v/>
      </c>
      <c r="N256" s="67" t="str">
        <f aca="false">IF(A256="","",IF(L256&lt;&gt;"Verified","Not verified",IF(COUNTIFS(in_CGID,C256,in_ClientID,E256,in_Svc,G256)&gt;0,"Yes","Not entered")))</f>
        <v/>
      </c>
    </row>
    <row r="257" customFormat="false" ht="15" hidden="false" customHeight="false" outlineLevel="0" collapsed="false">
      <c r="A257" s="64"/>
      <c r="B257" s="65"/>
      <c r="C257" s="64"/>
      <c r="D257" s="64"/>
      <c r="E257" s="64"/>
      <c r="F257" s="64"/>
      <c r="G257" s="64"/>
      <c r="H257" s="66"/>
      <c r="I257" s="66"/>
      <c r="J257" s="64"/>
      <c r="K257" s="64"/>
      <c r="L257" s="64"/>
      <c r="M257" s="67" t="str">
        <f aca="false">IF(A257="","",IF(AND(B257&gt;=WeekStart,B257&lt;=WeekEnd),"Yes","No"))</f>
        <v/>
      </c>
      <c r="N257" s="67" t="str">
        <f aca="false">IF(A257="","",IF(L257&lt;&gt;"Verified","Not verified",IF(COUNTIFS(in_CGID,C257,in_ClientID,E257,in_Svc,G257)&gt;0,"Yes","Not entered")))</f>
        <v/>
      </c>
    </row>
    <row r="258" customFormat="false" ht="15" hidden="false" customHeight="false" outlineLevel="0" collapsed="false">
      <c r="A258" s="64"/>
      <c r="B258" s="65"/>
      <c r="C258" s="64"/>
      <c r="D258" s="64"/>
      <c r="E258" s="64"/>
      <c r="F258" s="64"/>
      <c r="G258" s="64"/>
      <c r="H258" s="66"/>
      <c r="I258" s="66"/>
      <c r="J258" s="64"/>
      <c r="K258" s="64"/>
      <c r="L258" s="64"/>
      <c r="M258" s="67" t="str">
        <f aca="false">IF(A258="","",IF(AND(B258&gt;=WeekStart,B258&lt;=WeekEnd),"Yes","No"))</f>
        <v/>
      </c>
      <c r="N258" s="67" t="str">
        <f aca="false">IF(A258="","",IF(L258&lt;&gt;"Verified","Not verified",IF(COUNTIFS(in_CGID,C258,in_ClientID,E258,in_Svc,G258)&gt;0,"Yes","Not entered")))</f>
        <v/>
      </c>
    </row>
    <row r="259" customFormat="false" ht="15" hidden="false" customHeight="false" outlineLevel="0" collapsed="false">
      <c r="A259" s="64"/>
      <c r="B259" s="65"/>
      <c r="C259" s="64"/>
      <c r="D259" s="64"/>
      <c r="E259" s="64"/>
      <c r="F259" s="64"/>
      <c r="G259" s="64"/>
      <c r="H259" s="66"/>
      <c r="I259" s="66"/>
      <c r="J259" s="64"/>
      <c r="K259" s="64"/>
      <c r="L259" s="64"/>
      <c r="M259" s="67" t="str">
        <f aca="false">IF(A259="","",IF(AND(B259&gt;=WeekStart,B259&lt;=WeekEnd),"Yes","No"))</f>
        <v/>
      </c>
      <c r="N259" s="67" t="str">
        <f aca="false">IF(A259="","",IF(L259&lt;&gt;"Verified","Not verified",IF(COUNTIFS(in_CGID,C259,in_ClientID,E259,in_Svc,G259)&gt;0,"Yes","Not entered")))</f>
        <v/>
      </c>
    </row>
    <row r="260" customFormat="false" ht="15" hidden="false" customHeight="false" outlineLevel="0" collapsed="false">
      <c r="A260" s="64"/>
      <c r="B260" s="65"/>
      <c r="C260" s="64"/>
      <c r="D260" s="64"/>
      <c r="E260" s="64"/>
      <c r="F260" s="64"/>
      <c r="G260" s="64"/>
      <c r="H260" s="66"/>
      <c r="I260" s="66"/>
      <c r="J260" s="64"/>
      <c r="K260" s="64"/>
      <c r="L260" s="64"/>
      <c r="M260" s="67" t="str">
        <f aca="false">IF(A260="","",IF(AND(B260&gt;=WeekStart,B260&lt;=WeekEnd),"Yes","No"))</f>
        <v/>
      </c>
      <c r="N260" s="67" t="str">
        <f aca="false">IF(A260="","",IF(L260&lt;&gt;"Verified","Not verified",IF(COUNTIFS(in_CGID,C260,in_ClientID,E260,in_Svc,G260)&gt;0,"Yes","Not entered")))</f>
        <v/>
      </c>
    </row>
    <row r="261" customFormat="false" ht="15" hidden="false" customHeight="false" outlineLevel="0" collapsed="false">
      <c r="A261" s="64"/>
      <c r="B261" s="65"/>
      <c r="C261" s="64"/>
      <c r="D261" s="64"/>
      <c r="E261" s="64"/>
      <c r="F261" s="64"/>
      <c r="G261" s="64"/>
      <c r="H261" s="66"/>
      <c r="I261" s="66"/>
      <c r="J261" s="64"/>
      <c r="K261" s="64"/>
      <c r="L261" s="64"/>
      <c r="M261" s="67" t="str">
        <f aca="false">IF(A261="","",IF(AND(B261&gt;=WeekStart,B261&lt;=WeekEnd),"Yes","No"))</f>
        <v/>
      </c>
      <c r="N261" s="67" t="str">
        <f aca="false">IF(A261="","",IF(L261&lt;&gt;"Verified","Not verified",IF(COUNTIFS(in_CGID,C261,in_ClientID,E261,in_Svc,G261)&gt;0,"Yes","Not entered")))</f>
        <v/>
      </c>
    </row>
    <row r="262" customFormat="false" ht="15" hidden="false" customHeight="false" outlineLevel="0" collapsed="false">
      <c r="A262" s="64"/>
      <c r="B262" s="65"/>
      <c r="C262" s="64"/>
      <c r="D262" s="64"/>
      <c r="E262" s="64"/>
      <c r="F262" s="64"/>
      <c r="G262" s="64"/>
      <c r="H262" s="66"/>
      <c r="I262" s="66"/>
      <c r="J262" s="64"/>
      <c r="K262" s="64"/>
      <c r="L262" s="64"/>
      <c r="M262" s="67" t="str">
        <f aca="false">IF(A262="","",IF(AND(B262&gt;=WeekStart,B262&lt;=WeekEnd),"Yes","No"))</f>
        <v/>
      </c>
      <c r="N262" s="67" t="str">
        <f aca="false">IF(A262="","",IF(L262&lt;&gt;"Verified","Not verified",IF(COUNTIFS(in_CGID,C262,in_ClientID,E262,in_Svc,G262)&gt;0,"Yes","Not entered")))</f>
        <v/>
      </c>
    </row>
    <row r="263" customFormat="false" ht="15" hidden="false" customHeight="false" outlineLevel="0" collapsed="false">
      <c r="A263" s="64"/>
      <c r="B263" s="65"/>
      <c r="C263" s="64"/>
      <c r="D263" s="64"/>
      <c r="E263" s="64"/>
      <c r="F263" s="64"/>
      <c r="G263" s="64"/>
      <c r="H263" s="66"/>
      <c r="I263" s="66"/>
      <c r="J263" s="64"/>
      <c r="K263" s="64"/>
      <c r="L263" s="64"/>
      <c r="M263" s="67" t="str">
        <f aca="false">IF(A263="","",IF(AND(B263&gt;=WeekStart,B263&lt;=WeekEnd),"Yes","No"))</f>
        <v/>
      </c>
      <c r="N263" s="67" t="str">
        <f aca="false">IF(A263="","",IF(L263&lt;&gt;"Verified","Not verified",IF(COUNTIFS(in_CGID,C263,in_ClientID,E263,in_Svc,G263)&gt;0,"Yes","Not entered")))</f>
        <v/>
      </c>
    </row>
    <row r="264" customFormat="false" ht="15" hidden="false" customHeight="false" outlineLevel="0" collapsed="false">
      <c r="A264" s="64"/>
      <c r="B264" s="65"/>
      <c r="C264" s="64"/>
      <c r="D264" s="64"/>
      <c r="E264" s="64"/>
      <c r="F264" s="64"/>
      <c r="G264" s="64"/>
      <c r="H264" s="66"/>
      <c r="I264" s="66"/>
      <c r="J264" s="64"/>
      <c r="K264" s="64"/>
      <c r="L264" s="64"/>
      <c r="M264" s="67" t="str">
        <f aca="false">IF(A264="","",IF(AND(B264&gt;=WeekStart,B264&lt;=WeekEnd),"Yes","No"))</f>
        <v/>
      </c>
      <c r="N264" s="67" t="str">
        <f aca="false">IF(A264="","",IF(L264&lt;&gt;"Verified","Not verified",IF(COUNTIFS(in_CGID,C264,in_ClientID,E264,in_Svc,G264)&gt;0,"Yes","Not entered")))</f>
        <v/>
      </c>
    </row>
    <row r="265" customFormat="false" ht="15" hidden="false" customHeight="false" outlineLevel="0" collapsed="false">
      <c r="A265" s="64"/>
      <c r="B265" s="65"/>
      <c r="C265" s="64"/>
      <c r="D265" s="64"/>
      <c r="E265" s="64"/>
      <c r="F265" s="64"/>
      <c r="G265" s="64"/>
      <c r="H265" s="66"/>
      <c r="I265" s="66"/>
      <c r="J265" s="64"/>
      <c r="K265" s="64"/>
      <c r="L265" s="64"/>
      <c r="M265" s="67" t="str">
        <f aca="false">IF(A265="","",IF(AND(B265&gt;=WeekStart,B265&lt;=WeekEnd),"Yes","No"))</f>
        <v/>
      </c>
      <c r="N265" s="67" t="str">
        <f aca="false">IF(A265="","",IF(L265&lt;&gt;"Verified","Not verified",IF(COUNTIFS(in_CGID,C265,in_ClientID,E265,in_Svc,G265)&gt;0,"Yes","Not entered")))</f>
        <v/>
      </c>
    </row>
    <row r="266" customFormat="false" ht="15" hidden="false" customHeight="false" outlineLevel="0" collapsed="false">
      <c r="A266" s="64"/>
      <c r="B266" s="65"/>
      <c r="C266" s="64"/>
      <c r="D266" s="64"/>
      <c r="E266" s="64"/>
      <c r="F266" s="64"/>
      <c r="G266" s="64"/>
      <c r="H266" s="66"/>
      <c r="I266" s="66"/>
      <c r="J266" s="64"/>
      <c r="K266" s="64"/>
      <c r="L266" s="64"/>
      <c r="M266" s="67" t="str">
        <f aca="false">IF(A266="","",IF(AND(B266&gt;=WeekStart,B266&lt;=WeekEnd),"Yes","No"))</f>
        <v/>
      </c>
      <c r="N266" s="67" t="str">
        <f aca="false">IF(A266="","",IF(L266&lt;&gt;"Verified","Not verified",IF(COUNTIFS(in_CGID,C266,in_ClientID,E266,in_Svc,G266)&gt;0,"Yes","Not entered")))</f>
        <v/>
      </c>
    </row>
    <row r="267" customFormat="false" ht="15" hidden="false" customHeight="false" outlineLevel="0" collapsed="false">
      <c r="A267" s="64"/>
      <c r="B267" s="65"/>
      <c r="C267" s="64"/>
      <c r="D267" s="64"/>
      <c r="E267" s="64"/>
      <c r="F267" s="64"/>
      <c r="G267" s="64"/>
      <c r="H267" s="66"/>
      <c r="I267" s="66"/>
      <c r="J267" s="64"/>
      <c r="K267" s="64"/>
      <c r="L267" s="64"/>
      <c r="M267" s="67" t="str">
        <f aca="false">IF(A267="","",IF(AND(B267&gt;=WeekStart,B267&lt;=WeekEnd),"Yes","No"))</f>
        <v/>
      </c>
      <c r="N267" s="67" t="str">
        <f aca="false">IF(A267="","",IF(L267&lt;&gt;"Verified","Not verified",IF(COUNTIFS(in_CGID,C267,in_ClientID,E267,in_Svc,G267)&gt;0,"Yes","Not entered")))</f>
        <v/>
      </c>
    </row>
    <row r="268" customFormat="false" ht="15" hidden="false" customHeight="false" outlineLevel="0" collapsed="false">
      <c r="A268" s="64"/>
      <c r="B268" s="65"/>
      <c r="C268" s="64"/>
      <c r="D268" s="64"/>
      <c r="E268" s="64"/>
      <c r="F268" s="64"/>
      <c r="G268" s="64"/>
      <c r="H268" s="66"/>
      <c r="I268" s="66"/>
      <c r="J268" s="64"/>
      <c r="K268" s="64"/>
      <c r="L268" s="64"/>
      <c r="M268" s="67" t="str">
        <f aca="false">IF(A268="","",IF(AND(B268&gt;=WeekStart,B268&lt;=WeekEnd),"Yes","No"))</f>
        <v/>
      </c>
      <c r="N268" s="67" t="str">
        <f aca="false">IF(A268="","",IF(L268&lt;&gt;"Verified","Not verified",IF(COUNTIFS(in_CGID,C268,in_ClientID,E268,in_Svc,G268)&gt;0,"Yes","Not entered")))</f>
        <v/>
      </c>
    </row>
    <row r="269" customFormat="false" ht="15" hidden="false" customHeight="false" outlineLevel="0" collapsed="false">
      <c r="A269" s="64"/>
      <c r="B269" s="65"/>
      <c r="C269" s="64"/>
      <c r="D269" s="64"/>
      <c r="E269" s="64"/>
      <c r="F269" s="64"/>
      <c r="G269" s="64"/>
      <c r="H269" s="66"/>
      <c r="I269" s="66"/>
      <c r="J269" s="64"/>
      <c r="K269" s="64"/>
      <c r="L269" s="64"/>
      <c r="M269" s="67" t="str">
        <f aca="false">IF(A269="","",IF(AND(B269&gt;=WeekStart,B269&lt;=WeekEnd),"Yes","No"))</f>
        <v/>
      </c>
      <c r="N269" s="67" t="str">
        <f aca="false">IF(A269="","",IF(L269&lt;&gt;"Verified","Not verified",IF(COUNTIFS(in_CGID,C269,in_ClientID,E269,in_Svc,G269)&gt;0,"Yes","Not entered")))</f>
        <v/>
      </c>
    </row>
    <row r="270" customFormat="false" ht="15" hidden="false" customHeight="false" outlineLevel="0" collapsed="false">
      <c r="A270" s="64"/>
      <c r="B270" s="65"/>
      <c r="C270" s="64"/>
      <c r="D270" s="64"/>
      <c r="E270" s="64"/>
      <c r="F270" s="64"/>
      <c r="G270" s="64"/>
      <c r="H270" s="66"/>
      <c r="I270" s="66"/>
      <c r="J270" s="64"/>
      <c r="K270" s="64"/>
      <c r="L270" s="64"/>
      <c r="M270" s="67" t="str">
        <f aca="false">IF(A270="","",IF(AND(B270&gt;=WeekStart,B270&lt;=WeekEnd),"Yes","No"))</f>
        <v/>
      </c>
      <c r="N270" s="67" t="str">
        <f aca="false">IF(A270="","",IF(L270&lt;&gt;"Verified","Not verified",IF(COUNTIFS(in_CGID,C270,in_ClientID,E270,in_Svc,G270)&gt;0,"Yes","Not entered")))</f>
        <v/>
      </c>
    </row>
    <row r="271" customFormat="false" ht="15" hidden="false" customHeight="false" outlineLevel="0" collapsed="false">
      <c r="A271" s="64"/>
      <c r="B271" s="65"/>
      <c r="C271" s="64"/>
      <c r="D271" s="64"/>
      <c r="E271" s="64"/>
      <c r="F271" s="64"/>
      <c r="G271" s="64"/>
      <c r="H271" s="66"/>
      <c r="I271" s="66"/>
      <c r="J271" s="64"/>
      <c r="K271" s="64"/>
      <c r="L271" s="64"/>
      <c r="M271" s="67" t="str">
        <f aca="false">IF(A271="","",IF(AND(B271&gt;=WeekStart,B271&lt;=WeekEnd),"Yes","No"))</f>
        <v/>
      </c>
      <c r="N271" s="67" t="str">
        <f aca="false">IF(A271="","",IF(L271&lt;&gt;"Verified","Not verified",IF(COUNTIFS(in_CGID,C271,in_ClientID,E271,in_Svc,G271)&gt;0,"Yes","Not entered")))</f>
        <v/>
      </c>
    </row>
    <row r="272" customFormat="false" ht="15" hidden="false" customHeight="false" outlineLevel="0" collapsed="false">
      <c r="A272" s="64"/>
      <c r="B272" s="65"/>
      <c r="C272" s="64"/>
      <c r="D272" s="64"/>
      <c r="E272" s="64"/>
      <c r="F272" s="64"/>
      <c r="G272" s="64"/>
      <c r="H272" s="66"/>
      <c r="I272" s="66"/>
      <c r="J272" s="64"/>
      <c r="K272" s="64"/>
      <c r="L272" s="64"/>
      <c r="M272" s="67" t="str">
        <f aca="false">IF(A272="","",IF(AND(B272&gt;=WeekStart,B272&lt;=WeekEnd),"Yes","No"))</f>
        <v/>
      </c>
      <c r="N272" s="67" t="str">
        <f aca="false">IF(A272="","",IF(L272&lt;&gt;"Verified","Not verified",IF(COUNTIFS(in_CGID,C272,in_ClientID,E272,in_Svc,G272)&gt;0,"Yes","Not entered")))</f>
        <v/>
      </c>
    </row>
    <row r="273" customFormat="false" ht="15" hidden="false" customHeight="false" outlineLevel="0" collapsed="false">
      <c r="A273" s="64"/>
      <c r="B273" s="65"/>
      <c r="C273" s="64"/>
      <c r="D273" s="64"/>
      <c r="E273" s="64"/>
      <c r="F273" s="64"/>
      <c r="G273" s="64"/>
      <c r="H273" s="66"/>
      <c r="I273" s="66"/>
      <c r="J273" s="64"/>
      <c r="K273" s="64"/>
      <c r="L273" s="64"/>
      <c r="M273" s="67" t="str">
        <f aca="false">IF(A273="","",IF(AND(B273&gt;=WeekStart,B273&lt;=WeekEnd),"Yes","No"))</f>
        <v/>
      </c>
      <c r="N273" s="67" t="str">
        <f aca="false">IF(A273="","",IF(L273&lt;&gt;"Verified","Not verified",IF(COUNTIFS(in_CGID,C273,in_ClientID,E273,in_Svc,G273)&gt;0,"Yes","Not entered")))</f>
        <v/>
      </c>
    </row>
    <row r="274" customFormat="false" ht="15" hidden="false" customHeight="false" outlineLevel="0" collapsed="false">
      <c r="A274" s="64"/>
      <c r="B274" s="65"/>
      <c r="C274" s="64"/>
      <c r="D274" s="64"/>
      <c r="E274" s="64"/>
      <c r="F274" s="64"/>
      <c r="G274" s="64"/>
      <c r="H274" s="66"/>
      <c r="I274" s="66"/>
      <c r="J274" s="64"/>
      <c r="K274" s="64"/>
      <c r="L274" s="64"/>
      <c r="M274" s="67" t="str">
        <f aca="false">IF(A274="","",IF(AND(B274&gt;=WeekStart,B274&lt;=WeekEnd),"Yes","No"))</f>
        <v/>
      </c>
      <c r="N274" s="67" t="str">
        <f aca="false">IF(A274="","",IF(L274&lt;&gt;"Verified","Not verified",IF(COUNTIFS(in_CGID,C274,in_ClientID,E274,in_Svc,G274)&gt;0,"Yes","Not entered")))</f>
        <v/>
      </c>
    </row>
    <row r="275" customFormat="false" ht="15" hidden="false" customHeight="false" outlineLevel="0" collapsed="false">
      <c r="A275" s="64"/>
      <c r="B275" s="65"/>
      <c r="C275" s="64"/>
      <c r="D275" s="64"/>
      <c r="E275" s="64"/>
      <c r="F275" s="64"/>
      <c r="G275" s="64"/>
      <c r="H275" s="66"/>
      <c r="I275" s="66"/>
      <c r="J275" s="64"/>
      <c r="K275" s="64"/>
      <c r="L275" s="64"/>
      <c r="M275" s="67" t="str">
        <f aca="false">IF(A275="","",IF(AND(B275&gt;=WeekStart,B275&lt;=WeekEnd),"Yes","No"))</f>
        <v/>
      </c>
      <c r="N275" s="67" t="str">
        <f aca="false">IF(A275="","",IF(L275&lt;&gt;"Verified","Not verified",IF(COUNTIFS(in_CGID,C275,in_ClientID,E275,in_Svc,G275)&gt;0,"Yes","Not entered")))</f>
        <v/>
      </c>
    </row>
    <row r="276" customFormat="false" ht="15" hidden="false" customHeight="false" outlineLevel="0" collapsed="false">
      <c r="A276" s="64"/>
      <c r="B276" s="65"/>
      <c r="C276" s="64"/>
      <c r="D276" s="64"/>
      <c r="E276" s="64"/>
      <c r="F276" s="64"/>
      <c r="G276" s="64"/>
      <c r="H276" s="66"/>
      <c r="I276" s="66"/>
      <c r="J276" s="64"/>
      <c r="K276" s="64"/>
      <c r="L276" s="64"/>
      <c r="M276" s="67" t="str">
        <f aca="false">IF(A276="","",IF(AND(B276&gt;=WeekStart,B276&lt;=WeekEnd),"Yes","No"))</f>
        <v/>
      </c>
      <c r="N276" s="67" t="str">
        <f aca="false">IF(A276="","",IF(L276&lt;&gt;"Verified","Not verified",IF(COUNTIFS(in_CGID,C276,in_ClientID,E276,in_Svc,G276)&gt;0,"Yes","Not entered")))</f>
        <v/>
      </c>
    </row>
    <row r="277" customFormat="false" ht="15" hidden="false" customHeight="false" outlineLevel="0" collapsed="false">
      <c r="A277" s="64"/>
      <c r="B277" s="65"/>
      <c r="C277" s="64"/>
      <c r="D277" s="64"/>
      <c r="E277" s="64"/>
      <c r="F277" s="64"/>
      <c r="G277" s="64"/>
      <c r="H277" s="66"/>
      <c r="I277" s="66"/>
      <c r="J277" s="64"/>
      <c r="K277" s="64"/>
      <c r="L277" s="64"/>
      <c r="M277" s="67" t="str">
        <f aca="false">IF(A277="","",IF(AND(B277&gt;=WeekStart,B277&lt;=WeekEnd),"Yes","No"))</f>
        <v/>
      </c>
      <c r="N277" s="67" t="str">
        <f aca="false">IF(A277="","",IF(L277&lt;&gt;"Verified","Not verified",IF(COUNTIFS(in_CGID,C277,in_ClientID,E277,in_Svc,G277)&gt;0,"Yes","Not entered")))</f>
        <v/>
      </c>
    </row>
    <row r="278" customFormat="false" ht="15" hidden="false" customHeight="false" outlineLevel="0" collapsed="false">
      <c r="A278" s="64"/>
      <c r="B278" s="65"/>
      <c r="C278" s="64"/>
      <c r="D278" s="64"/>
      <c r="E278" s="64"/>
      <c r="F278" s="64"/>
      <c r="G278" s="64"/>
      <c r="H278" s="66"/>
      <c r="I278" s="66"/>
      <c r="J278" s="64"/>
      <c r="K278" s="64"/>
      <c r="L278" s="64"/>
      <c r="M278" s="67" t="str">
        <f aca="false">IF(A278="","",IF(AND(B278&gt;=WeekStart,B278&lt;=WeekEnd),"Yes","No"))</f>
        <v/>
      </c>
      <c r="N278" s="67" t="str">
        <f aca="false">IF(A278="","",IF(L278&lt;&gt;"Verified","Not verified",IF(COUNTIFS(in_CGID,C278,in_ClientID,E278,in_Svc,G278)&gt;0,"Yes","Not entered")))</f>
        <v/>
      </c>
    </row>
    <row r="279" customFormat="false" ht="15" hidden="false" customHeight="false" outlineLevel="0" collapsed="false">
      <c r="A279" s="64"/>
      <c r="B279" s="65"/>
      <c r="C279" s="64"/>
      <c r="D279" s="64"/>
      <c r="E279" s="64"/>
      <c r="F279" s="64"/>
      <c r="G279" s="64"/>
      <c r="H279" s="66"/>
      <c r="I279" s="66"/>
      <c r="J279" s="64"/>
      <c r="K279" s="64"/>
      <c r="L279" s="64"/>
      <c r="M279" s="67" t="str">
        <f aca="false">IF(A279="","",IF(AND(B279&gt;=WeekStart,B279&lt;=WeekEnd),"Yes","No"))</f>
        <v/>
      </c>
      <c r="N279" s="67" t="str">
        <f aca="false">IF(A279="","",IF(L279&lt;&gt;"Verified","Not verified",IF(COUNTIFS(in_CGID,C279,in_ClientID,E279,in_Svc,G279)&gt;0,"Yes","Not entered")))</f>
        <v/>
      </c>
    </row>
    <row r="280" customFormat="false" ht="15" hidden="false" customHeight="false" outlineLevel="0" collapsed="false">
      <c r="A280" s="64"/>
      <c r="B280" s="65"/>
      <c r="C280" s="64"/>
      <c r="D280" s="64"/>
      <c r="E280" s="64"/>
      <c r="F280" s="64"/>
      <c r="G280" s="64"/>
      <c r="H280" s="66"/>
      <c r="I280" s="66"/>
      <c r="J280" s="64"/>
      <c r="K280" s="64"/>
      <c r="L280" s="64"/>
      <c r="M280" s="67" t="str">
        <f aca="false">IF(A280="","",IF(AND(B280&gt;=WeekStart,B280&lt;=WeekEnd),"Yes","No"))</f>
        <v/>
      </c>
      <c r="N280" s="67" t="str">
        <f aca="false">IF(A280="","",IF(L280&lt;&gt;"Verified","Not verified",IF(COUNTIFS(in_CGID,C280,in_ClientID,E280,in_Svc,G280)&gt;0,"Yes","Not entered")))</f>
        <v/>
      </c>
    </row>
    <row r="281" customFormat="false" ht="15" hidden="false" customHeight="false" outlineLevel="0" collapsed="false">
      <c r="A281" s="64"/>
      <c r="B281" s="65"/>
      <c r="C281" s="64"/>
      <c r="D281" s="64"/>
      <c r="E281" s="64"/>
      <c r="F281" s="64"/>
      <c r="G281" s="64"/>
      <c r="H281" s="66"/>
      <c r="I281" s="66"/>
      <c r="J281" s="64"/>
      <c r="K281" s="64"/>
      <c r="L281" s="64"/>
      <c r="M281" s="67" t="str">
        <f aca="false">IF(A281="","",IF(AND(B281&gt;=WeekStart,B281&lt;=WeekEnd),"Yes","No"))</f>
        <v/>
      </c>
      <c r="N281" s="67" t="str">
        <f aca="false">IF(A281="","",IF(L281&lt;&gt;"Verified","Not verified",IF(COUNTIFS(in_CGID,C281,in_ClientID,E281,in_Svc,G281)&gt;0,"Yes","Not entered")))</f>
        <v/>
      </c>
    </row>
    <row r="282" customFormat="false" ht="15" hidden="false" customHeight="false" outlineLevel="0" collapsed="false">
      <c r="A282" s="64"/>
      <c r="B282" s="65"/>
      <c r="C282" s="64"/>
      <c r="D282" s="64"/>
      <c r="E282" s="64"/>
      <c r="F282" s="64"/>
      <c r="G282" s="64"/>
      <c r="H282" s="66"/>
      <c r="I282" s="66"/>
      <c r="J282" s="64"/>
      <c r="K282" s="64"/>
      <c r="L282" s="64"/>
      <c r="M282" s="67" t="str">
        <f aca="false">IF(A282="","",IF(AND(B282&gt;=WeekStart,B282&lt;=WeekEnd),"Yes","No"))</f>
        <v/>
      </c>
      <c r="N282" s="67" t="str">
        <f aca="false">IF(A282="","",IF(L282&lt;&gt;"Verified","Not verified",IF(COUNTIFS(in_CGID,C282,in_ClientID,E282,in_Svc,G282)&gt;0,"Yes","Not entered")))</f>
        <v/>
      </c>
    </row>
    <row r="283" customFormat="false" ht="15" hidden="false" customHeight="false" outlineLevel="0" collapsed="false">
      <c r="A283" s="64"/>
      <c r="B283" s="65"/>
      <c r="C283" s="64"/>
      <c r="D283" s="64"/>
      <c r="E283" s="64"/>
      <c r="F283" s="64"/>
      <c r="G283" s="64"/>
      <c r="H283" s="66"/>
      <c r="I283" s="66"/>
      <c r="J283" s="64"/>
      <c r="K283" s="64"/>
      <c r="L283" s="64"/>
      <c r="M283" s="67" t="str">
        <f aca="false">IF(A283="","",IF(AND(B283&gt;=WeekStart,B283&lt;=WeekEnd),"Yes","No"))</f>
        <v/>
      </c>
      <c r="N283" s="67" t="str">
        <f aca="false">IF(A283="","",IF(L283&lt;&gt;"Verified","Not verified",IF(COUNTIFS(in_CGID,C283,in_ClientID,E283,in_Svc,G283)&gt;0,"Yes","Not entered")))</f>
        <v/>
      </c>
    </row>
    <row r="284" customFormat="false" ht="15" hidden="false" customHeight="false" outlineLevel="0" collapsed="false">
      <c r="A284" s="64"/>
      <c r="B284" s="65"/>
      <c r="C284" s="64"/>
      <c r="D284" s="64"/>
      <c r="E284" s="64"/>
      <c r="F284" s="64"/>
      <c r="G284" s="64"/>
      <c r="H284" s="66"/>
      <c r="I284" s="66"/>
      <c r="J284" s="64"/>
      <c r="K284" s="64"/>
      <c r="L284" s="64"/>
      <c r="M284" s="67" t="str">
        <f aca="false">IF(A284="","",IF(AND(B284&gt;=WeekStart,B284&lt;=WeekEnd),"Yes","No"))</f>
        <v/>
      </c>
      <c r="N284" s="67" t="str">
        <f aca="false">IF(A284="","",IF(L284&lt;&gt;"Verified","Not verified",IF(COUNTIFS(in_CGID,C284,in_ClientID,E284,in_Svc,G284)&gt;0,"Yes","Not entered")))</f>
        <v/>
      </c>
    </row>
    <row r="285" customFormat="false" ht="15" hidden="false" customHeight="false" outlineLevel="0" collapsed="false">
      <c r="A285" s="64"/>
      <c r="B285" s="65"/>
      <c r="C285" s="64"/>
      <c r="D285" s="64"/>
      <c r="E285" s="64"/>
      <c r="F285" s="64"/>
      <c r="G285" s="64"/>
      <c r="H285" s="66"/>
      <c r="I285" s="66"/>
      <c r="J285" s="64"/>
      <c r="K285" s="64"/>
      <c r="L285" s="64"/>
      <c r="M285" s="67" t="str">
        <f aca="false">IF(A285="","",IF(AND(B285&gt;=WeekStart,B285&lt;=WeekEnd),"Yes","No"))</f>
        <v/>
      </c>
      <c r="N285" s="67" t="str">
        <f aca="false">IF(A285="","",IF(L285&lt;&gt;"Verified","Not verified",IF(COUNTIFS(in_CGID,C285,in_ClientID,E285,in_Svc,G285)&gt;0,"Yes","Not entered")))</f>
        <v/>
      </c>
    </row>
    <row r="286" customFormat="false" ht="15" hidden="false" customHeight="false" outlineLevel="0" collapsed="false">
      <c r="A286" s="64"/>
      <c r="B286" s="65"/>
      <c r="C286" s="64"/>
      <c r="D286" s="64"/>
      <c r="E286" s="64"/>
      <c r="F286" s="64"/>
      <c r="G286" s="64"/>
      <c r="H286" s="66"/>
      <c r="I286" s="66"/>
      <c r="J286" s="64"/>
      <c r="K286" s="64"/>
      <c r="L286" s="64"/>
      <c r="M286" s="67" t="str">
        <f aca="false">IF(A286="","",IF(AND(B286&gt;=WeekStart,B286&lt;=WeekEnd),"Yes","No"))</f>
        <v/>
      </c>
      <c r="N286" s="67" t="str">
        <f aca="false">IF(A286="","",IF(L286&lt;&gt;"Verified","Not verified",IF(COUNTIFS(in_CGID,C286,in_ClientID,E286,in_Svc,G286)&gt;0,"Yes","Not entered")))</f>
        <v/>
      </c>
    </row>
    <row r="287" customFormat="false" ht="15" hidden="false" customHeight="false" outlineLevel="0" collapsed="false">
      <c r="A287" s="64"/>
      <c r="B287" s="65"/>
      <c r="C287" s="64"/>
      <c r="D287" s="64"/>
      <c r="E287" s="64"/>
      <c r="F287" s="64"/>
      <c r="G287" s="64"/>
      <c r="H287" s="66"/>
      <c r="I287" s="66"/>
      <c r="J287" s="64"/>
      <c r="K287" s="64"/>
      <c r="L287" s="64"/>
      <c r="M287" s="67" t="str">
        <f aca="false">IF(A287="","",IF(AND(B287&gt;=WeekStart,B287&lt;=WeekEnd),"Yes","No"))</f>
        <v/>
      </c>
      <c r="N287" s="67" t="str">
        <f aca="false">IF(A287="","",IF(L287&lt;&gt;"Verified","Not verified",IF(COUNTIFS(in_CGID,C287,in_ClientID,E287,in_Svc,G287)&gt;0,"Yes","Not entered")))</f>
        <v/>
      </c>
    </row>
    <row r="288" customFormat="false" ht="15" hidden="false" customHeight="false" outlineLevel="0" collapsed="false">
      <c r="A288" s="64"/>
      <c r="B288" s="65"/>
      <c r="C288" s="64"/>
      <c r="D288" s="64"/>
      <c r="E288" s="64"/>
      <c r="F288" s="64"/>
      <c r="G288" s="64"/>
      <c r="H288" s="66"/>
      <c r="I288" s="66"/>
      <c r="J288" s="64"/>
      <c r="K288" s="64"/>
      <c r="L288" s="64"/>
      <c r="M288" s="67" t="str">
        <f aca="false">IF(A288="","",IF(AND(B288&gt;=WeekStart,B288&lt;=WeekEnd),"Yes","No"))</f>
        <v/>
      </c>
      <c r="N288" s="67" t="str">
        <f aca="false">IF(A288="","",IF(L288&lt;&gt;"Verified","Not verified",IF(COUNTIFS(in_CGID,C288,in_ClientID,E288,in_Svc,G288)&gt;0,"Yes","Not entered")))</f>
        <v/>
      </c>
    </row>
    <row r="289" customFormat="false" ht="15" hidden="false" customHeight="false" outlineLevel="0" collapsed="false">
      <c r="A289" s="64"/>
      <c r="B289" s="65"/>
      <c r="C289" s="64"/>
      <c r="D289" s="64"/>
      <c r="E289" s="64"/>
      <c r="F289" s="64"/>
      <c r="G289" s="64"/>
      <c r="H289" s="66"/>
      <c r="I289" s="66"/>
      <c r="J289" s="64"/>
      <c r="K289" s="64"/>
      <c r="L289" s="64"/>
      <c r="M289" s="67" t="str">
        <f aca="false">IF(A289="","",IF(AND(B289&gt;=WeekStart,B289&lt;=WeekEnd),"Yes","No"))</f>
        <v/>
      </c>
      <c r="N289" s="67" t="str">
        <f aca="false">IF(A289="","",IF(L289&lt;&gt;"Verified","Not verified",IF(COUNTIFS(in_CGID,C289,in_ClientID,E289,in_Svc,G289)&gt;0,"Yes","Not entered")))</f>
        <v/>
      </c>
    </row>
    <row r="290" customFormat="false" ht="15" hidden="false" customHeight="false" outlineLevel="0" collapsed="false">
      <c r="A290" s="64"/>
      <c r="B290" s="65"/>
      <c r="C290" s="64"/>
      <c r="D290" s="64"/>
      <c r="E290" s="64"/>
      <c r="F290" s="64"/>
      <c r="G290" s="64"/>
      <c r="H290" s="66"/>
      <c r="I290" s="66"/>
      <c r="J290" s="64"/>
      <c r="K290" s="64"/>
      <c r="L290" s="64"/>
      <c r="M290" s="67" t="str">
        <f aca="false">IF(A290="","",IF(AND(B290&gt;=WeekStart,B290&lt;=WeekEnd),"Yes","No"))</f>
        <v/>
      </c>
      <c r="N290" s="67" t="str">
        <f aca="false">IF(A290="","",IF(L290&lt;&gt;"Verified","Not verified",IF(COUNTIFS(in_CGID,C290,in_ClientID,E290,in_Svc,G290)&gt;0,"Yes","Not entered")))</f>
        <v/>
      </c>
    </row>
    <row r="291" customFormat="false" ht="15" hidden="false" customHeight="false" outlineLevel="0" collapsed="false">
      <c r="A291" s="64"/>
      <c r="B291" s="65"/>
      <c r="C291" s="64"/>
      <c r="D291" s="64"/>
      <c r="E291" s="64"/>
      <c r="F291" s="64"/>
      <c r="G291" s="64"/>
      <c r="H291" s="66"/>
      <c r="I291" s="66"/>
      <c r="J291" s="64"/>
      <c r="K291" s="64"/>
      <c r="L291" s="64"/>
      <c r="M291" s="67" t="str">
        <f aca="false">IF(A291="","",IF(AND(B291&gt;=WeekStart,B291&lt;=WeekEnd),"Yes","No"))</f>
        <v/>
      </c>
      <c r="N291" s="67" t="str">
        <f aca="false">IF(A291="","",IF(L291&lt;&gt;"Verified","Not verified",IF(COUNTIFS(in_CGID,C291,in_ClientID,E291,in_Svc,G291)&gt;0,"Yes","Not entered")))</f>
        <v/>
      </c>
    </row>
    <row r="292" customFormat="false" ht="15" hidden="false" customHeight="false" outlineLevel="0" collapsed="false">
      <c r="A292" s="64"/>
      <c r="B292" s="65"/>
      <c r="C292" s="64"/>
      <c r="D292" s="64"/>
      <c r="E292" s="64"/>
      <c r="F292" s="64"/>
      <c r="G292" s="64"/>
      <c r="H292" s="66"/>
      <c r="I292" s="66"/>
      <c r="J292" s="64"/>
      <c r="K292" s="64"/>
      <c r="L292" s="64"/>
      <c r="M292" s="67" t="str">
        <f aca="false">IF(A292="","",IF(AND(B292&gt;=WeekStart,B292&lt;=WeekEnd),"Yes","No"))</f>
        <v/>
      </c>
      <c r="N292" s="67" t="str">
        <f aca="false">IF(A292="","",IF(L292&lt;&gt;"Verified","Not verified",IF(COUNTIFS(in_CGID,C292,in_ClientID,E292,in_Svc,G292)&gt;0,"Yes","Not entered")))</f>
        <v/>
      </c>
    </row>
    <row r="293" customFormat="false" ht="15" hidden="false" customHeight="false" outlineLevel="0" collapsed="false">
      <c r="A293" s="64"/>
      <c r="B293" s="65"/>
      <c r="C293" s="64"/>
      <c r="D293" s="64"/>
      <c r="E293" s="64"/>
      <c r="F293" s="64"/>
      <c r="G293" s="64"/>
      <c r="H293" s="66"/>
      <c r="I293" s="66"/>
      <c r="J293" s="64"/>
      <c r="K293" s="64"/>
      <c r="L293" s="64"/>
      <c r="M293" s="67" t="str">
        <f aca="false">IF(A293="","",IF(AND(B293&gt;=WeekStart,B293&lt;=WeekEnd),"Yes","No"))</f>
        <v/>
      </c>
      <c r="N293" s="67" t="str">
        <f aca="false">IF(A293="","",IF(L293&lt;&gt;"Verified","Not verified",IF(COUNTIFS(in_CGID,C293,in_ClientID,E293,in_Svc,G293)&gt;0,"Yes","Not entered")))</f>
        <v/>
      </c>
    </row>
    <row r="294" customFormat="false" ht="15" hidden="false" customHeight="false" outlineLevel="0" collapsed="false">
      <c r="A294" s="64"/>
      <c r="B294" s="65"/>
      <c r="C294" s="64"/>
      <c r="D294" s="64"/>
      <c r="E294" s="64"/>
      <c r="F294" s="64"/>
      <c r="G294" s="64"/>
      <c r="H294" s="66"/>
      <c r="I294" s="66"/>
      <c r="J294" s="64"/>
      <c r="K294" s="64"/>
      <c r="L294" s="64"/>
      <c r="M294" s="67" t="str">
        <f aca="false">IF(A294="","",IF(AND(B294&gt;=WeekStart,B294&lt;=WeekEnd),"Yes","No"))</f>
        <v/>
      </c>
      <c r="N294" s="67" t="str">
        <f aca="false">IF(A294="","",IF(L294&lt;&gt;"Verified","Not verified",IF(COUNTIFS(in_CGID,C294,in_ClientID,E294,in_Svc,G294)&gt;0,"Yes","Not entered")))</f>
        <v/>
      </c>
    </row>
    <row r="295" customFormat="false" ht="15" hidden="false" customHeight="false" outlineLevel="0" collapsed="false">
      <c r="A295" s="64"/>
      <c r="B295" s="65"/>
      <c r="C295" s="64"/>
      <c r="D295" s="64"/>
      <c r="E295" s="64"/>
      <c r="F295" s="64"/>
      <c r="G295" s="64"/>
      <c r="H295" s="66"/>
      <c r="I295" s="66"/>
      <c r="J295" s="64"/>
      <c r="K295" s="64"/>
      <c r="L295" s="64"/>
      <c r="M295" s="67" t="str">
        <f aca="false">IF(A295="","",IF(AND(B295&gt;=WeekStart,B295&lt;=WeekEnd),"Yes","No"))</f>
        <v/>
      </c>
      <c r="N295" s="67" t="str">
        <f aca="false">IF(A295="","",IF(L295&lt;&gt;"Verified","Not verified",IF(COUNTIFS(in_CGID,C295,in_ClientID,E295,in_Svc,G295)&gt;0,"Yes","Not entered")))</f>
        <v/>
      </c>
    </row>
    <row r="296" customFormat="false" ht="15" hidden="false" customHeight="false" outlineLevel="0" collapsed="false">
      <c r="A296" s="64"/>
      <c r="B296" s="65"/>
      <c r="C296" s="64"/>
      <c r="D296" s="64"/>
      <c r="E296" s="64"/>
      <c r="F296" s="64"/>
      <c r="G296" s="64"/>
      <c r="H296" s="66"/>
      <c r="I296" s="66"/>
      <c r="J296" s="64"/>
      <c r="K296" s="64"/>
      <c r="L296" s="64"/>
      <c r="M296" s="67" t="str">
        <f aca="false">IF(A296="","",IF(AND(B296&gt;=WeekStart,B296&lt;=WeekEnd),"Yes","No"))</f>
        <v/>
      </c>
      <c r="N296" s="67" t="str">
        <f aca="false">IF(A296="","",IF(L296&lt;&gt;"Verified","Not verified",IF(COUNTIFS(in_CGID,C296,in_ClientID,E296,in_Svc,G296)&gt;0,"Yes","Not entered")))</f>
        <v/>
      </c>
    </row>
    <row r="297" customFormat="false" ht="15" hidden="false" customHeight="false" outlineLevel="0" collapsed="false">
      <c r="A297" s="64"/>
      <c r="B297" s="65"/>
      <c r="C297" s="64"/>
      <c r="D297" s="64"/>
      <c r="E297" s="64"/>
      <c r="F297" s="64"/>
      <c r="G297" s="64"/>
      <c r="H297" s="66"/>
      <c r="I297" s="66"/>
      <c r="J297" s="64"/>
      <c r="K297" s="64"/>
      <c r="L297" s="64"/>
      <c r="M297" s="67" t="str">
        <f aca="false">IF(A297="","",IF(AND(B297&gt;=WeekStart,B297&lt;=WeekEnd),"Yes","No"))</f>
        <v/>
      </c>
      <c r="N297" s="67" t="str">
        <f aca="false">IF(A297="","",IF(L297&lt;&gt;"Verified","Not verified",IF(COUNTIFS(in_CGID,C297,in_ClientID,E297,in_Svc,G297)&gt;0,"Yes","Not entered")))</f>
        <v/>
      </c>
    </row>
    <row r="298" customFormat="false" ht="15" hidden="false" customHeight="false" outlineLevel="0" collapsed="false">
      <c r="A298" s="64"/>
      <c r="B298" s="65"/>
      <c r="C298" s="64"/>
      <c r="D298" s="64"/>
      <c r="E298" s="64"/>
      <c r="F298" s="64"/>
      <c r="G298" s="64"/>
      <c r="H298" s="66"/>
      <c r="I298" s="66"/>
      <c r="J298" s="64"/>
      <c r="K298" s="64"/>
      <c r="L298" s="64"/>
      <c r="M298" s="67" t="str">
        <f aca="false">IF(A298="","",IF(AND(B298&gt;=WeekStart,B298&lt;=WeekEnd),"Yes","No"))</f>
        <v/>
      </c>
      <c r="N298" s="67" t="str">
        <f aca="false">IF(A298="","",IF(L298&lt;&gt;"Verified","Not verified",IF(COUNTIFS(in_CGID,C298,in_ClientID,E298,in_Svc,G298)&gt;0,"Yes","Not entered")))</f>
        <v/>
      </c>
    </row>
    <row r="299" customFormat="false" ht="15" hidden="false" customHeight="false" outlineLevel="0" collapsed="false">
      <c r="A299" s="64"/>
      <c r="B299" s="65"/>
      <c r="C299" s="64"/>
      <c r="D299" s="64"/>
      <c r="E299" s="64"/>
      <c r="F299" s="64"/>
      <c r="G299" s="64"/>
      <c r="H299" s="66"/>
      <c r="I299" s="66"/>
      <c r="J299" s="64"/>
      <c r="K299" s="64"/>
      <c r="L299" s="64"/>
      <c r="M299" s="67" t="str">
        <f aca="false">IF(A299="","",IF(AND(B299&gt;=WeekStart,B299&lt;=WeekEnd),"Yes","No"))</f>
        <v/>
      </c>
      <c r="N299" s="67" t="str">
        <f aca="false">IF(A299="","",IF(L299&lt;&gt;"Verified","Not verified",IF(COUNTIFS(in_CGID,C299,in_ClientID,E299,in_Svc,G299)&gt;0,"Yes","Not entered")))</f>
        <v/>
      </c>
    </row>
    <row r="300" customFormat="false" ht="15" hidden="false" customHeight="false" outlineLevel="0" collapsed="false">
      <c r="A300" s="64"/>
      <c r="B300" s="65"/>
      <c r="C300" s="64"/>
      <c r="D300" s="64"/>
      <c r="E300" s="64"/>
      <c r="F300" s="64"/>
      <c r="G300" s="64"/>
      <c r="H300" s="66"/>
      <c r="I300" s="66"/>
      <c r="J300" s="64"/>
      <c r="K300" s="64"/>
      <c r="L300" s="64"/>
      <c r="M300" s="67" t="str">
        <f aca="false">IF(A300="","",IF(AND(B300&gt;=WeekStart,B300&lt;=WeekEnd),"Yes","No"))</f>
        <v/>
      </c>
      <c r="N300" s="67" t="str">
        <f aca="false">IF(A300="","",IF(L300&lt;&gt;"Verified","Not verified",IF(COUNTIFS(in_CGID,C300,in_ClientID,E300,in_Svc,G300)&gt;0,"Yes","Not entered")))</f>
        <v/>
      </c>
    </row>
    <row r="301" customFormat="false" ht="15" hidden="false" customHeight="false" outlineLevel="0" collapsed="false">
      <c r="A301" s="64"/>
      <c r="B301" s="65"/>
      <c r="C301" s="64"/>
      <c r="D301" s="64"/>
      <c r="E301" s="64"/>
      <c r="F301" s="64"/>
      <c r="G301" s="64"/>
      <c r="H301" s="66"/>
      <c r="I301" s="66"/>
      <c r="J301" s="64"/>
      <c r="K301" s="64"/>
      <c r="L301" s="64"/>
      <c r="M301" s="67" t="str">
        <f aca="false">IF(A301="","",IF(AND(B301&gt;=WeekStart,B301&lt;=WeekEnd),"Yes","No"))</f>
        <v/>
      </c>
      <c r="N301" s="67" t="str">
        <f aca="false">IF(A301="","",IF(L301&lt;&gt;"Verified","Not verified",IF(COUNTIFS(in_CGID,C301,in_ClientID,E301,in_Svc,G301)&gt;0,"Yes","Not entered")))</f>
        <v/>
      </c>
    </row>
    <row r="302" customFormat="false" ht="15" hidden="false" customHeight="false" outlineLevel="0" collapsed="false">
      <c r="A302" s="64"/>
      <c r="B302" s="65"/>
      <c r="C302" s="64"/>
      <c r="D302" s="64"/>
      <c r="E302" s="64"/>
      <c r="F302" s="64"/>
      <c r="G302" s="64"/>
      <c r="H302" s="66"/>
      <c r="I302" s="66"/>
      <c r="J302" s="64"/>
      <c r="K302" s="64"/>
      <c r="L302" s="64"/>
      <c r="M302" s="67" t="str">
        <f aca="false">IF(A302="","",IF(AND(B302&gt;=WeekStart,B302&lt;=WeekEnd),"Yes","No"))</f>
        <v/>
      </c>
      <c r="N302" s="67" t="str">
        <f aca="false">IF(A302="","",IF(L302&lt;&gt;"Verified","Not verified",IF(COUNTIFS(in_CGID,C302,in_ClientID,E302,in_Svc,G302)&gt;0,"Yes","Not entered")))</f>
        <v/>
      </c>
    </row>
    <row r="303" customFormat="false" ht="15" hidden="false" customHeight="false" outlineLevel="0" collapsed="false">
      <c r="A303" s="64"/>
      <c r="B303" s="65"/>
      <c r="C303" s="64"/>
      <c r="D303" s="64"/>
      <c r="E303" s="64"/>
      <c r="F303" s="64"/>
      <c r="G303" s="64"/>
      <c r="H303" s="66"/>
      <c r="I303" s="66"/>
      <c r="J303" s="64"/>
      <c r="K303" s="64"/>
      <c r="L303" s="64"/>
      <c r="M303" s="67" t="str">
        <f aca="false">IF(A303="","",IF(AND(B303&gt;=WeekStart,B303&lt;=WeekEnd),"Yes","No"))</f>
        <v/>
      </c>
      <c r="N303" s="67" t="str">
        <f aca="false">IF(A303="","",IF(L303&lt;&gt;"Verified","Not verified",IF(COUNTIFS(in_CGID,C303,in_ClientID,E303,in_Svc,G303)&gt;0,"Yes","Not entered")))</f>
        <v/>
      </c>
    </row>
    <row r="304" customFormat="false" ht="15" hidden="false" customHeight="false" outlineLevel="0" collapsed="false">
      <c r="A304" s="64"/>
      <c r="B304" s="65"/>
      <c r="C304" s="64"/>
      <c r="D304" s="64"/>
      <c r="E304" s="64"/>
      <c r="F304" s="64"/>
      <c r="G304" s="64"/>
      <c r="H304" s="66"/>
      <c r="I304" s="66"/>
      <c r="J304" s="64"/>
      <c r="K304" s="64"/>
      <c r="L304" s="64"/>
      <c r="M304" s="67" t="str">
        <f aca="false">IF(A304="","",IF(AND(B304&gt;=WeekStart,B304&lt;=WeekEnd),"Yes","No"))</f>
        <v/>
      </c>
      <c r="N304" s="67" t="str">
        <f aca="false">IF(A304="","",IF(L304&lt;&gt;"Verified","Not verified",IF(COUNTIFS(in_CGID,C304,in_ClientID,E304,in_Svc,G304)&gt;0,"Yes","Not entered")))</f>
        <v/>
      </c>
    </row>
    <row r="305" customFormat="false" ht="15" hidden="false" customHeight="false" outlineLevel="0" collapsed="false">
      <c r="A305" s="64"/>
      <c r="B305" s="65"/>
      <c r="C305" s="64"/>
      <c r="D305" s="64"/>
      <c r="E305" s="64"/>
      <c r="F305" s="64"/>
      <c r="G305" s="64"/>
      <c r="H305" s="66"/>
      <c r="I305" s="66"/>
      <c r="J305" s="64"/>
      <c r="K305" s="64"/>
      <c r="L305" s="64"/>
      <c r="M305" s="67" t="str">
        <f aca="false">IF(A305="","",IF(AND(B305&gt;=WeekStart,B305&lt;=WeekEnd),"Yes","No"))</f>
        <v/>
      </c>
      <c r="N305" s="67" t="str">
        <f aca="false">IF(A305="","",IF(L305&lt;&gt;"Verified","Not verified",IF(COUNTIFS(in_CGID,C305,in_ClientID,E305,in_Svc,G305)&gt;0,"Yes","Not entered")))</f>
        <v/>
      </c>
    </row>
    <row r="306" customFormat="false" ht="15" hidden="false" customHeight="false" outlineLevel="0" collapsed="false">
      <c r="A306" s="64"/>
      <c r="B306" s="65"/>
      <c r="C306" s="64"/>
      <c r="D306" s="64"/>
      <c r="E306" s="64"/>
      <c r="F306" s="64"/>
      <c r="G306" s="64"/>
      <c r="H306" s="66"/>
      <c r="I306" s="66"/>
      <c r="J306" s="64"/>
      <c r="K306" s="64"/>
      <c r="L306" s="64"/>
      <c r="M306" s="67" t="str">
        <f aca="false">IF(A306="","",IF(AND(B306&gt;=WeekStart,B306&lt;=WeekEnd),"Yes","No"))</f>
        <v/>
      </c>
      <c r="N306" s="67" t="str">
        <f aca="false">IF(A306="","",IF(L306&lt;&gt;"Verified","Not verified",IF(COUNTIFS(in_CGID,C306,in_ClientID,E306,in_Svc,G306)&gt;0,"Yes","Not entered")))</f>
        <v/>
      </c>
    </row>
    <row r="307" customFormat="false" ht="15" hidden="false" customHeight="false" outlineLevel="0" collapsed="false">
      <c r="A307" s="64"/>
      <c r="B307" s="65"/>
      <c r="C307" s="64"/>
      <c r="D307" s="64"/>
      <c r="E307" s="64"/>
      <c r="F307" s="64"/>
      <c r="G307" s="64"/>
      <c r="H307" s="66"/>
      <c r="I307" s="66"/>
      <c r="J307" s="64"/>
      <c r="K307" s="64"/>
      <c r="L307" s="64"/>
      <c r="M307" s="67" t="str">
        <f aca="false">IF(A307="","",IF(AND(B307&gt;=WeekStart,B307&lt;=WeekEnd),"Yes","No"))</f>
        <v/>
      </c>
      <c r="N307" s="67" t="str">
        <f aca="false">IF(A307="","",IF(L307&lt;&gt;"Verified","Not verified",IF(COUNTIFS(in_CGID,C307,in_ClientID,E307,in_Svc,G307)&gt;0,"Yes","Not entered")))</f>
        <v/>
      </c>
    </row>
    <row r="308" customFormat="false" ht="15" hidden="false" customHeight="false" outlineLevel="0" collapsed="false">
      <c r="A308" s="64"/>
      <c r="B308" s="65"/>
      <c r="C308" s="64"/>
      <c r="D308" s="64"/>
      <c r="E308" s="64"/>
      <c r="F308" s="64"/>
      <c r="G308" s="64"/>
      <c r="H308" s="66"/>
      <c r="I308" s="66"/>
      <c r="J308" s="64"/>
      <c r="K308" s="64"/>
      <c r="L308" s="64"/>
      <c r="M308" s="67" t="str">
        <f aca="false">IF(A308="","",IF(AND(B308&gt;=WeekStart,B308&lt;=WeekEnd),"Yes","No"))</f>
        <v/>
      </c>
      <c r="N308" s="67" t="str">
        <f aca="false">IF(A308="","",IF(L308&lt;&gt;"Verified","Not verified",IF(COUNTIFS(in_CGID,C308,in_ClientID,E308,in_Svc,G308)&gt;0,"Yes","Not entered")))</f>
        <v/>
      </c>
    </row>
    <row r="309" customFormat="false" ht="15" hidden="false" customHeight="false" outlineLevel="0" collapsed="false">
      <c r="A309" s="64"/>
      <c r="B309" s="65"/>
      <c r="C309" s="64"/>
      <c r="D309" s="64"/>
      <c r="E309" s="64"/>
      <c r="F309" s="64"/>
      <c r="G309" s="64"/>
      <c r="H309" s="66"/>
      <c r="I309" s="66"/>
      <c r="J309" s="64"/>
      <c r="K309" s="64"/>
      <c r="L309" s="64"/>
      <c r="M309" s="67" t="str">
        <f aca="false">IF(A309="","",IF(AND(B309&gt;=WeekStart,B309&lt;=WeekEnd),"Yes","No"))</f>
        <v/>
      </c>
      <c r="N309" s="67" t="str">
        <f aca="false">IF(A309="","",IF(L309&lt;&gt;"Verified","Not verified",IF(COUNTIFS(in_CGID,C309,in_ClientID,E309,in_Svc,G309)&gt;0,"Yes","Not entered")))</f>
        <v/>
      </c>
    </row>
    <row r="310" customFormat="false" ht="15" hidden="false" customHeight="false" outlineLevel="0" collapsed="false">
      <c r="A310" s="64"/>
      <c r="B310" s="65"/>
      <c r="C310" s="64"/>
      <c r="D310" s="64"/>
      <c r="E310" s="64"/>
      <c r="F310" s="64"/>
      <c r="G310" s="64"/>
      <c r="H310" s="66"/>
      <c r="I310" s="66"/>
      <c r="J310" s="64"/>
      <c r="K310" s="64"/>
      <c r="L310" s="64"/>
      <c r="M310" s="67" t="str">
        <f aca="false">IF(A310="","",IF(AND(B310&gt;=WeekStart,B310&lt;=WeekEnd),"Yes","No"))</f>
        <v/>
      </c>
      <c r="N310" s="67" t="str">
        <f aca="false">IF(A310="","",IF(L310&lt;&gt;"Verified","Not verified",IF(COUNTIFS(in_CGID,C310,in_ClientID,E310,in_Svc,G310)&gt;0,"Yes","Not entered")))</f>
        <v/>
      </c>
    </row>
    <row r="311" customFormat="false" ht="15" hidden="false" customHeight="false" outlineLevel="0" collapsed="false">
      <c r="A311" s="64"/>
      <c r="B311" s="65"/>
      <c r="C311" s="64"/>
      <c r="D311" s="64"/>
      <c r="E311" s="64"/>
      <c r="F311" s="64"/>
      <c r="G311" s="64"/>
      <c r="H311" s="66"/>
      <c r="I311" s="66"/>
      <c r="J311" s="64"/>
      <c r="K311" s="64"/>
      <c r="L311" s="64"/>
      <c r="M311" s="67" t="str">
        <f aca="false">IF(A311="","",IF(AND(B311&gt;=WeekStart,B311&lt;=WeekEnd),"Yes","No"))</f>
        <v/>
      </c>
      <c r="N311" s="67" t="str">
        <f aca="false">IF(A311="","",IF(L311&lt;&gt;"Verified","Not verified",IF(COUNTIFS(in_CGID,C311,in_ClientID,E311,in_Svc,G311)&gt;0,"Yes","Not entered")))</f>
        <v/>
      </c>
    </row>
    <row r="312" customFormat="false" ht="15" hidden="false" customHeight="false" outlineLevel="0" collapsed="false">
      <c r="A312" s="64"/>
      <c r="B312" s="65"/>
      <c r="C312" s="64"/>
      <c r="D312" s="64"/>
      <c r="E312" s="64"/>
      <c r="F312" s="64"/>
      <c r="G312" s="64"/>
      <c r="H312" s="66"/>
      <c r="I312" s="66"/>
      <c r="J312" s="64"/>
      <c r="K312" s="64"/>
      <c r="L312" s="64"/>
      <c r="M312" s="67" t="str">
        <f aca="false">IF(A312="","",IF(AND(B312&gt;=WeekStart,B312&lt;=WeekEnd),"Yes","No"))</f>
        <v/>
      </c>
      <c r="N312" s="67" t="str">
        <f aca="false">IF(A312="","",IF(L312&lt;&gt;"Verified","Not verified",IF(COUNTIFS(in_CGID,C312,in_ClientID,E312,in_Svc,G312)&gt;0,"Yes","Not entered")))</f>
        <v/>
      </c>
    </row>
    <row r="313" customFormat="false" ht="15" hidden="false" customHeight="false" outlineLevel="0" collapsed="false">
      <c r="A313" s="64"/>
      <c r="B313" s="65"/>
      <c r="C313" s="64"/>
      <c r="D313" s="64"/>
      <c r="E313" s="64"/>
      <c r="F313" s="64"/>
      <c r="G313" s="64"/>
      <c r="H313" s="66"/>
      <c r="I313" s="66"/>
      <c r="J313" s="64"/>
      <c r="K313" s="64"/>
      <c r="L313" s="64"/>
      <c r="M313" s="67" t="str">
        <f aca="false">IF(A313="","",IF(AND(B313&gt;=WeekStart,B313&lt;=WeekEnd),"Yes","No"))</f>
        <v/>
      </c>
      <c r="N313" s="67" t="str">
        <f aca="false">IF(A313="","",IF(L313&lt;&gt;"Verified","Not verified",IF(COUNTIFS(in_CGID,C313,in_ClientID,E313,in_Svc,G313)&gt;0,"Yes","Not entered")))</f>
        <v/>
      </c>
    </row>
    <row r="314" customFormat="false" ht="15" hidden="false" customHeight="false" outlineLevel="0" collapsed="false">
      <c r="A314" s="64"/>
      <c r="B314" s="65"/>
      <c r="C314" s="64"/>
      <c r="D314" s="64"/>
      <c r="E314" s="64"/>
      <c r="F314" s="64"/>
      <c r="G314" s="64"/>
      <c r="H314" s="66"/>
      <c r="I314" s="66"/>
      <c r="J314" s="64"/>
      <c r="K314" s="64"/>
      <c r="L314" s="64"/>
      <c r="M314" s="67" t="str">
        <f aca="false">IF(A314="","",IF(AND(B314&gt;=WeekStart,B314&lt;=WeekEnd),"Yes","No"))</f>
        <v/>
      </c>
      <c r="N314" s="67" t="str">
        <f aca="false">IF(A314="","",IF(L314&lt;&gt;"Verified","Not verified",IF(COUNTIFS(in_CGID,C314,in_ClientID,E314,in_Svc,G314)&gt;0,"Yes","Not entered")))</f>
        <v/>
      </c>
    </row>
    <row r="315" customFormat="false" ht="15" hidden="false" customHeight="false" outlineLevel="0" collapsed="false">
      <c r="A315" s="64"/>
      <c r="B315" s="65"/>
      <c r="C315" s="64"/>
      <c r="D315" s="64"/>
      <c r="E315" s="64"/>
      <c r="F315" s="64"/>
      <c r="G315" s="64"/>
      <c r="H315" s="66"/>
      <c r="I315" s="66"/>
      <c r="J315" s="64"/>
      <c r="K315" s="64"/>
      <c r="L315" s="64"/>
      <c r="M315" s="67" t="str">
        <f aca="false">IF(A315="","",IF(AND(B315&gt;=WeekStart,B315&lt;=WeekEnd),"Yes","No"))</f>
        <v/>
      </c>
      <c r="N315" s="67" t="str">
        <f aca="false">IF(A315="","",IF(L315&lt;&gt;"Verified","Not verified",IF(COUNTIFS(in_CGID,C315,in_ClientID,E315,in_Svc,G315)&gt;0,"Yes","Not entered")))</f>
        <v/>
      </c>
    </row>
    <row r="316" customFormat="false" ht="15" hidden="false" customHeight="false" outlineLevel="0" collapsed="false">
      <c r="A316" s="64"/>
      <c r="B316" s="65"/>
      <c r="C316" s="64"/>
      <c r="D316" s="64"/>
      <c r="E316" s="64"/>
      <c r="F316" s="64"/>
      <c r="G316" s="64"/>
      <c r="H316" s="66"/>
      <c r="I316" s="66"/>
      <c r="J316" s="64"/>
      <c r="K316" s="64"/>
      <c r="L316" s="64"/>
      <c r="M316" s="67" t="str">
        <f aca="false">IF(A316="","",IF(AND(B316&gt;=WeekStart,B316&lt;=WeekEnd),"Yes","No"))</f>
        <v/>
      </c>
      <c r="N316" s="67" t="str">
        <f aca="false">IF(A316="","",IF(L316&lt;&gt;"Verified","Not verified",IF(COUNTIFS(in_CGID,C316,in_ClientID,E316,in_Svc,G316)&gt;0,"Yes","Not entered")))</f>
        <v/>
      </c>
    </row>
    <row r="317" customFormat="false" ht="15" hidden="false" customHeight="false" outlineLevel="0" collapsed="false">
      <c r="A317" s="64"/>
      <c r="B317" s="65"/>
      <c r="C317" s="64"/>
      <c r="D317" s="64"/>
      <c r="E317" s="64"/>
      <c r="F317" s="64"/>
      <c r="G317" s="64"/>
      <c r="H317" s="66"/>
      <c r="I317" s="66"/>
      <c r="J317" s="64"/>
      <c r="K317" s="64"/>
      <c r="L317" s="64"/>
      <c r="M317" s="67" t="str">
        <f aca="false">IF(A317="","",IF(AND(B317&gt;=WeekStart,B317&lt;=WeekEnd),"Yes","No"))</f>
        <v/>
      </c>
      <c r="N317" s="67" t="str">
        <f aca="false">IF(A317="","",IF(L317&lt;&gt;"Verified","Not verified",IF(COUNTIFS(in_CGID,C317,in_ClientID,E317,in_Svc,G317)&gt;0,"Yes","Not entered")))</f>
        <v/>
      </c>
    </row>
    <row r="318" customFormat="false" ht="15" hidden="false" customHeight="false" outlineLevel="0" collapsed="false">
      <c r="A318" s="64"/>
      <c r="B318" s="65"/>
      <c r="C318" s="64"/>
      <c r="D318" s="64"/>
      <c r="E318" s="64"/>
      <c r="F318" s="64"/>
      <c r="G318" s="64"/>
      <c r="H318" s="66"/>
      <c r="I318" s="66"/>
      <c r="J318" s="64"/>
      <c r="K318" s="64"/>
      <c r="L318" s="64"/>
      <c r="M318" s="67" t="str">
        <f aca="false">IF(A318="","",IF(AND(B318&gt;=WeekStart,B318&lt;=WeekEnd),"Yes","No"))</f>
        <v/>
      </c>
      <c r="N318" s="67" t="str">
        <f aca="false">IF(A318="","",IF(L318&lt;&gt;"Verified","Not verified",IF(COUNTIFS(in_CGID,C318,in_ClientID,E318,in_Svc,G318)&gt;0,"Yes","Not entered")))</f>
        <v/>
      </c>
    </row>
    <row r="319" customFormat="false" ht="15" hidden="false" customHeight="false" outlineLevel="0" collapsed="false">
      <c r="A319" s="64"/>
      <c r="B319" s="65"/>
      <c r="C319" s="64"/>
      <c r="D319" s="64"/>
      <c r="E319" s="64"/>
      <c r="F319" s="64"/>
      <c r="G319" s="64"/>
      <c r="H319" s="66"/>
      <c r="I319" s="66"/>
      <c r="J319" s="64"/>
      <c r="K319" s="64"/>
      <c r="L319" s="64"/>
      <c r="M319" s="67" t="str">
        <f aca="false">IF(A319="","",IF(AND(B319&gt;=WeekStart,B319&lt;=WeekEnd),"Yes","No"))</f>
        <v/>
      </c>
      <c r="N319" s="67" t="str">
        <f aca="false">IF(A319="","",IF(L319&lt;&gt;"Verified","Not verified",IF(COUNTIFS(in_CGID,C319,in_ClientID,E319,in_Svc,G319)&gt;0,"Yes","Not entered")))</f>
        <v/>
      </c>
    </row>
    <row r="320" customFormat="false" ht="15" hidden="false" customHeight="false" outlineLevel="0" collapsed="false">
      <c r="A320" s="64"/>
      <c r="B320" s="65"/>
      <c r="C320" s="64"/>
      <c r="D320" s="64"/>
      <c r="E320" s="64"/>
      <c r="F320" s="64"/>
      <c r="G320" s="64"/>
      <c r="H320" s="66"/>
      <c r="I320" s="66"/>
      <c r="J320" s="64"/>
      <c r="K320" s="64"/>
      <c r="L320" s="64"/>
      <c r="M320" s="67" t="str">
        <f aca="false">IF(A320="","",IF(AND(B320&gt;=WeekStart,B320&lt;=WeekEnd),"Yes","No"))</f>
        <v/>
      </c>
      <c r="N320" s="67" t="str">
        <f aca="false">IF(A320="","",IF(L320&lt;&gt;"Verified","Not verified",IF(COUNTIFS(in_CGID,C320,in_ClientID,E320,in_Svc,G320)&gt;0,"Yes","Not entered")))</f>
        <v/>
      </c>
    </row>
    <row r="321" customFormat="false" ht="15" hidden="false" customHeight="false" outlineLevel="0" collapsed="false">
      <c r="A321" s="64"/>
      <c r="B321" s="65"/>
      <c r="C321" s="64"/>
      <c r="D321" s="64"/>
      <c r="E321" s="64"/>
      <c r="F321" s="64"/>
      <c r="G321" s="64"/>
      <c r="H321" s="66"/>
      <c r="I321" s="66"/>
      <c r="J321" s="64"/>
      <c r="K321" s="64"/>
      <c r="L321" s="64"/>
      <c r="M321" s="67" t="str">
        <f aca="false">IF(A321="","",IF(AND(B321&gt;=WeekStart,B321&lt;=WeekEnd),"Yes","No"))</f>
        <v/>
      </c>
      <c r="N321" s="67" t="str">
        <f aca="false">IF(A321="","",IF(L321&lt;&gt;"Verified","Not verified",IF(COUNTIFS(in_CGID,C321,in_ClientID,E321,in_Svc,G321)&gt;0,"Yes","Not entered")))</f>
        <v/>
      </c>
    </row>
    <row r="322" customFormat="false" ht="15" hidden="false" customHeight="false" outlineLevel="0" collapsed="false">
      <c r="A322" s="64"/>
      <c r="B322" s="65"/>
      <c r="C322" s="64"/>
      <c r="D322" s="64"/>
      <c r="E322" s="64"/>
      <c r="F322" s="64"/>
      <c r="G322" s="64"/>
      <c r="H322" s="66"/>
      <c r="I322" s="66"/>
      <c r="J322" s="64"/>
      <c r="K322" s="64"/>
      <c r="L322" s="64"/>
      <c r="M322" s="67" t="str">
        <f aca="false">IF(A322="","",IF(AND(B322&gt;=WeekStart,B322&lt;=WeekEnd),"Yes","No"))</f>
        <v/>
      </c>
      <c r="N322" s="67" t="str">
        <f aca="false">IF(A322="","",IF(L322&lt;&gt;"Verified","Not verified",IF(COUNTIFS(in_CGID,C322,in_ClientID,E322,in_Svc,G322)&gt;0,"Yes","Not entered")))</f>
        <v/>
      </c>
    </row>
    <row r="323" customFormat="false" ht="15" hidden="false" customHeight="false" outlineLevel="0" collapsed="false">
      <c r="A323" s="64"/>
      <c r="B323" s="65"/>
      <c r="C323" s="64"/>
      <c r="D323" s="64"/>
      <c r="E323" s="64"/>
      <c r="F323" s="64"/>
      <c r="G323" s="64"/>
      <c r="H323" s="66"/>
      <c r="I323" s="66"/>
      <c r="J323" s="64"/>
      <c r="K323" s="64"/>
      <c r="L323" s="64"/>
      <c r="M323" s="67" t="str">
        <f aca="false">IF(A323="","",IF(AND(B323&gt;=WeekStart,B323&lt;=WeekEnd),"Yes","No"))</f>
        <v/>
      </c>
      <c r="N323" s="67" t="str">
        <f aca="false">IF(A323="","",IF(L323&lt;&gt;"Verified","Not verified",IF(COUNTIFS(in_CGID,C323,in_ClientID,E323,in_Svc,G323)&gt;0,"Yes","Not entered")))</f>
        <v/>
      </c>
    </row>
    <row r="324" customFormat="false" ht="15" hidden="false" customHeight="false" outlineLevel="0" collapsed="false">
      <c r="A324" s="64"/>
      <c r="B324" s="65"/>
      <c r="C324" s="64"/>
      <c r="D324" s="64"/>
      <c r="E324" s="64"/>
      <c r="F324" s="64"/>
      <c r="G324" s="64"/>
      <c r="H324" s="66"/>
      <c r="I324" s="66"/>
      <c r="J324" s="64"/>
      <c r="K324" s="64"/>
      <c r="L324" s="64"/>
      <c r="M324" s="67" t="str">
        <f aca="false">IF(A324="","",IF(AND(B324&gt;=WeekStart,B324&lt;=WeekEnd),"Yes","No"))</f>
        <v/>
      </c>
      <c r="N324" s="67" t="str">
        <f aca="false">IF(A324="","",IF(L324&lt;&gt;"Verified","Not verified",IF(COUNTIFS(in_CGID,C324,in_ClientID,E324,in_Svc,G324)&gt;0,"Yes","Not entered")))</f>
        <v/>
      </c>
    </row>
    <row r="325" customFormat="false" ht="15" hidden="false" customHeight="false" outlineLevel="0" collapsed="false">
      <c r="A325" s="64"/>
      <c r="B325" s="65"/>
      <c r="C325" s="64"/>
      <c r="D325" s="64"/>
      <c r="E325" s="64"/>
      <c r="F325" s="64"/>
      <c r="G325" s="64"/>
      <c r="H325" s="66"/>
      <c r="I325" s="66"/>
      <c r="J325" s="64"/>
      <c r="K325" s="64"/>
      <c r="L325" s="64"/>
      <c r="M325" s="67" t="str">
        <f aca="false">IF(A325="","",IF(AND(B325&gt;=WeekStart,B325&lt;=WeekEnd),"Yes","No"))</f>
        <v/>
      </c>
      <c r="N325" s="67" t="str">
        <f aca="false">IF(A325="","",IF(L325&lt;&gt;"Verified","Not verified",IF(COUNTIFS(in_CGID,C325,in_ClientID,E325,in_Svc,G325)&gt;0,"Yes","Not entered")))</f>
        <v/>
      </c>
    </row>
    <row r="326" customFormat="false" ht="15" hidden="false" customHeight="false" outlineLevel="0" collapsed="false">
      <c r="A326" s="64"/>
      <c r="B326" s="65"/>
      <c r="C326" s="64"/>
      <c r="D326" s="64"/>
      <c r="E326" s="64"/>
      <c r="F326" s="64"/>
      <c r="G326" s="64"/>
      <c r="H326" s="66"/>
      <c r="I326" s="66"/>
      <c r="J326" s="64"/>
      <c r="K326" s="64"/>
      <c r="L326" s="64"/>
      <c r="M326" s="67" t="str">
        <f aca="false">IF(A326="","",IF(AND(B326&gt;=WeekStart,B326&lt;=WeekEnd),"Yes","No"))</f>
        <v/>
      </c>
      <c r="N326" s="67" t="str">
        <f aca="false">IF(A326="","",IF(L326&lt;&gt;"Verified","Not verified",IF(COUNTIFS(in_CGID,C326,in_ClientID,E326,in_Svc,G326)&gt;0,"Yes","Not entered")))</f>
        <v/>
      </c>
    </row>
    <row r="327" customFormat="false" ht="15" hidden="false" customHeight="false" outlineLevel="0" collapsed="false">
      <c r="A327" s="64"/>
      <c r="B327" s="65"/>
      <c r="C327" s="64"/>
      <c r="D327" s="64"/>
      <c r="E327" s="64"/>
      <c r="F327" s="64"/>
      <c r="G327" s="64"/>
      <c r="H327" s="66"/>
      <c r="I327" s="66"/>
      <c r="J327" s="64"/>
      <c r="K327" s="64"/>
      <c r="L327" s="64"/>
      <c r="M327" s="67" t="str">
        <f aca="false">IF(A327="","",IF(AND(B327&gt;=WeekStart,B327&lt;=WeekEnd),"Yes","No"))</f>
        <v/>
      </c>
      <c r="N327" s="67" t="str">
        <f aca="false">IF(A327="","",IF(L327&lt;&gt;"Verified","Not verified",IF(COUNTIFS(in_CGID,C327,in_ClientID,E327,in_Svc,G327)&gt;0,"Yes","Not entered")))</f>
        <v/>
      </c>
    </row>
    <row r="328" customFormat="false" ht="15" hidden="false" customHeight="false" outlineLevel="0" collapsed="false">
      <c r="A328" s="64"/>
      <c r="B328" s="65"/>
      <c r="C328" s="64"/>
      <c r="D328" s="64"/>
      <c r="E328" s="64"/>
      <c r="F328" s="64"/>
      <c r="G328" s="64"/>
      <c r="H328" s="66"/>
      <c r="I328" s="66"/>
      <c r="J328" s="64"/>
      <c r="K328" s="64"/>
      <c r="L328" s="64"/>
      <c r="M328" s="67" t="str">
        <f aca="false">IF(A328="","",IF(AND(B328&gt;=WeekStart,B328&lt;=WeekEnd),"Yes","No"))</f>
        <v/>
      </c>
      <c r="N328" s="67" t="str">
        <f aca="false">IF(A328="","",IF(L328&lt;&gt;"Verified","Not verified",IF(COUNTIFS(in_CGID,C328,in_ClientID,E328,in_Svc,G328)&gt;0,"Yes","Not entered")))</f>
        <v/>
      </c>
    </row>
    <row r="329" customFormat="false" ht="15" hidden="false" customHeight="false" outlineLevel="0" collapsed="false">
      <c r="A329" s="64"/>
      <c r="B329" s="65"/>
      <c r="C329" s="64"/>
      <c r="D329" s="64"/>
      <c r="E329" s="64"/>
      <c r="F329" s="64"/>
      <c r="G329" s="64"/>
      <c r="H329" s="66"/>
      <c r="I329" s="66"/>
      <c r="J329" s="64"/>
      <c r="K329" s="64"/>
      <c r="L329" s="64"/>
      <c r="M329" s="67" t="str">
        <f aca="false">IF(A329="","",IF(AND(B329&gt;=WeekStart,B329&lt;=WeekEnd),"Yes","No"))</f>
        <v/>
      </c>
      <c r="N329" s="67" t="str">
        <f aca="false">IF(A329="","",IF(L329&lt;&gt;"Verified","Not verified",IF(COUNTIFS(in_CGID,C329,in_ClientID,E329,in_Svc,G329)&gt;0,"Yes","Not entered")))</f>
        <v/>
      </c>
    </row>
    <row r="330" customFormat="false" ht="15" hidden="false" customHeight="false" outlineLevel="0" collapsed="false">
      <c r="A330" s="64"/>
      <c r="B330" s="65"/>
      <c r="C330" s="64"/>
      <c r="D330" s="64"/>
      <c r="E330" s="64"/>
      <c r="F330" s="64"/>
      <c r="G330" s="64"/>
      <c r="H330" s="66"/>
      <c r="I330" s="66"/>
      <c r="J330" s="64"/>
      <c r="K330" s="64"/>
      <c r="L330" s="64"/>
      <c r="M330" s="67" t="str">
        <f aca="false">IF(A330="","",IF(AND(B330&gt;=WeekStart,B330&lt;=WeekEnd),"Yes","No"))</f>
        <v/>
      </c>
      <c r="N330" s="67" t="str">
        <f aca="false">IF(A330="","",IF(L330&lt;&gt;"Verified","Not verified",IF(COUNTIFS(in_CGID,C330,in_ClientID,E330,in_Svc,G330)&gt;0,"Yes","Not entered")))</f>
        <v/>
      </c>
    </row>
    <row r="331" customFormat="false" ht="15" hidden="false" customHeight="false" outlineLevel="0" collapsed="false">
      <c r="A331" s="64"/>
      <c r="B331" s="65"/>
      <c r="C331" s="64"/>
      <c r="D331" s="64"/>
      <c r="E331" s="64"/>
      <c r="F331" s="64"/>
      <c r="G331" s="64"/>
      <c r="H331" s="66"/>
      <c r="I331" s="66"/>
      <c r="J331" s="64"/>
      <c r="K331" s="64"/>
      <c r="L331" s="64"/>
      <c r="M331" s="67" t="str">
        <f aca="false">IF(A331="","",IF(AND(B331&gt;=WeekStart,B331&lt;=WeekEnd),"Yes","No"))</f>
        <v/>
      </c>
      <c r="N331" s="67" t="str">
        <f aca="false">IF(A331="","",IF(L331&lt;&gt;"Verified","Not verified",IF(COUNTIFS(in_CGID,C331,in_ClientID,E331,in_Svc,G331)&gt;0,"Yes","Not entered")))</f>
        <v/>
      </c>
    </row>
    <row r="332" customFormat="false" ht="15" hidden="false" customHeight="false" outlineLevel="0" collapsed="false">
      <c r="A332" s="64"/>
      <c r="B332" s="65"/>
      <c r="C332" s="64"/>
      <c r="D332" s="64"/>
      <c r="E332" s="64"/>
      <c r="F332" s="64"/>
      <c r="G332" s="64"/>
      <c r="H332" s="66"/>
      <c r="I332" s="66"/>
      <c r="J332" s="64"/>
      <c r="K332" s="64"/>
      <c r="L332" s="64"/>
      <c r="M332" s="67" t="str">
        <f aca="false">IF(A332="","",IF(AND(B332&gt;=WeekStart,B332&lt;=WeekEnd),"Yes","No"))</f>
        <v/>
      </c>
      <c r="N332" s="67" t="str">
        <f aca="false">IF(A332="","",IF(L332&lt;&gt;"Verified","Not verified",IF(COUNTIFS(in_CGID,C332,in_ClientID,E332,in_Svc,G332)&gt;0,"Yes","Not entered")))</f>
        <v/>
      </c>
    </row>
    <row r="333" customFormat="false" ht="15" hidden="false" customHeight="false" outlineLevel="0" collapsed="false">
      <c r="A333" s="64"/>
      <c r="B333" s="65"/>
      <c r="C333" s="64"/>
      <c r="D333" s="64"/>
      <c r="E333" s="64"/>
      <c r="F333" s="64"/>
      <c r="G333" s="64"/>
      <c r="H333" s="66"/>
      <c r="I333" s="66"/>
      <c r="J333" s="64"/>
      <c r="K333" s="64"/>
      <c r="L333" s="64"/>
      <c r="M333" s="67" t="str">
        <f aca="false">IF(A333="","",IF(AND(B333&gt;=WeekStart,B333&lt;=WeekEnd),"Yes","No"))</f>
        <v/>
      </c>
      <c r="N333" s="67" t="str">
        <f aca="false">IF(A333="","",IF(L333&lt;&gt;"Verified","Not verified",IF(COUNTIFS(in_CGID,C333,in_ClientID,E333,in_Svc,G333)&gt;0,"Yes","Not entered")))</f>
        <v/>
      </c>
    </row>
    <row r="334" customFormat="false" ht="15" hidden="false" customHeight="false" outlineLevel="0" collapsed="false">
      <c r="A334" s="64"/>
      <c r="B334" s="65"/>
      <c r="C334" s="64"/>
      <c r="D334" s="64"/>
      <c r="E334" s="64"/>
      <c r="F334" s="64"/>
      <c r="G334" s="64"/>
      <c r="H334" s="66"/>
      <c r="I334" s="66"/>
      <c r="J334" s="64"/>
      <c r="K334" s="64"/>
      <c r="L334" s="64"/>
      <c r="M334" s="67" t="str">
        <f aca="false">IF(A334="","",IF(AND(B334&gt;=WeekStart,B334&lt;=WeekEnd),"Yes","No"))</f>
        <v/>
      </c>
      <c r="N334" s="67" t="str">
        <f aca="false">IF(A334="","",IF(L334&lt;&gt;"Verified","Not verified",IF(COUNTIFS(in_CGID,C334,in_ClientID,E334,in_Svc,G334)&gt;0,"Yes","Not entered")))</f>
        <v/>
      </c>
    </row>
    <row r="335" customFormat="false" ht="15" hidden="false" customHeight="false" outlineLevel="0" collapsed="false">
      <c r="A335" s="64"/>
      <c r="B335" s="65"/>
      <c r="C335" s="64"/>
      <c r="D335" s="64"/>
      <c r="E335" s="64"/>
      <c r="F335" s="64"/>
      <c r="G335" s="64"/>
      <c r="H335" s="66"/>
      <c r="I335" s="66"/>
      <c r="J335" s="64"/>
      <c r="K335" s="64"/>
      <c r="L335" s="64"/>
      <c r="M335" s="67" t="str">
        <f aca="false">IF(A335="","",IF(AND(B335&gt;=WeekStart,B335&lt;=WeekEnd),"Yes","No"))</f>
        <v/>
      </c>
      <c r="N335" s="67" t="str">
        <f aca="false">IF(A335="","",IF(L335&lt;&gt;"Verified","Not verified",IF(COUNTIFS(in_CGID,C335,in_ClientID,E335,in_Svc,G335)&gt;0,"Yes","Not entered")))</f>
        <v/>
      </c>
    </row>
    <row r="336" customFormat="false" ht="15" hidden="false" customHeight="false" outlineLevel="0" collapsed="false">
      <c r="A336" s="64"/>
      <c r="B336" s="65"/>
      <c r="C336" s="64"/>
      <c r="D336" s="64"/>
      <c r="E336" s="64"/>
      <c r="F336" s="64"/>
      <c r="G336" s="64"/>
      <c r="H336" s="66"/>
      <c r="I336" s="66"/>
      <c r="J336" s="64"/>
      <c r="K336" s="64"/>
      <c r="L336" s="64"/>
      <c r="M336" s="67" t="str">
        <f aca="false">IF(A336="","",IF(AND(B336&gt;=WeekStart,B336&lt;=WeekEnd),"Yes","No"))</f>
        <v/>
      </c>
      <c r="N336" s="67" t="str">
        <f aca="false">IF(A336="","",IF(L336&lt;&gt;"Verified","Not verified",IF(COUNTIFS(in_CGID,C336,in_ClientID,E336,in_Svc,G336)&gt;0,"Yes","Not entered")))</f>
        <v/>
      </c>
    </row>
    <row r="337" customFormat="false" ht="15" hidden="false" customHeight="false" outlineLevel="0" collapsed="false">
      <c r="A337" s="64"/>
      <c r="B337" s="65"/>
      <c r="C337" s="64"/>
      <c r="D337" s="64"/>
      <c r="E337" s="64"/>
      <c r="F337" s="64"/>
      <c r="G337" s="64"/>
      <c r="H337" s="66"/>
      <c r="I337" s="66"/>
      <c r="J337" s="64"/>
      <c r="K337" s="64"/>
      <c r="L337" s="64"/>
      <c r="M337" s="67" t="str">
        <f aca="false">IF(A337="","",IF(AND(B337&gt;=WeekStart,B337&lt;=WeekEnd),"Yes","No"))</f>
        <v/>
      </c>
      <c r="N337" s="67" t="str">
        <f aca="false">IF(A337="","",IF(L337&lt;&gt;"Verified","Not verified",IF(COUNTIFS(in_CGID,C337,in_ClientID,E337,in_Svc,G337)&gt;0,"Yes","Not entered")))</f>
        <v/>
      </c>
    </row>
    <row r="338" customFormat="false" ht="15" hidden="false" customHeight="false" outlineLevel="0" collapsed="false">
      <c r="A338" s="64"/>
      <c r="B338" s="65"/>
      <c r="C338" s="64"/>
      <c r="D338" s="64"/>
      <c r="E338" s="64"/>
      <c r="F338" s="64"/>
      <c r="G338" s="64"/>
      <c r="H338" s="66"/>
      <c r="I338" s="66"/>
      <c r="J338" s="64"/>
      <c r="K338" s="64"/>
      <c r="L338" s="64"/>
      <c r="M338" s="67" t="str">
        <f aca="false">IF(A338="","",IF(AND(B338&gt;=WeekStart,B338&lt;=WeekEnd),"Yes","No"))</f>
        <v/>
      </c>
      <c r="N338" s="67" t="str">
        <f aca="false">IF(A338="","",IF(L338&lt;&gt;"Verified","Not verified",IF(COUNTIFS(in_CGID,C338,in_ClientID,E338,in_Svc,G338)&gt;0,"Yes","Not entered")))</f>
        <v/>
      </c>
    </row>
    <row r="339" customFormat="false" ht="15" hidden="false" customHeight="false" outlineLevel="0" collapsed="false">
      <c r="A339" s="64"/>
      <c r="B339" s="65"/>
      <c r="C339" s="64"/>
      <c r="D339" s="64"/>
      <c r="E339" s="64"/>
      <c r="F339" s="64"/>
      <c r="G339" s="64"/>
      <c r="H339" s="66"/>
      <c r="I339" s="66"/>
      <c r="J339" s="64"/>
      <c r="K339" s="64"/>
      <c r="L339" s="64"/>
      <c r="M339" s="67" t="str">
        <f aca="false">IF(A339="","",IF(AND(B339&gt;=WeekStart,B339&lt;=WeekEnd),"Yes","No"))</f>
        <v/>
      </c>
      <c r="N339" s="67" t="str">
        <f aca="false">IF(A339="","",IF(L339&lt;&gt;"Verified","Not verified",IF(COUNTIFS(in_CGID,C339,in_ClientID,E339,in_Svc,G339)&gt;0,"Yes","Not entered")))</f>
        <v/>
      </c>
    </row>
    <row r="340" customFormat="false" ht="15" hidden="false" customHeight="false" outlineLevel="0" collapsed="false">
      <c r="A340" s="64"/>
      <c r="B340" s="65"/>
      <c r="C340" s="64"/>
      <c r="D340" s="64"/>
      <c r="E340" s="64"/>
      <c r="F340" s="64"/>
      <c r="G340" s="64"/>
      <c r="H340" s="66"/>
      <c r="I340" s="66"/>
      <c r="J340" s="64"/>
      <c r="K340" s="64"/>
      <c r="L340" s="64"/>
      <c r="M340" s="67" t="str">
        <f aca="false">IF(A340="","",IF(AND(B340&gt;=WeekStart,B340&lt;=WeekEnd),"Yes","No"))</f>
        <v/>
      </c>
      <c r="N340" s="67" t="str">
        <f aca="false">IF(A340="","",IF(L340&lt;&gt;"Verified","Not verified",IF(COUNTIFS(in_CGID,C340,in_ClientID,E340,in_Svc,G340)&gt;0,"Yes","Not entered")))</f>
        <v/>
      </c>
    </row>
    <row r="341" customFormat="false" ht="15" hidden="false" customHeight="false" outlineLevel="0" collapsed="false">
      <c r="A341" s="64"/>
      <c r="B341" s="65"/>
      <c r="C341" s="64"/>
      <c r="D341" s="64"/>
      <c r="E341" s="64"/>
      <c r="F341" s="64"/>
      <c r="G341" s="64"/>
      <c r="H341" s="66"/>
      <c r="I341" s="66"/>
      <c r="J341" s="64"/>
      <c r="K341" s="64"/>
      <c r="L341" s="64"/>
      <c r="M341" s="67" t="str">
        <f aca="false">IF(A341="","",IF(AND(B341&gt;=WeekStart,B341&lt;=WeekEnd),"Yes","No"))</f>
        <v/>
      </c>
      <c r="N341" s="67" t="str">
        <f aca="false">IF(A341="","",IF(L341&lt;&gt;"Verified","Not verified",IF(COUNTIFS(in_CGID,C341,in_ClientID,E341,in_Svc,G341)&gt;0,"Yes","Not entered")))</f>
        <v/>
      </c>
    </row>
    <row r="342" customFormat="false" ht="15" hidden="false" customHeight="false" outlineLevel="0" collapsed="false">
      <c r="A342" s="64"/>
      <c r="B342" s="65"/>
      <c r="C342" s="64"/>
      <c r="D342" s="64"/>
      <c r="E342" s="64"/>
      <c r="F342" s="64"/>
      <c r="G342" s="64"/>
      <c r="H342" s="66"/>
      <c r="I342" s="66"/>
      <c r="J342" s="64"/>
      <c r="K342" s="64"/>
      <c r="L342" s="64"/>
      <c r="M342" s="67" t="str">
        <f aca="false">IF(A342="","",IF(AND(B342&gt;=WeekStart,B342&lt;=WeekEnd),"Yes","No"))</f>
        <v/>
      </c>
      <c r="N342" s="67" t="str">
        <f aca="false">IF(A342="","",IF(L342&lt;&gt;"Verified","Not verified",IF(COUNTIFS(in_CGID,C342,in_ClientID,E342,in_Svc,G342)&gt;0,"Yes","Not entered")))</f>
        <v/>
      </c>
    </row>
    <row r="343" customFormat="false" ht="15" hidden="false" customHeight="false" outlineLevel="0" collapsed="false">
      <c r="A343" s="64"/>
      <c r="B343" s="65"/>
      <c r="C343" s="64"/>
      <c r="D343" s="64"/>
      <c r="E343" s="64"/>
      <c r="F343" s="64"/>
      <c r="G343" s="64"/>
      <c r="H343" s="66"/>
      <c r="I343" s="66"/>
      <c r="J343" s="64"/>
      <c r="K343" s="64"/>
      <c r="L343" s="64"/>
      <c r="M343" s="67" t="str">
        <f aca="false">IF(A343="","",IF(AND(B343&gt;=WeekStart,B343&lt;=WeekEnd),"Yes","No"))</f>
        <v/>
      </c>
      <c r="N343" s="67" t="str">
        <f aca="false">IF(A343="","",IF(L343&lt;&gt;"Verified","Not verified",IF(COUNTIFS(in_CGID,C343,in_ClientID,E343,in_Svc,G343)&gt;0,"Yes","Not entered")))</f>
        <v/>
      </c>
    </row>
    <row r="344" customFormat="false" ht="15" hidden="false" customHeight="false" outlineLevel="0" collapsed="false">
      <c r="A344" s="64"/>
      <c r="B344" s="65"/>
      <c r="C344" s="64"/>
      <c r="D344" s="64"/>
      <c r="E344" s="64"/>
      <c r="F344" s="64"/>
      <c r="G344" s="64"/>
      <c r="H344" s="66"/>
      <c r="I344" s="66"/>
      <c r="J344" s="64"/>
      <c r="K344" s="64"/>
      <c r="L344" s="64"/>
      <c r="M344" s="67" t="str">
        <f aca="false">IF(A344="","",IF(AND(B344&gt;=WeekStart,B344&lt;=WeekEnd),"Yes","No"))</f>
        <v/>
      </c>
      <c r="N344" s="67" t="str">
        <f aca="false">IF(A344="","",IF(L344&lt;&gt;"Verified","Not verified",IF(COUNTIFS(in_CGID,C344,in_ClientID,E344,in_Svc,G344)&gt;0,"Yes","Not entered")))</f>
        <v/>
      </c>
    </row>
    <row r="345" customFormat="false" ht="15" hidden="false" customHeight="false" outlineLevel="0" collapsed="false">
      <c r="A345" s="64"/>
      <c r="B345" s="65"/>
      <c r="C345" s="64"/>
      <c r="D345" s="64"/>
      <c r="E345" s="64"/>
      <c r="F345" s="64"/>
      <c r="G345" s="64"/>
      <c r="H345" s="66"/>
      <c r="I345" s="66"/>
      <c r="J345" s="64"/>
      <c r="K345" s="64"/>
      <c r="L345" s="64"/>
      <c r="M345" s="67" t="str">
        <f aca="false">IF(A345="","",IF(AND(B345&gt;=WeekStart,B345&lt;=WeekEnd),"Yes","No"))</f>
        <v/>
      </c>
      <c r="N345" s="67" t="str">
        <f aca="false">IF(A345="","",IF(L345&lt;&gt;"Verified","Not verified",IF(COUNTIFS(in_CGID,C345,in_ClientID,E345,in_Svc,G345)&gt;0,"Yes","Not entered")))</f>
        <v/>
      </c>
    </row>
    <row r="346" customFormat="false" ht="15" hidden="false" customHeight="false" outlineLevel="0" collapsed="false">
      <c r="A346" s="64"/>
      <c r="B346" s="65"/>
      <c r="C346" s="64"/>
      <c r="D346" s="64"/>
      <c r="E346" s="64"/>
      <c r="F346" s="64"/>
      <c r="G346" s="64"/>
      <c r="H346" s="66"/>
      <c r="I346" s="66"/>
      <c r="J346" s="64"/>
      <c r="K346" s="64"/>
      <c r="L346" s="64"/>
      <c r="M346" s="67" t="str">
        <f aca="false">IF(A346="","",IF(AND(B346&gt;=WeekStart,B346&lt;=WeekEnd),"Yes","No"))</f>
        <v/>
      </c>
      <c r="N346" s="67" t="str">
        <f aca="false">IF(A346="","",IF(L346&lt;&gt;"Verified","Not verified",IF(COUNTIFS(in_CGID,C346,in_ClientID,E346,in_Svc,G346)&gt;0,"Yes","Not entered")))</f>
        <v/>
      </c>
    </row>
    <row r="347" customFormat="false" ht="15" hidden="false" customHeight="false" outlineLevel="0" collapsed="false">
      <c r="A347" s="64"/>
      <c r="B347" s="65"/>
      <c r="C347" s="64"/>
      <c r="D347" s="64"/>
      <c r="E347" s="64"/>
      <c r="F347" s="64"/>
      <c r="G347" s="64"/>
      <c r="H347" s="66"/>
      <c r="I347" s="66"/>
      <c r="J347" s="64"/>
      <c r="K347" s="64"/>
      <c r="L347" s="64"/>
      <c r="M347" s="67" t="str">
        <f aca="false">IF(A347="","",IF(AND(B347&gt;=WeekStart,B347&lt;=WeekEnd),"Yes","No"))</f>
        <v/>
      </c>
      <c r="N347" s="67" t="str">
        <f aca="false">IF(A347="","",IF(L347&lt;&gt;"Verified","Not verified",IF(COUNTIFS(in_CGID,C347,in_ClientID,E347,in_Svc,G347)&gt;0,"Yes","Not entered")))</f>
        <v/>
      </c>
    </row>
    <row r="348" customFormat="false" ht="15" hidden="false" customHeight="false" outlineLevel="0" collapsed="false">
      <c r="A348" s="64"/>
      <c r="B348" s="65"/>
      <c r="C348" s="64"/>
      <c r="D348" s="64"/>
      <c r="E348" s="64"/>
      <c r="F348" s="64"/>
      <c r="G348" s="64"/>
      <c r="H348" s="66"/>
      <c r="I348" s="66"/>
      <c r="J348" s="64"/>
      <c r="K348" s="64"/>
      <c r="L348" s="64"/>
      <c r="M348" s="67" t="str">
        <f aca="false">IF(A348="","",IF(AND(B348&gt;=WeekStart,B348&lt;=WeekEnd),"Yes","No"))</f>
        <v/>
      </c>
      <c r="N348" s="67" t="str">
        <f aca="false">IF(A348="","",IF(L348&lt;&gt;"Verified","Not verified",IF(COUNTIFS(in_CGID,C348,in_ClientID,E348,in_Svc,G348)&gt;0,"Yes","Not entered")))</f>
        <v/>
      </c>
    </row>
    <row r="349" customFormat="false" ht="15" hidden="false" customHeight="false" outlineLevel="0" collapsed="false">
      <c r="A349" s="64"/>
      <c r="B349" s="65"/>
      <c r="C349" s="64"/>
      <c r="D349" s="64"/>
      <c r="E349" s="64"/>
      <c r="F349" s="64"/>
      <c r="G349" s="64"/>
      <c r="H349" s="66"/>
      <c r="I349" s="66"/>
      <c r="J349" s="64"/>
      <c r="K349" s="64"/>
      <c r="L349" s="64"/>
      <c r="M349" s="67" t="str">
        <f aca="false">IF(A349="","",IF(AND(B349&gt;=WeekStart,B349&lt;=WeekEnd),"Yes","No"))</f>
        <v/>
      </c>
      <c r="N349" s="67" t="str">
        <f aca="false">IF(A349="","",IF(L349&lt;&gt;"Verified","Not verified",IF(COUNTIFS(in_CGID,C349,in_ClientID,E349,in_Svc,G349)&gt;0,"Yes","Not entered")))</f>
        <v/>
      </c>
    </row>
    <row r="350" customFormat="false" ht="15" hidden="false" customHeight="false" outlineLevel="0" collapsed="false">
      <c r="A350" s="64"/>
      <c r="B350" s="65"/>
      <c r="C350" s="64"/>
      <c r="D350" s="64"/>
      <c r="E350" s="64"/>
      <c r="F350" s="64"/>
      <c r="G350" s="64"/>
      <c r="H350" s="66"/>
      <c r="I350" s="66"/>
      <c r="J350" s="64"/>
      <c r="K350" s="64"/>
      <c r="L350" s="64"/>
      <c r="M350" s="67" t="str">
        <f aca="false">IF(A350="","",IF(AND(B350&gt;=WeekStart,B350&lt;=WeekEnd),"Yes","No"))</f>
        <v/>
      </c>
      <c r="N350" s="67" t="str">
        <f aca="false">IF(A350="","",IF(L350&lt;&gt;"Verified","Not verified",IF(COUNTIFS(in_CGID,C350,in_ClientID,E350,in_Svc,G350)&gt;0,"Yes","Not entered")))</f>
        <v/>
      </c>
    </row>
    <row r="351" customFormat="false" ht="15" hidden="false" customHeight="false" outlineLevel="0" collapsed="false">
      <c r="A351" s="64"/>
      <c r="B351" s="65"/>
      <c r="C351" s="64"/>
      <c r="D351" s="64"/>
      <c r="E351" s="64"/>
      <c r="F351" s="64"/>
      <c r="G351" s="64"/>
      <c r="H351" s="66"/>
      <c r="I351" s="66"/>
      <c r="J351" s="64"/>
      <c r="K351" s="64"/>
      <c r="L351" s="64"/>
      <c r="M351" s="67" t="str">
        <f aca="false">IF(A351="","",IF(AND(B351&gt;=WeekStart,B351&lt;=WeekEnd),"Yes","No"))</f>
        <v/>
      </c>
      <c r="N351" s="67" t="str">
        <f aca="false">IF(A351="","",IF(L351&lt;&gt;"Verified","Not verified",IF(COUNTIFS(in_CGID,C351,in_ClientID,E351,in_Svc,G351)&gt;0,"Yes","Not entered")))</f>
        <v/>
      </c>
    </row>
    <row r="352" customFormat="false" ht="15" hidden="false" customHeight="false" outlineLevel="0" collapsed="false">
      <c r="A352" s="64"/>
      <c r="B352" s="65"/>
      <c r="C352" s="64"/>
      <c r="D352" s="64"/>
      <c r="E352" s="64"/>
      <c r="F352" s="64"/>
      <c r="G352" s="64"/>
      <c r="H352" s="66"/>
      <c r="I352" s="66"/>
      <c r="J352" s="64"/>
      <c r="K352" s="64"/>
      <c r="L352" s="64"/>
      <c r="M352" s="67" t="str">
        <f aca="false">IF(A352="","",IF(AND(B352&gt;=WeekStart,B352&lt;=WeekEnd),"Yes","No"))</f>
        <v/>
      </c>
      <c r="N352" s="67" t="str">
        <f aca="false">IF(A352="","",IF(L352&lt;&gt;"Verified","Not verified",IF(COUNTIFS(in_CGID,C352,in_ClientID,E352,in_Svc,G352)&gt;0,"Yes","Not entered")))</f>
        <v/>
      </c>
    </row>
    <row r="353" customFormat="false" ht="15" hidden="false" customHeight="false" outlineLevel="0" collapsed="false">
      <c r="A353" s="64"/>
      <c r="B353" s="65"/>
      <c r="C353" s="64"/>
      <c r="D353" s="64"/>
      <c r="E353" s="64"/>
      <c r="F353" s="64"/>
      <c r="G353" s="64"/>
      <c r="H353" s="66"/>
      <c r="I353" s="66"/>
      <c r="J353" s="64"/>
      <c r="K353" s="64"/>
      <c r="L353" s="64"/>
      <c r="M353" s="67" t="str">
        <f aca="false">IF(A353="","",IF(AND(B353&gt;=WeekStart,B353&lt;=WeekEnd),"Yes","No"))</f>
        <v/>
      </c>
      <c r="N353" s="67" t="str">
        <f aca="false">IF(A353="","",IF(L353&lt;&gt;"Verified","Not verified",IF(COUNTIFS(in_CGID,C353,in_ClientID,E353,in_Svc,G353)&gt;0,"Yes","Not entered")))</f>
        <v/>
      </c>
    </row>
    <row r="354" customFormat="false" ht="15" hidden="false" customHeight="false" outlineLevel="0" collapsed="false">
      <c r="A354" s="64"/>
      <c r="B354" s="65"/>
      <c r="C354" s="64"/>
      <c r="D354" s="64"/>
      <c r="E354" s="64"/>
      <c r="F354" s="64"/>
      <c r="G354" s="64"/>
      <c r="H354" s="66"/>
      <c r="I354" s="66"/>
      <c r="J354" s="64"/>
      <c r="K354" s="64"/>
      <c r="L354" s="64"/>
      <c r="M354" s="67" t="str">
        <f aca="false">IF(A354="","",IF(AND(B354&gt;=WeekStart,B354&lt;=WeekEnd),"Yes","No"))</f>
        <v/>
      </c>
      <c r="N354" s="67" t="str">
        <f aca="false">IF(A354="","",IF(L354&lt;&gt;"Verified","Not verified",IF(COUNTIFS(in_CGID,C354,in_ClientID,E354,in_Svc,G354)&gt;0,"Yes","Not entered")))</f>
        <v/>
      </c>
    </row>
    <row r="355" customFormat="false" ht="15" hidden="false" customHeight="false" outlineLevel="0" collapsed="false">
      <c r="A355" s="64"/>
      <c r="B355" s="65"/>
      <c r="C355" s="64"/>
      <c r="D355" s="64"/>
      <c r="E355" s="64"/>
      <c r="F355" s="64"/>
      <c r="G355" s="64"/>
      <c r="H355" s="66"/>
      <c r="I355" s="66"/>
      <c r="J355" s="64"/>
      <c r="K355" s="64"/>
      <c r="L355" s="64"/>
      <c r="M355" s="67" t="str">
        <f aca="false">IF(A355="","",IF(AND(B355&gt;=WeekStart,B355&lt;=WeekEnd),"Yes","No"))</f>
        <v/>
      </c>
      <c r="N355" s="67" t="str">
        <f aca="false">IF(A355="","",IF(L355&lt;&gt;"Verified","Not verified",IF(COUNTIFS(in_CGID,C355,in_ClientID,E355,in_Svc,G355)&gt;0,"Yes","Not entered")))</f>
        <v/>
      </c>
    </row>
    <row r="356" customFormat="false" ht="15" hidden="false" customHeight="false" outlineLevel="0" collapsed="false">
      <c r="A356" s="64"/>
      <c r="B356" s="65"/>
      <c r="C356" s="64"/>
      <c r="D356" s="64"/>
      <c r="E356" s="64"/>
      <c r="F356" s="64"/>
      <c r="G356" s="64"/>
      <c r="H356" s="66"/>
      <c r="I356" s="66"/>
      <c r="J356" s="64"/>
      <c r="K356" s="64"/>
      <c r="L356" s="64"/>
      <c r="M356" s="67" t="str">
        <f aca="false">IF(A356="","",IF(AND(B356&gt;=WeekStart,B356&lt;=WeekEnd),"Yes","No"))</f>
        <v/>
      </c>
      <c r="N356" s="67" t="str">
        <f aca="false">IF(A356="","",IF(L356&lt;&gt;"Verified","Not verified",IF(COUNTIFS(in_CGID,C356,in_ClientID,E356,in_Svc,G356)&gt;0,"Yes","Not entered")))</f>
        <v/>
      </c>
    </row>
    <row r="357" customFormat="false" ht="15" hidden="false" customHeight="false" outlineLevel="0" collapsed="false">
      <c r="A357" s="64"/>
      <c r="B357" s="65"/>
      <c r="C357" s="64"/>
      <c r="D357" s="64"/>
      <c r="E357" s="64"/>
      <c r="F357" s="64"/>
      <c r="G357" s="64"/>
      <c r="H357" s="66"/>
      <c r="I357" s="66"/>
      <c r="J357" s="64"/>
      <c r="K357" s="64"/>
      <c r="L357" s="64"/>
      <c r="M357" s="67" t="str">
        <f aca="false">IF(A357="","",IF(AND(B357&gt;=WeekStart,B357&lt;=WeekEnd),"Yes","No"))</f>
        <v/>
      </c>
      <c r="N357" s="67" t="str">
        <f aca="false">IF(A357="","",IF(L357&lt;&gt;"Verified","Not verified",IF(COUNTIFS(in_CGID,C357,in_ClientID,E357,in_Svc,G357)&gt;0,"Yes","Not entered")))</f>
        <v/>
      </c>
    </row>
    <row r="358" customFormat="false" ht="15" hidden="false" customHeight="false" outlineLevel="0" collapsed="false">
      <c r="A358" s="64"/>
      <c r="B358" s="65"/>
      <c r="C358" s="64"/>
      <c r="D358" s="64"/>
      <c r="E358" s="64"/>
      <c r="F358" s="64"/>
      <c r="G358" s="64"/>
      <c r="H358" s="66"/>
      <c r="I358" s="66"/>
      <c r="J358" s="64"/>
      <c r="K358" s="64"/>
      <c r="L358" s="64"/>
      <c r="M358" s="67" t="str">
        <f aca="false">IF(A358="","",IF(AND(B358&gt;=WeekStart,B358&lt;=WeekEnd),"Yes","No"))</f>
        <v/>
      </c>
      <c r="N358" s="67" t="str">
        <f aca="false">IF(A358="","",IF(L358&lt;&gt;"Verified","Not verified",IF(COUNTIFS(in_CGID,C358,in_ClientID,E358,in_Svc,G358)&gt;0,"Yes","Not entered")))</f>
        <v/>
      </c>
    </row>
    <row r="359" customFormat="false" ht="15" hidden="false" customHeight="false" outlineLevel="0" collapsed="false">
      <c r="A359" s="64"/>
      <c r="B359" s="65"/>
      <c r="C359" s="64"/>
      <c r="D359" s="64"/>
      <c r="E359" s="64"/>
      <c r="F359" s="64"/>
      <c r="G359" s="64"/>
      <c r="H359" s="66"/>
      <c r="I359" s="66"/>
      <c r="J359" s="64"/>
      <c r="K359" s="64"/>
      <c r="L359" s="64"/>
      <c r="M359" s="67" t="str">
        <f aca="false">IF(A359="","",IF(AND(B359&gt;=WeekStart,B359&lt;=WeekEnd),"Yes","No"))</f>
        <v/>
      </c>
      <c r="N359" s="67" t="str">
        <f aca="false">IF(A359="","",IF(L359&lt;&gt;"Verified","Not verified",IF(COUNTIFS(in_CGID,C359,in_ClientID,E359,in_Svc,G359)&gt;0,"Yes","Not entered")))</f>
        <v/>
      </c>
    </row>
    <row r="360" customFormat="false" ht="15" hidden="false" customHeight="false" outlineLevel="0" collapsed="false">
      <c r="A360" s="64"/>
      <c r="B360" s="65"/>
      <c r="C360" s="64"/>
      <c r="D360" s="64"/>
      <c r="E360" s="64"/>
      <c r="F360" s="64"/>
      <c r="G360" s="64"/>
      <c r="H360" s="66"/>
      <c r="I360" s="66"/>
      <c r="J360" s="64"/>
      <c r="K360" s="64"/>
      <c r="L360" s="64"/>
      <c r="M360" s="67" t="str">
        <f aca="false">IF(A360="","",IF(AND(B360&gt;=WeekStart,B360&lt;=WeekEnd),"Yes","No"))</f>
        <v/>
      </c>
      <c r="N360" s="67" t="str">
        <f aca="false">IF(A360="","",IF(L360&lt;&gt;"Verified","Not verified",IF(COUNTIFS(in_CGID,C360,in_ClientID,E360,in_Svc,G360)&gt;0,"Yes","Not entered")))</f>
        <v/>
      </c>
    </row>
    <row r="361" customFormat="false" ht="15" hidden="false" customHeight="false" outlineLevel="0" collapsed="false">
      <c r="A361" s="64"/>
      <c r="B361" s="65"/>
      <c r="C361" s="64"/>
      <c r="D361" s="64"/>
      <c r="E361" s="64"/>
      <c r="F361" s="64"/>
      <c r="G361" s="64"/>
      <c r="H361" s="66"/>
      <c r="I361" s="66"/>
      <c r="J361" s="64"/>
      <c r="K361" s="64"/>
      <c r="L361" s="64"/>
      <c r="M361" s="67" t="str">
        <f aca="false">IF(A361="","",IF(AND(B361&gt;=WeekStart,B361&lt;=WeekEnd),"Yes","No"))</f>
        <v/>
      </c>
      <c r="N361" s="67" t="str">
        <f aca="false">IF(A361="","",IF(L361&lt;&gt;"Verified","Not verified",IF(COUNTIFS(in_CGID,C361,in_ClientID,E361,in_Svc,G361)&gt;0,"Yes","Not entered")))</f>
        <v/>
      </c>
    </row>
    <row r="362" customFormat="false" ht="15" hidden="false" customHeight="false" outlineLevel="0" collapsed="false">
      <c r="A362" s="64"/>
      <c r="B362" s="65"/>
      <c r="C362" s="64"/>
      <c r="D362" s="64"/>
      <c r="E362" s="64"/>
      <c r="F362" s="64"/>
      <c r="G362" s="64"/>
      <c r="H362" s="66"/>
      <c r="I362" s="66"/>
      <c r="J362" s="64"/>
      <c r="K362" s="64"/>
      <c r="L362" s="64"/>
      <c r="M362" s="67" t="str">
        <f aca="false">IF(A362="","",IF(AND(B362&gt;=WeekStart,B362&lt;=WeekEnd),"Yes","No"))</f>
        <v/>
      </c>
      <c r="N362" s="67" t="str">
        <f aca="false">IF(A362="","",IF(L362&lt;&gt;"Verified","Not verified",IF(COUNTIFS(in_CGID,C362,in_ClientID,E362,in_Svc,G362)&gt;0,"Yes","Not entered")))</f>
        <v/>
      </c>
    </row>
    <row r="363" customFormat="false" ht="15" hidden="false" customHeight="false" outlineLevel="0" collapsed="false">
      <c r="A363" s="64"/>
      <c r="B363" s="65"/>
      <c r="C363" s="64"/>
      <c r="D363" s="64"/>
      <c r="E363" s="64"/>
      <c r="F363" s="64"/>
      <c r="G363" s="64"/>
      <c r="H363" s="66"/>
      <c r="I363" s="66"/>
      <c r="J363" s="64"/>
      <c r="K363" s="64"/>
      <c r="L363" s="64"/>
      <c r="M363" s="67" t="str">
        <f aca="false">IF(A363="","",IF(AND(B363&gt;=WeekStart,B363&lt;=WeekEnd),"Yes","No"))</f>
        <v/>
      </c>
      <c r="N363" s="67" t="str">
        <f aca="false">IF(A363="","",IF(L363&lt;&gt;"Verified","Not verified",IF(COUNTIFS(in_CGID,C363,in_ClientID,E363,in_Svc,G363)&gt;0,"Yes","Not entered")))</f>
        <v/>
      </c>
    </row>
    <row r="364" customFormat="false" ht="15" hidden="false" customHeight="false" outlineLevel="0" collapsed="false">
      <c r="A364" s="64"/>
      <c r="B364" s="65"/>
      <c r="C364" s="64"/>
      <c r="D364" s="64"/>
      <c r="E364" s="64"/>
      <c r="F364" s="64"/>
      <c r="G364" s="64"/>
      <c r="H364" s="66"/>
      <c r="I364" s="66"/>
      <c r="J364" s="64"/>
      <c r="K364" s="64"/>
      <c r="L364" s="64"/>
      <c r="M364" s="67" t="str">
        <f aca="false">IF(A364="","",IF(AND(B364&gt;=WeekStart,B364&lt;=WeekEnd),"Yes","No"))</f>
        <v/>
      </c>
      <c r="N364" s="67" t="str">
        <f aca="false">IF(A364="","",IF(L364&lt;&gt;"Verified","Not verified",IF(COUNTIFS(in_CGID,C364,in_ClientID,E364,in_Svc,G364)&gt;0,"Yes","Not entered")))</f>
        <v/>
      </c>
    </row>
    <row r="365" customFormat="false" ht="15" hidden="false" customHeight="false" outlineLevel="0" collapsed="false">
      <c r="A365" s="64"/>
      <c r="B365" s="65"/>
      <c r="C365" s="64"/>
      <c r="D365" s="64"/>
      <c r="E365" s="64"/>
      <c r="F365" s="64"/>
      <c r="G365" s="64"/>
      <c r="H365" s="66"/>
      <c r="I365" s="66"/>
      <c r="J365" s="64"/>
      <c r="K365" s="64"/>
      <c r="L365" s="64"/>
      <c r="M365" s="67" t="str">
        <f aca="false">IF(A365="","",IF(AND(B365&gt;=WeekStart,B365&lt;=WeekEnd),"Yes","No"))</f>
        <v/>
      </c>
      <c r="N365" s="67" t="str">
        <f aca="false">IF(A365="","",IF(L365&lt;&gt;"Verified","Not verified",IF(COUNTIFS(in_CGID,C365,in_ClientID,E365,in_Svc,G365)&gt;0,"Yes","Not entered")))</f>
        <v/>
      </c>
    </row>
    <row r="366" customFormat="false" ht="15" hidden="false" customHeight="false" outlineLevel="0" collapsed="false">
      <c r="A366" s="64"/>
      <c r="B366" s="65"/>
      <c r="C366" s="64"/>
      <c r="D366" s="64"/>
      <c r="E366" s="64"/>
      <c r="F366" s="64"/>
      <c r="G366" s="64"/>
      <c r="H366" s="66"/>
      <c r="I366" s="66"/>
      <c r="J366" s="64"/>
      <c r="K366" s="64"/>
      <c r="L366" s="64"/>
      <c r="M366" s="67" t="str">
        <f aca="false">IF(A366="","",IF(AND(B366&gt;=WeekStart,B366&lt;=WeekEnd),"Yes","No"))</f>
        <v/>
      </c>
      <c r="N366" s="67" t="str">
        <f aca="false">IF(A366="","",IF(L366&lt;&gt;"Verified","Not verified",IF(COUNTIFS(in_CGID,C366,in_ClientID,E366,in_Svc,G366)&gt;0,"Yes","Not entered")))</f>
        <v/>
      </c>
    </row>
    <row r="367" customFormat="false" ht="15" hidden="false" customHeight="false" outlineLevel="0" collapsed="false">
      <c r="A367" s="64"/>
      <c r="B367" s="65"/>
      <c r="C367" s="64"/>
      <c r="D367" s="64"/>
      <c r="E367" s="64"/>
      <c r="F367" s="64"/>
      <c r="G367" s="64"/>
      <c r="H367" s="66"/>
      <c r="I367" s="66"/>
      <c r="J367" s="64"/>
      <c r="K367" s="64"/>
      <c r="L367" s="64"/>
      <c r="M367" s="67" t="str">
        <f aca="false">IF(A367="","",IF(AND(B367&gt;=WeekStart,B367&lt;=WeekEnd),"Yes","No"))</f>
        <v/>
      </c>
      <c r="N367" s="67" t="str">
        <f aca="false">IF(A367="","",IF(L367&lt;&gt;"Verified","Not verified",IF(COUNTIFS(in_CGID,C367,in_ClientID,E367,in_Svc,G367)&gt;0,"Yes","Not entered")))</f>
        <v/>
      </c>
    </row>
    <row r="368" customFormat="false" ht="15" hidden="false" customHeight="false" outlineLevel="0" collapsed="false">
      <c r="A368" s="64"/>
      <c r="B368" s="65"/>
      <c r="C368" s="64"/>
      <c r="D368" s="64"/>
      <c r="E368" s="64"/>
      <c r="F368" s="64"/>
      <c r="G368" s="64"/>
      <c r="H368" s="66"/>
      <c r="I368" s="66"/>
      <c r="J368" s="64"/>
      <c r="K368" s="64"/>
      <c r="L368" s="64"/>
      <c r="M368" s="67" t="str">
        <f aca="false">IF(A368="","",IF(AND(B368&gt;=WeekStart,B368&lt;=WeekEnd),"Yes","No"))</f>
        <v/>
      </c>
      <c r="N368" s="67" t="str">
        <f aca="false">IF(A368="","",IF(L368&lt;&gt;"Verified","Not verified",IF(COUNTIFS(in_CGID,C368,in_ClientID,E368,in_Svc,G368)&gt;0,"Yes","Not entered")))</f>
        <v/>
      </c>
    </row>
    <row r="369" customFormat="false" ht="15" hidden="false" customHeight="false" outlineLevel="0" collapsed="false">
      <c r="A369" s="64"/>
      <c r="B369" s="65"/>
      <c r="C369" s="64"/>
      <c r="D369" s="64"/>
      <c r="E369" s="64"/>
      <c r="F369" s="64"/>
      <c r="G369" s="64"/>
      <c r="H369" s="66"/>
      <c r="I369" s="66"/>
      <c r="J369" s="64"/>
      <c r="K369" s="64"/>
      <c r="L369" s="64"/>
      <c r="M369" s="67" t="str">
        <f aca="false">IF(A369="","",IF(AND(B369&gt;=WeekStart,B369&lt;=WeekEnd),"Yes","No"))</f>
        <v/>
      </c>
      <c r="N369" s="67" t="str">
        <f aca="false">IF(A369="","",IF(L369&lt;&gt;"Verified","Not verified",IF(COUNTIFS(in_CGID,C369,in_ClientID,E369,in_Svc,G369)&gt;0,"Yes","Not entered")))</f>
        <v/>
      </c>
    </row>
    <row r="370" customFormat="false" ht="15" hidden="false" customHeight="false" outlineLevel="0" collapsed="false">
      <c r="A370" s="64"/>
      <c r="B370" s="65"/>
      <c r="C370" s="64"/>
      <c r="D370" s="64"/>
      <c r="E370" s="64"/>
      <c r="F370" s="64"/>
      <c r="G370" s="64"/>
      <c r="H370" s="66"/>
      <c r="I370" s="66"/>
      <c r="J370" s="64"/>
      <c r="K370" s="64"/>
      <c r="L370" s="64"/>
      <c r="M370" s="67" t="str">
        <f aca="false">IF(A370="","",IF(AND(B370&gt;=WeekStart,B370&lt;=WeekEnd),"Yes","No"))</f>
        <v/>
      </c>
      <c r="N370" s="67" t="str">
        <f aca="false">IF(A370="","",IF(L370&lt;&gt;"Verified","Not verified",IF(COUNTIFS(in_CGID,C370,in_ClientID,E370,in_Svc,G370)&gt;0,"Yes","Not entered")))</f>
        <v/>
      </c>
    </row>
    <row r="371" customFormat="false" ht="15" hidden="false" customHeight="false" outlineLevel="0" collapsed="false">
      <c r="A371" s="64"/>
      <c r="B371" s="65"/>
      <c r="C371" s="64"/>
      <c r="D371" s="64"/>
      <c r="E371" s="64"/>
      <c r="F371" s="64"/>
      <c r="G371" s="64"/>
      <c r="H371" s="66"/>
      <c r="I371" s="66"/>
      <c r="J371" s="64"/>
      <c r="K371" s="64"/>
      <c r="L371" s="64"/>
      <c r="M371" s="67" t="str">
        <f aca="false">IF(A371="","",IF(AND(B371&gt;=WeekStart,B371&lt;=WeekEnd),"Yes","No"))</f>
        <v/>
      </c>
      <c r="N371" s="67" t="str">
        <f aca="false">IF(A371="","",IF(L371&lt;&gt;"Verified","Not verified",IF(COUNTIFS(in_CGID,C371,in_ClientID,E371,in_Svc,G371)&gt;0,"Yes","Not entered")))</f>
        <v/>
      </c>
    </row>
    <row r="372" customFormat="false" ht="15" hidden="false" customHeight="false" outlineLevel="0" collapsed="false">
      <c r="A372" s="64"/>
      <c r="B372" s="65"/>
      <c r="C372" s="64"/>
      <c r="D372" s="64"/>
      <c r="E372" s="64"/>
      <c r="F372" s="64"/>
      <c r="G372" s="64"/>
      <c r="H372" s="66"/>
      <c r="I372" s="66"/>
      <c r="J372" s="64"/>
      <c r="K372" s="64"/>
      <c r="L372" s="64"/>
      <c r="M372" s="67" t="str">
        <f aca="false">IF(A372="","",IF(AND(B372&gt;=WeekStart,B372&lt;=WeekEnd),"Yes","No"))</f>
        <v/>
      </c>
      <c r="N372" s="67" t="str">
        <f aca="false">IF(A372="","",IF(L372&lt;&gt;"Verified","Not verified",IF(COUNTIFS(in_CGID,C372,in_ClientID,E372,in_Svc,G372)&gt;0,"Yes","Not entered")))</f>
        <v/>
      </c>
    </row>
    <row r="373" customFormat="false" ht="15" hidden="false" customHeight="false" outlineLevel="0" collapsed="false">
      <c r="A373" s="64"/>
      <c r="B373" s="65"/>
      <c r="C373" s="64"/>
      <c r="D373" s="64"/>
      <c r="E373" s="64"/>
      <c r="F373" s="64"/>
      <c r="G373" s="64"/>
      <c r="H373" s="66"/>
      <c r="I373" s="66"/>
      <c r="J373" s="64"/>
      <c r="K373" s="64"/>
      <c r="L373" s="64"/>
      <c r="M373" s="67" t="str">
        <f aca="false">IF(A373="","",IF(AND(B373&gt;=WeekStart,B373&lt;=WeekEnd),"Yes","No"))</f>
        <v/>
      </c>
      <c r="N373" s="67" t="str">
        <f aca="false">IF(A373="","",IF(L373&lt;&gt;"Verified","Not verified",IF(COUNTIFS(in_CGID,C373,in_ClientID,E373,in_Svc,G373)&gt;0,"Yes","Not entered")))</f>
        <v/>
      </c>
    </row>
    <row r="374" customFormat="false" ht="15" hidden="false" customHeight="false" outlineLevel="0" collapsed="false">
      <c r="A374" s="64"/>
      <c r="B374" s="65"/>
      <c r="C374" s="64"/>
      <c r="D374" s="64"/>
      <c r="E374" s="64"/>
      <c r="F374" s="64"/>
      <c r="G374" s="64"/>
      <c r="H374" s="66"/>
      <c r="I374" s="66"/>
      <c r="J374" s="64"/>
      <c r="K374" s="64"/>
      <c r="L374" s="64"/>
      <c r="M374" s="67" t="str">
        <f aca="false">IF(A374="","",IF(AND(B374&gt;=WeekStart,B374&lt;=WeekEnd),"Yes","No"))</f>
        <v/>
      </c>
      <c r="N374" s="67" t="str">
        <f aca="false">IF(A374="","",IF(L374&lt;&gt;"Verified","Not verified",IF(COUNTIFS(in_CGID,C374,in_ClientID,E374,in_Svc,G374)&gt;0,"Yes","Not entered")))</f>
        <v/>
      </c>
    </row>
    <row r="375" customFormat="false" ht="15" hidden="false" customHeight="false" outlineLevel="0" collapsed="false">
      <c r="A375" s="64"/>
      <c r="B375" s="65"/>
      <c r="C375" s="64"/>
      <c r="D375" s="64"/>
      <c r="E375" s="64"/>
      <c r="F375" s="64"/>
      <c r="G375" s="64"/>
      <c r="H375" s="66"/>
      <c r="I375" s="66"/>
      <c r="J375" s="64"/>
      <c r="K375" s="64"/>
      <c r="L375" s="64"/>
      <c r="M375" s="67" t="str">
        <f aca="false">IF(A375="","",IF(AND(B375&gt;=WeekStart,B375&lt;=WeekEnd),"Yes","No"))</f>
        <v/>
      </c>
      <c r="N375" s="67" t="str">
        <f aca="false">IF(A375="","",IF(L375&lt;&gt;"Verified","Not verified",IF(COUNTIFS(in_CGID,C375,in_ClientID,E375,in_Svc,G375)&gt;0,"Yes","Not entered")))</f>
        <v/>
      </c>
    </row>
    <row r="376" customFormat="false" ht="15" hidden="false" customHeight="false" outlineLevel="0" collapsed="false">
      <c r="A376" s="64"/>
      <c r="B376" s="65"/>
      <c r="C376" s="64"/>
      <c r="D376" s="64"/>
      <c r="E376" s="64"/>
      <c r="F376" s="64"/>
      <c r="G376" s="64"/>
      <c r="H376" s="66"/>
      <c r="I376" s="66"/>
      <c r="J376" s="64"/>
      <c r="K376" s="64"/>
      <c r="L376" s="64"/>
      <c r="M376" s="67" t="str">
        <f aca="false">IF(A376="","",IF(AND(B376&gt;=WeekStart,B376&lt;=WeekEnd),"Yes","No"))</f>
        <v/>
      </c>
      <c r="N376" s="67" t="str">
        <f aca="false">IF(A376="","",IF(L376&lt;&gt;"Verified","Not verified",IF(COUNTIFS(in_CGID,C376,in_ClientID,E376,in_Svc,G376)&gt;0,"Yes","Not entered")))</f>
        <v/>
      </c>
    </row>
    <row r="377" customFormat="false" ht="15" hidden="false" customHeight="false" outlineLevel="0" collapsed="false">
      <c r="A377" s="64"/>
      <c r="B377" s="65"/>
      <c r="C377" s="64"/>
      <c r="D377" s="64"/>
      <c r="E377" s="64"/>
      <c r="F377" s="64"/>
      <c r="G377" s="64"/>
      <c r="H377" s="66"/>
      <c r="I377" s="66"/>
      <c r="J377" s="64"/>
      <c r="K377" s="64"/>
      <c r="L377" s="64"/>
      <c r="M377" s="67" t="str">
        <f aca="false">IF(A377="","",IF(AND(B377&gt;=WeekStart,B377&lt;=WeekEnd),"Yes","No"))</f>
        <v/>
      </c>
      <c r="N377" s="67" t="str">
        <f aca="false">IF(A377="","",IF(L377&lt;&gt;"Verified","Not verified",IF(COUNTIFS(in_CGID,C377,in_ClientID,E377,in_Svc,G377)&gt;0,"Yes","Not entered")))</f>
        <v/>
      </c>
    </row>
    <row r="378" customFormat="false" ht="15" hidden="false" customHeight="false" outlineLevel="0" collapsed="false">
      <c r="A378" s="64"/>
      <c r="B378" s="65"/>
      <c r="C378" s="64"/>
      <c r="D378" s="64"/>
      <c r="E378" s="64"/>
      <c r="F378" s="64"/>
      <c r="G378" s="64"/>
      <c r="H378" s="66"/>
      <c r="I378" s="66"/>
      <c r="J378" s="64"/>
      <c r="K378" s="64"/>
      <c r="L378" s="64"/>
      <c r="M378" s="67" t="str">
        <f aca="false">IF(A378="","",IF(AND(B378&gt;=WeekStart,B378&lt;=WeekEnd),"Yes","No"))</f>
        <v/>
      </c>
      <c r="N378" s="67" t="str">
        <f aca="false">IF(A378="","",IF(L378&lt;&gt;"Verified","Not verified",IF(COUNTIFS(in_CGID,C378,in_ClientID,E378,in_Svc,G378)&gt;0,"Yes","Not entered")))</f>
        <v/>
      </c>
    </row>
    <row r="379" customFormat="false" ht="15" hidden="false" customHeight="false" outlineLevel="0" collapsed="false">
      <c r="A379" s="64"/>
      <c r="B379" s="65"/>
      <c r="C379" s="64"/>
      <c r="D379" s="64"/>
      <c r="E379" s="64"/>
      <c r="F379" s="64"/>
      <c r="G379" s="64"/>
      <c r="H379" s="66"/>
      <c r="I379" s="66"/>
      <c r="J379" s="64"/>
      <c r="K379" s="64"/>
      <c r="L379" s="64"/>
      <c r="M379" s="67" t="str">
        <f aca="false">IF(A379="","",IF(AND(B379&gt;=WeekStart,B379&lt;=WeekEnd),"Yes","No"))</f>
        <v/>
      </c>
      <c r="N379" s="67" t="str">
        <f aca="false">IF(A379="","",IF(L379&lt;&gt;"Verified","Not verified",IF(COUNTIFS(in_CGID,C379,in_ClientID,E379,in_Svc,G379)&gt;0,"Yes","Not entered")))</f>
        <v/>
      </c>
    </row>
    <row r="380" customFormat="false" ht="15" hidden="false" customHeight="false" outlineLevel="0" collapsed="false">
      <c r="A380" s="64"/>
      <c r="B380" s="65"/>
      <c r="C380" s="64"/>
      <c r="D380" s="64"/>
      <c r="E380" s="64"/>
      <c r="F380" s="64"/>
      <c r="G380" s="64"/>
      <c r="H380" s="66"/>
      <c r="I380" s="66"/>
      <c r="J380" s="64"/>
      <c r="K380" s="64"/>
      <c r="L380" s="64"/>
      <c r="M380" s="67" t="str">
        <f aca="false">IF(A380="","",IF(AND(B380&gt;=WeekStart,B380&lt;=WeekEnd),"Yes","No"))</f>
        <v/>
      </c>
      <c r="N380" s="67" t="str">
        <f aca="false">IF(A380="","",IF(L380&lt;&gt;"Verified","Not verified",IF(COUNTIFS(in_CGID,C380,in_ClientID,E380,in_Svc,G380)&gt;0,"Yes","Not entered")))</f>
        <v/>
      </c>
    </row>
    <row r="381" customFormat="false" ht="15" hidden="false" customHeight="false" outlineLevel="0" collapsed="false">
      <c r="A381" s="64"/>
      <c r="B381" s="65"/>
      <c r="C381" s="64"/>
      <c r="D381" s="64"/>
      <c r="E381" s="64"/>
      <c r="F381" s="64"/>
      <c r="G381" s="64"/>
      <c r="H381" s="66"/>
      <c r="I381" s="66"/>
      <c r="J381" s="64"/>
      <c r="K381" s="64"/>
      <c r="L381" s="64"/>
      <c r="M381" s="67" t="str">
        <f aca="false">IF(A381="","",IF(AND(B381&gt;=WeekStart,B381&lt;=WeekEnd),"Yes","No"))</f>
        <v/>
      </c>
      <c r="N381" s="67" t="str">
        <f aca="false">IF(A381="","",IF(L381&lt;&gt;"Verified","Not verified",IF(COUNTIFS(in_CGID,C381,in_ClientID,E381,in_Svc,G381)&gt;0,"Yes","Not entered")))</f>
        <v/>
      </c>
    </row>
    <row r="382" customFormat="false" ht="15" hidden="false" customHeight="false" outlineLevel="0" collapsed="false">
      <c r="A382" s="64"/>
      <c r="B382" s="65"/>
      <c r="C382" s="64"/>
      <c r="D382" s="64"/>
      <c r="E382" s="64"/>
      <c r="F382" s="64"/>
      <c r="G382" s="64"/>
      <c r="H382" s="66"/>
      <c r="I382" s="66"/>
      <c r="J382" s="64"/>
      <c r="K382" s="64"/>
      <c r="L382" s="64"/>
      <c r="M382" s="67" t="str">
        <f aca="false">IF(A382="","",IF(AND(B382&gt;=WeekStart,B382&lt;=WeekEnd),"Yes","No"))</f>
        <v/>
      </c>
      <c r="N382" s="67" t="str">
        <f aca="false">IF(A382="","",IF(L382&lt;&gt;"Verified","Not verified",IF(COUNTIFS(in_CGID,C382,in_ClientID,E382,in_Svc,G382)&gt;0,"Yes","Not entered")))</f>
        <v/>
      </c>
    </row>
    <row r="383" customFormat="false" ht="15" hidden="false" customHeight="false" outlineLevel="0" collapsed="false">
      <c r="A383" s="64"/>
      <c r="B383" s="65"/>
      <c r="C383" s="64"/>
      <c r="D383" s="64"/>
      <c r="E383" s="64"/>
      <c r="F383" s="64"/>
      <c r="G383" s="64"/>
      <c r="H383" s="66"/>
      <c r="I383" s="66"/>
      <c r="J383" s="64"/>
      <c r="K383" s="64"/>
      <c r="L383" s="64"/>
      <c r="M383" s="67" t="str">
        <f aca="false">IF(A383="","",IF(AND(B383&gt;=WeekStart,B383&lt;=WeekEnd),"Yes","No"))</f>
        <v/>
      </c>
      <c r="N383" s="67" t="str">
        <f aca="false">IF(A383="","",IF(L383&lt;&gt;"Verified","Not verified",IF(COUNTIFS(in_CGID,C383,in_ClientID,E383,in_Svc,G383)&gt;0,"Yes","Not entered")))</f>
        <v/>
      </c>
    </row>
    <row r="384" customFormat="false" ht="15" hidden="false" customHeight="false" outlineLevel="0" collapsed="false">
      <c r="A384" s="64"/>
      <c r="B384" s="65"/>
      <c r="C384" s="64"/>
      <c r="D384" s="64"/>
      <c r="E384" s="64"/>
      <c r="F384" s="64"/>
      <c r="G384" s="64"/>
      <c r="H384" s="66"/>
      <c r="I384" s="66"/>
      <c r="J384" s="64"/>
      <c r="K384" s="64"/>
      <c r="L384" s="64"/>
      <c r="M384" s="67" t="str">
        <f aca="false">IF(A384="","",IF(AND(B384&gt;=WeekStart,B384&lt;=WeekEnd),"Yes","No"))</f>
        <v/>
      </c>
      <c r="N384" s="67" t="str">
        <f aca="false">IF(A384="","",IF(L384&lt;&gt;"Verified","Not verified",IF(COUNTIFS(in_CGID,C384,in_ClientID,E384,in_Svc,G384)&gt;0,"Yes","Not entered")))</f>
        <v/>
      </c>
    </row>
    <row r="385" customFormat="false" ht="15" hidden="false" customHeight="false" outlineLevel="0" collapsed="false">
      <c r="A385" s="64"/>
      <c r="B385" s="65"/>
      <c r="C385" s="64"/>
      <c r="D385" s="64"/>
      <c r="E385" s="64"/>
      <c r="F385" s="64"/>
      <c r="G385" s="64"/>
      <c r="H385" s="66"/>
      <c r="I385" s="66"/>
      <c r="J385" s="64"/>
      <c r="K385" s="64"/>
      <c r="L385" s="64"/>
      <c r="M385" s="67" t="str">
        <f aca="false">IF(A385="","",IF(AND(B385&gt;=WeekStart,B385&lt;=WeekEnd),"Yes","No"))</f>
        <v/>
      </c>
      <c r="N385" s="67" t="str">
        <f aca="false">IF(A385="","",IF(L385&lt;&gt;"Verified","Not verified",IF(COUNTIFS(in_CGID,C385,in_ClientID,E385,in_Svc,G385)&gt;0,"Yes","Not entered")))</f>
        <v/>
      </c>
    </row>
    <row r="386" customFormat="false" ht="15" hidden="false" customHeight="false" outlineLevel="0" collapsed="false">
      <c r="A386" s="64"/>
      <c r="B386" s="65"/>
      <c r="C386" s="64"/>
      <c r="D386" s="64"/>
      <c r="E386" s="64"/>
      <c r="F386" s="64"/>
      <c r="G386" s="64"/>
      <c r="H386" s="66"/>
      <c r="I386" s="66"/>
      <c r="J386" s="64"/>
      <c r="K386" s="64"/>
      <c r="L386" s="64"/>
      <c r="M386" s="67" t="str">
        <f aca="false">IF(A386="","",IF(AND(B386&gt;=WeekStart,B386&lt;=WeekEnd),"Yes","No"))</f>
        <v/>
      </c>
      <c r="N386" s="67" t="str">
        <f aca="false">IF(A386="","",IF(L386&lt;&gt;"Verified","Not verified",IF(COUNTIFS(in_CGID,C386,in_ClientID,E386,in_Svc,G386)&gt;0,"Yes","Not entered")))</f>
        <v/>
      </c>
    </row>
    <row r="387" customFormat="false" ht="15" hidden="false" customHeight="false" outlineLevel="0" collapsed="false">
      <c r="A387" s="64"/>
      <c r="B387" s="65"/>
      <c r="C387" s="64"/>
      <c r="D387" s="64"/>
      <c r="E387" s="64"/>
      <c r="F387" s="64"/>
      <c r="G387" s="64"/>
      <c r="H387" s="66"/>
      <c r="I387" s="66"/>
      <c r="J387" s="64"/>
      <c r="K387" s="64"/>
      <c r="L387" s="64"/>
      <c r="M387" s="67" t="str">
        <f aca="false">IF(A387="","",IF(AND(B387&gt;=WeekStart,B387&lt;=WeekEnd),"Yes","No"))</f>
        <v/>
      </c>
      <c r="N387" s="67" t="str">
        <f aca="false">IF(A387="","",IF(L387&lt;&gt;"Verified","Not verified",IF(COUNTIFS(in_CGID,C387,in_ClientID,E387,in_Svc,G387)&gt;0,"Yes","Not entered")))</f>
        <v/>
      </c>
    </row>
    <row r="388" customFormat="false" ht="15" hidden="false" customHeight="false" outlineLevel="0" collapsed="false">
      <c r="A388" s="64"/>
      <c r="B388" s="65"/>
      <c r="C388" s="64"/>
      <c r="D388" s="64"/>
      <c r="E388" s="64"/>
      <c r="F388" s="64"/>
      <c r="G388" s="64"/>
      <c r="H388" s="66"/>
      <c r="I388" s="66"/>
      <c r="J388" s="64"/>
      <c r="K388" s="64"/>
      <c r="L388" s="64"/>
      <c r="M388" s="67" t="str">
        <f aca="false">IF(A388="","",IF(AND(B388&gt;=WeekStart,B388&lt;=WeekEnd),"Yes","No"))</f>
        <v/>
      </c>
      <c r="N388" s="67" t="str">
        <f aca="false">IF(A388="","",IF(L388&lt;&gt;"Verified","Not verified",IF(COUNTIFS(in_CGID,C388,in_ClientID,E388,in_Svc,G388)&gt;0,"Yes","Not entered")))</f>
        <v/>
      </c>
    </row>
    <row r="389" customFormat="false" ht="15" hidden="false" customHeight="false" outlineLevel="0" collapsed="false">
      <c r="A389" s="64"/>
      <c r="B389" s="65"/>
      <c r="C389" s="64"/>
      <c r="D389" s="64"/>
      <c r="E389" s="64"/>
      <c r="F389" s="64"/>
      <c r="G389" s="64"/>
      <c r="H389" s="66"/>
      <c r="I389" s="66"/>
      <c r="J389" s="64"/>
      <c r="K389" s="64"/>
      <c r="L389" s="64"/>
      <c r="M389" s="67" t="str">
        <f aca="false">IF(A389="","",IF(AND(B389&gt;=WeekStart,B389&lt;=WeekEnd),"Yes","No"))</f>
        <v/>
      </c>
      <c r="N389" s="67" t="str">
        <f aca="false">IF(A389="","",IF(L389&lt;&gt;"Verified","Not verified",IF(COUNTIFS(in_CGID,C389,in_ClientID,E389,in_Svc,G389)&gt;0,"Yes","Not entered")))</f>
        <v/>
      </c>
    </row>
    <row r="390" customFormat="false" ht="15" hidden="false" customHeight="false" outlineLevel="0" collapsed="false">
      <c r="A390" s="64"/>
      <c r="B390" s="65"/>
      <c r="C390" s="64"/>
      <c r="D390" s="64"/>
      <c r="E390" s="64"/>
      <c r="F390" s="64"/>
      <c r="G390" s="64"/>
      <c r="H390" s="66"/>
      <c r="I390" s="66"/>
      <c r="J390" s="64"/>
      <c r="K390" s="64"/>
      <c r="L390" s="64"/>
      <c r="M390" s="67" t="str">
        <f aca="false">IF(A390="","",IF(AND(B390&gt;=WeekStart,B390&lt;=WeekEnd),"Yes","No"))</f>
        <v/>
      </c>
      <c r="N390" s="67" t="str">
        <f aca="false">IF(A390="","",IF(L390&lt;&gt;"Verified","Not verified",IF(COUNTIFS(in_CGID,C390,in_ClientID,E390,in_Svc,G390)&gt;0,"Yes","Not entered")))</f>
        <v/>
      </c>
    </row>
    <row r="391" customFormat="false" ht="15" hidden="false" customHeight="false" outlineLevel="0" collapsed="false">
      <c r="A391" s="64"/>
      <c r="B391" s="65"/>
      <c r="C391" s="64"/>
      <c r="D391" s="64"/>
      <c r="E391" s="64"/>
      <c r="F391" s="64"/>
      <c r="G391" s="64"/>
      <c r="H391" s="66"/>
      <c r="I391" s="66"/>
      <c r="J391" s="64"/>
      <c r="K391" s="64"/>
      <c r="L391" s="64"/>
      <c r="M391" s="67" t="str">
        <f aca="false">IF(A391="","",IF(AND(B391&gt;=WeekStart,B391&lt;=WeekEnd),"Yes","No"))</f>
        <v/>
      </c>
      <c r="N391" s="67" t="str">
        <f aca="false">IF(A391="","",IF(L391&lt;&gt;"Verified","Not verified",IF(COUNTIFS(in_CGID,C391,in_ClientID,E391,in_Svc,G391)&gt;0,"Yes","Not entered")))</f>
        <v/>
      </c>
    </row>
    <row r="392" customFormat="false" ht="15" hidden="false" customHeight="false" outlineLevel="0" collapsed="false">
      <c r="A392" s="64"/>
      <c r="B392" s="65"/>
      <c r="C392" s="64"/>
      <c r="D392" s="64"/>
      <c r="E392" s="64"/>
      <c r="F392" s="64"/>
      <c r="G392" s="64"/>
      <c r="H392" s="66"/>
      <c r="I392" s="66"/>
      <c r="J392" s="64"/>
      <c r="K392" s="64"/>
      <c r="L392" s="64"/>
      <c r="M392" s="67" t="str">
        <f aca="false">IF(A392="","",IF(AND(B392&gt;=WeekStart,B392&lt;=WeekEnd),"Yes","No"))</f>
        <v/>
      </c>
      <c r="N392" s="67" t="str">
        <f aca="false">IF(A392="","",IF(L392&lt;&gt;"Verified","Not verified",IF(COUNTIFS(in_CGID,C392,in_ClientID,E392,in_Svc,G392)&gt;0,"Yes","Not entered")))</f>
        <v/>
      </c>
    </row>
    <row r="393" customFormat="false" ht="15" hidden="false" customHeight="false" outlineLevel="0" collapsed="false">
      <c r="A393" s="64"/>
      <c r="B393" s="65"/>
      <c r="C393" s="64"/>
      <c r="D393" s="64"/>
      <c r="E393" s="64"/>
      <c r="F393" s="64"/>
      <c r="G393" s="64"/>
      <c r="H393" s="66"/>
      <c r="I393" s="66"/>
      <c r="J393" s="64"/>
      <c r="K393" s="64"/>
      <c r="L393" s="64"/>
      <c r="M393" s="67" t="str">
        <f aca="false">IF(A393="","",IF(AND(B393&gt;=WeekStart,B393&lt;=WeekEnd),"Yes","No"))</f>
        <v/>
      </c>
      <c r="N393" s="67" t="str">
        <f aca="false">IF(A393="","",IF(L393&lt;&gt;"Verified","Not verified",IF(COUNTIFS(in_CGID,C393,in_ClientID,E393,in_Svc,G393)&gt;0,"Yes","Not entered")))</f>
        <v/>
      </c>
    </row>
    <row r="394" customFormat="false" ht="15" hidden="false" customHeight="false" outlineLevel="0" collapsed="false">
      <c r="A394" s="64"/>
      <c r="B394" s="65"/>
      <c r="C394" s="64"/>
      <c r="D394" s="64"/>
      <c r="E394" s="64"/>
      <c r="F394" s="64"/>
      <c r="G394" s="64"/>
      <c r="H394" s="66"/>
      <c r="I394" s="66"/>
      <c r="J394" s="64"/>
      <c r="K394" s="64"/>
      <c r="L394" s="64"/>
      <c r="M394" s="67" t="str">
        <f aca="false">IF(A394="","",IF(AND(B394&gt;=WeekStart,B394&lt;=WeekEnd),"Yes","No"))</f>
        <v/>
      </c>
      <c r="N394" s="67" t="str">
        <f aca="false">IF(A394="","",IF(L394&lt;&gt;"Verified","Not verified",IF(COUNTIFS(in_CGID,C394,in_ClientID,E394,in_Svc,G394)&gt;0,"Yes","Not entered")))</f>
        <v/>
      </c>
    </row>
    <row r="395" customFormat="false" ht="15" hidden="false" customHeight="false" outlineLevel="0" collapsed="false">
      <c r="A395" s="64"/>
      <c r="B395" s="65"/>
      <c r="C395" s="64"/>
      <c r="D395" s="64"/>
      <c r="E395" s="64"/>
      <c r="F395" s="64"/>
      <c r="G395" s="64"/>
      <c r="H395" s="66"/>
      <c r="I395" s="66"/>
      <c r="J395" s="64"/>
      <c r="K395" s="64"/>
      <c r="L395" s="64"/>
      <c r="M395" s="67" t="str">
        <f aca="false">IF(A395="","",IF(AND(B395&gt;=WeekStart,B395&lt;=WeekEnd),"Yes","No"))</f>
        <v/>
      </c>
      <c r="N395" s="67" t="str">
        <f aca="false">IF(A395="","",IF(L395&lt;&gt;"Verified","Not verified",IF(COUNTIFS(in_CGID,C395,in_ClientID,E395,in_Svc,G395)&gt;0,"Yes","Not entered")))</f>
        <v/>
      </c>
    </row>
    <row r="396" customFormat="false" ht="15" hidden="false" customHeight="false" outlineLevel="0" collapsed="false">
      <c r="A396" s="64"/>
      <c r="B396" s="65"/>
      <c r="C396" s="64"/>
      <c r="D396" s="64"/>
      <c r="E396" s="64"/>
      <c r="F396" s="64"/>
      <c r="G396" s="64"/>
      <c r="H396" s="66"/>
      <c r="I396" s="66"/>
      <c r="J396" s="64"/>
      <c r="K396" s="64"/>
      <c r="L396" s="64"/>
      <c r="M396" s="67" t="str">
        <f aca="false">IF(A396="","",IF(AND(B396&gt;=WeekStart,B396&lt;=WeekEnd),"Yes","No"))</f>
        <v/>
      </c>
      <c r="N396" s="67" t="str">
        <f aca="false">IF(A396="","",IF(L396&lt;&gt;"Verified","Not verified",IF(COUNTIFS(in_CGID,C396,in_ClientID,E396,in_Svc,G396)&gt;0,"Yes","Not entered")))</f>
        <v/>
      </c>
    </row>
    <row r="397" customFormat="false" ht="15" hidden="false" customHeight="false" outlineLevel="0" collapsed="false">
      <c r="A397" s="64"/>
      <c r="B397" s="65"/>
      <c r="C397" s="64"/>
      <c r="D397" s="64"/>
      <c r="E397" s="64"/>
      <c r="F397" s="64"/>
      <c r="G397" s="64"/>
      <c r="H397" s="66"/>
      <c r="I397" s="66"/>
      <c r="J397" s="64"/>
      <c r="K397" s="64"/>
      <c r="L397" s="64"/>
      <c r="M397" s="67" t="str">
        <f aca="false">IF(A397="","",IF(AND(B397&gt;=WeekStart,B397&lt;=WeekEnd),"Yes","No"))</f>
        <v/>
      </c>
      <c r="N397" s="67" t="str">
        <f aca="false">IF(A397="","",IF(L397&lt;&gt;"Verified","Not verified",IF(COUNTIFS(in_CGID,C397,in_ClientID,E397,in_Svc,G397)&gt;0,"Yes","Not entered")))</f>
        <v/>
      </c>
    </row>
    <row r="398" customFormat="false" ht="15" hidden="false" customHeight="false" outlineLevel="0" collapsed="false">
      <c r="A398" s="64"/>
      <c r="B398" s="65"/>
      <c r="C398" s="64"/>
      <c r="D398" s="64"/>
      <c r="E398" s="64"/>
      <c r="F398" s="64"/>
      <c r="G398" s="64"/>
      <c r="H398" s="66"/>
      <c r="I398" s="66"/>
      <c r="J398" s="64"/>
      <c r="K398" s="64"/>
      <c r="L398" s="64"/>
      <c r="M398" s="67" t="str">
        <f aca="false">IF(A398="","",IF(AND(B398&gt;=WeekStart,B398&lt;=WeekEnd),"Yes","No"))</f>
        <v/>
      </c>
      <c r="N398" s="67" t="str">
        <f aca="false">IF(A398="","",IF(L398&lt;&gt;"Verified","Not verified",IF(COUNTIFS(in_CGID,C398,in_ClientID,E398,in_Svc,G398)&gt;0,"Yes","Not entered")))</f>
        <v/>
      </c>
    </row>
    <row r="399" customFormat="false" ht="15" hidden="false" customHeight="false" outlineLevel="0" collapsed="false">
      <c r="A399" s="64"/>
      <c r="B399" s="65"/>
      <c r="C399" s="64"/>
      <c r="D399" s="64"/>
      <c r="E399" s="64"/>
      <c r="F399" s="64"/>
      <c r="G399" s="64"/>
      <c r="H399" s="66"/>
      <c r="I399" s="66"/>
      <c r="J399" s="64"/>
      <c r="K399" s="64"/>
      <c r="L399" s="64"/>
      <c r="M399" s="67" t="str">
        <f aca="false">IF(A399="","",IF(AND(B399&gt;=WeekStart,B399&lt;=WeekEnd),"Yes","No"))</f>
        <v/>
      </c>
      <c r="N399" s="67" t="str">
        <f aca="false">IF(A399="","",IF(L399&lt;&gt;"Verified","Not verified",IF(COUNTIFS(in_CGID,C399,in_ClientID,E399,in_Svc,G399)&gt;0,"Yes","Not entered")))</f>
        <v/>
      </c>
    </row>
    <row r="400" customFormat="false" ht="15" hidden="false" customHeight="false" outlineLevel="0" collapsed="false">
      <c r="A400" s="64"/>
      <c r="B400" s="65"/>
      <c r="C400" s="64"/>
      <c r="D400" s="64"/>
      <c r="E400" s="64"/>
      <c r="F400" s="64"/>
      <c r="G400" s="64"/>
      <c r="H400" s="66"/>
      <c r="I400" s="66"/>
      <c r="J400" s="64"/>
      <c r="K400" s="64"/>
      <c r="L400" s="64"/>
      <c r="M400" s="67" t="str">
        <f aca="false">IF(A400="","",IF(AND(B400&gt;=WeekStart,B400&lt;=WeekEnd),"Yes","No"))</f>
        <v/>
      </c>
      <c r="N400" s="67" t="str">
        <f aca="false">IF(A400="","",IF(L400&lt;&gt;"Verified","Not verified",IF(COUNTIFS(in_CGID,C400,in_ClientID,E400,in_Svc,G400)&gt;0,"Yes","Not entered")))</f>
        <v/>
      </c>
    </row>
    <row r="401" customFormat="false" ht="15" hidden="false" customHeight="false" outlineLevel="0" collapsed="false">
      <c r="A401" s="64"/>
      <c r="B401" s="65"/>
      <c r="C401" s="64"/>
      <c r="D401" s="64"/>
      <c r="E401" s="64"/>
      <c r="F401" s="64"/>
      <c r="G401" s="64"/>
      <c r="H401" s="66"/>
      <c r="I401" s="66"/>
      <c r="J401" s="64"/>
      <c r="K401" s="64"/>
      <c r="L401" s="64"/>
      <c r="M401" s="67" t="str">
        <f aca="false">IF(A401="","",IF(AND(B401&gt;=WeekStart,B401&lt;=WeekEnd),"Yes","No"))</f>
        <v/>
      </c>
      <c r="N401" s="67" t="str">
        <f aca="false">IF(A401="","",IF(L401&lt;&gt;"Verified","Not verified",IF(COUNTIFS(in_CGID,C401,in_ClientID,E401,in_Svc,G401)&gt;0,"Yes","Not entered")))</f>
        <v/>
      </c>
    </row>
    <row r="402" customFormat="false" ht="15" hidden="false" customHeight="false" outlineLevel="0" collapsed="false">
      <c r="A402" s="64"/>
      <c r="B402" s="65"/>
      <c r="C402" s="64"/>
      <c r="D402" s="64"/>
      <c r="E402" s="64"/>
      <c r="F402" s="64"/>
      <c r="G402" s="64"/>
      <c r="H402" s="66"/>
      <c r="I402" s="66"/>
      <c r="J402" s="64"/>
      <c r="K402" s="64"/>
      <c r="L402" s="64"/>
      <c r="M402" s="67" t="str">
        <f aca="false">IF(A402="","",IF(AND(B402&gt;=WeekStart,B402&lt;=WeekEnd),"Yes","No"))</f>
        <v/>
      </c>
      <c r="N402" s="67" t="str">
        <f aca="false">IF(A402="","",IF(L402&lt;&gt;"Verified","Not verified",IF(COUNTIFS(in_CGID,C402,in_ClientID,E402,in_Svc,G402)&gt;0,"Yes","Not entered")))</f>
        <v/>
      </c>
    </row>
    <row r="403" customFormat="false" ht="15" hidden="false" customHeight="false" outlineLevel="0" collapsed="false">
      <c r="A403" s="64"/>
      <c r="B403" s="65"/>
      <c r="C403" s="64"/>
      <c r="D403" s="64"/>
      <c r="E403" s="64"/>
      <c r="F403" s="64"/>
      <c r="G403" s="64"/>
      <c r="H403" s="66"/>
      <c r="I403" s="66"/>
      <c r="J403" s="64"/>
      <c r="K403" s="64"/>
      <c r="L403" s="64"/>
      <c r="M403" s="67" t="str">
        <f aca="false">IF(A403="","",IF(AND(B403&gt;=WeekStart,B403&lt;=WeekEnd),"Yes","No"))</f>
        <v/>
      </c>
      <c r="N403" s="67" t="str">
        <f aca="false">IF(A403="","",IF(L403&lt;&gt;"Verified","Not verified",IF(COUNTIFS(in_CGID,C403,in_ClientID,E403,in_Svc,G403)&gt;0,"Yes","Not entered")))</f>
        <v/>
      </c>
    </row>
    <row r="404" customFormat="false" ht="15" hidden="false" customHeight="false" outlineLevel="0" collapsed="false">
      <c r="A404" s="64"/>
      <c r="B404" s="65"/>
      <c r="C404" s="64"/>
      <c r="D404" s="64"/>
      <c r="E404" s="64"/>
      <c r="F404" s="64"/>
      <c r="G404" s="64"/>
      <c r="H404" s="66"/>
      <c r="I404" s="66"/>
      <c r="J404" s="64"/>
      <c r="K404" s="64"/>
      <c r="L404" s="64"/>
      <c r="M404" s="67" t="str">
        <f aca="false">IF(A404="","",IF(AND(B404&gt;=WeekStart,B404&lt;=WeekEnd),"Yes","No"))</f>
        <v/>
      </c>
      <c r="N404" s="67" t="str">
        <f aca="false">IF(A404="","",IF(L404&lt;&gt;"Verified","Not verified",IF(COUNTIFS(in_CGID,C404,in_ClientID,E404,in_Svc,G404)&gt;0,"Yes","Not entered")))</f>
        <v/>
      </c>
    </row>
    <row r="405" customFormat="false" ht="15" hidden="false" customHeight="false" outlineLevel="0" collapsed="false">
      <c r="A405" s="64"/>
      <c r="B405" s="65"/>
      <c r="C405" s="64"/>
      <c r="D405" s="64"/>
      <c r="E405" s="64"/>
      <c r="F405" s="64"/>
      <c r="G405" s="64"/>
      <c r="H405" s="66"/>
      <c r="I405" s="66"/>
      <c r="J405" s="64"/>
      <c r="K405" s="64"/>
      <c r="L405" s="64"/>
      <c r="M405" s="67" t="str">
        <f aca="false">IF(A405="","",IF(AND(B405&gt;=WeekStart,B405&lt;=WeekEnd),"Yes","No"))</f>
        <v/>
      </c>
      <c r="N405" s="67" t="str">
        <f aca="false">IF(A405="","",IF(L405&lt;&gt;"Verified","Not verified",IF(COUNTIFS(in_CGID,C405,in_ClientID,E405,in_Svc,G405)&gt;0,"Yes","Not entered")))</f>
        <v/>
      </c>
    </row>
    <row r="406" customFormat="false" ht="15" hidden="false" customHeight="false" outlineLevel="0" collapsed="false">
      <c r="A406" s="64"/>
      <c r="B406" s="65"/>
      <c r="C406" s="64"/>
      <c r="D406" s="64"/>
      <c r="E406" s="64"/>
      <c r="F406" s="64"/>
      <c r="G406" s="64"/>
      <c r="H406" s="66"/>
      <c r="I406" s="66"/>
      <c r="J406" s="64"/>
      <c r="K406" s="64"/>
      <c r="L406" s="64"/>
      <c r="M406" s="67" t="str">
        <f aca="false">IF(A406="","",IF(AND(B406&gt;=WeekStart,B406&lt;=WeekEnd),"Yes","No"))</f>
        <v/>
      </c>
      <c r="N406" s="67" t="str">
        <f aca="false">IF(A406="","",IF(L406&lt;&gt;"Verified","Not verified",IF(COUNTIFS(in_CGID,C406,in_ClientID,E406,in_Svc,G406)&gt;0,"Yes","Not entered")))</f>
        <v/>
      </c>
    </row>
    <row r="407" customFormat="false" ht="15" hidden="false" customHeight="false" outlineLevel="0" collapsed="false">
      <c r="A407" s="64"/>
      <c r="B407" s="65"/>
      <c r="C407" s="64"/>
      <c r="D407" s="64"/>
      <c r="E407" s="64"/>
      <c r="F407" s="64"/>
      <c r="G407" s="64"/>
      <c r="H407" s="66"/>
      <c r="I407" s="66"/>
      <c r="J407" s="64"/>
      <c r="K407" s="64"/>
      <c r="L407" s="64"/>
      <c r="M407" s="67" t="str">
        <f aca="false">IF(A407="","",IF(AND(B407&gt;=WeekStart,B407&lt;=WeekEnd),"Yes","No"))</f>
        <v/>
      </c>
      <c r="N407" s="67" t="str">
        <f aca="false">IF(A407="","",IF(L407&lt;&gt;"Verified","Not verified",IF(COUNTIFS(in_CGID,C407,in_ClientID,E407,in_Svc,G407)&gt;0,"Yes","Not entered")))</f>
        <v/>
      </c>
    </row>
    <row r="408" customFormat="false" ht="15" hidden="false" customHeight="false" outlineLevel="0" collapsed="false">
      <c r="A408" s="64"/>
      <c r="B408" s="65"/>
      <c r="C408" s="64"/>
      <c r="D408" s="64"/>
      <c r="E408" s="64"/>
      <c r="F408" s="64"/>
      <c r="G408" s="64"/>
      <c r="H408" s="66"/>
      <c r="I408" s="66"/>
      <c r="J408" s="64"/>
      <c r="K408" s="64"/>
      <c r="L408" s="64"/>
      <c r="M408" s="67" t="str">
        <f aca="false">IF(A408="","",IF(AND(B408&gt;=WeekStart,B408&lt;=WeekEnd),"Yes","No"))</f>
        <v/>
      </c>
      <c r="N408" s="67" t="str">
        <f aca="false">IF(A408="","",IF(L408&lt;&gt;"Verified","Not verified",IF(COUNTIFS(in_CGID,C408,in_ClientID,E408,in_Svc,G408)&gt;0,"Yes","Not entered")))</f>
        <v/>
      </c>
    </row>
    <row r="409" customFormat="false" ht="15" hidden="false" customHeight="false" outlineLevel="0" collapsed="false">
      <c r="A409" s="64"/>
      <c r="B409" s="65"/>
      <c r="C409" s="64"/>
      <c r="D409" s="64"/>
      <c r="E409" s="64"/>
      <c r="F409" s="64"/>
      <c r="G409" s="64"/>
      <c r="H409" s="66"/>
      <c r="I409" s="66"/>
      <c r="J409" s="64"/>
      <c r="K409" s="64"/>
      <c r="L409" s="64"/>
      <c r="M409" s="67" t="str">
        <f aca="false">IF(A409="","",IF(AND(B409&gt;=WeekStart,B409&lt;=WeekEnd),"Yes","No"))</f>
        <v/>
      </c>
      <c r="N409" s="67" t="str">
        <f aca="false">IF(A409="","",IF(L409&lt;&gt;"Verified","Not verified",IF(COUNTIFS(in_CGID,C409,in_ClientID,E409,in_Svc,G409)&gt;0,"Yes","Not entered")))</f>
        <v/>
      </c>
    </row>
    <row r="410" customFormat="false" ht="15" hidden="false" customHeight="false" outlineLevel="0" collapsed="false">
      <c r="A410" s="64"/>
      <c r="B410" s="65"/>
      <c r="C410" s="64"/>
      <c r="D410" s="64"/>
      <c r="E410" s="64"/>
      <c r="F410" s="64"/>
      <c r="G410" s="64"/>
      <c r="H410" s="66"/>
      <c r="I410" s="66"/>
      <c r="J410" s="64"/>
      <c r="K410" s="64"/>
      <c r="L410" s="64"/>
      <c r="M410" s="67" t="str">
        <f aca="false">IF(A410="","",IF(AND(B410&gt;=WeekStart,B410&lt;=WeekEnd),"Yes","No"))</f>
        <v/>
      </c>
      <c r="N410" s="67" t="str">
        <f aca="false">IF(A410="","",IF(L410&lt;&gt;"Verified","Not verified",IF(COUNTIFS(in_CGID,C410,in_ClientID,E410,in_Svc,G410)&gt;0,"Yes","Not entered")))</f>
        <v/>
      </c>
    </row>
    <row r="411" customFormat="false" ht="15" hidden="false" customHeight="false" outlineLevel="0" collapsed="false">
      <c r="A411" s="64"/>
      <c r="B411" s="65"/>
      <c r="C411" s="64"/>
      <c r="D411" s="64"/>
      <c r="E411" s="64"/>
      <c r="F411" s="64"/>
      <c r="G411" s="64"/>
      <c r="H411" s="66"/>
      <c r="I411" s="66"/>
      <c r="J411" s="64"/>
      <c r="K411" s="64"/>
      <c r="L411" s="64"/>
      <c r="M411" s="67" t="str">
        <f aca="false">IF(A411="","",IF(AND(B411&gt;=WeekStart,B411&lt;=WeekEnd),"Yes","No"))</f>
        <v/>
      </c>
      <c r="N411" s="67" t="str">
        <f aca="false">IF(A411="","",IF(L411&lt;&gt;"Verified","Not verified",IF(COUNTIFS(in_CGID,C411,in_ClientID,E411,in_Svc,G411)&gt;0,"Yes","Not entered")))</f>
        <v/>
      </c>
    </row>
    <row r="412" customFormat="false" ht="15" hidden="false" customHeight="false" outlineLevel="0" collapsed="false">
      <c r="A412" s="64"/>
      <c r="B412" s="65"/>
      <c r="C412" s="64"/>
      <c r="D412" s="64"/>
      <c r="E412" s="64"/>
      <c r="F412" s="64"/>
      <c r="G412" s="64"/>
      <c r="H412" s="66"/>
      <c r="I412" s="66"/>
      <c r="J412" s="64"/>
      <c r="K412" s="64"/>
      <c r="L412" s="64"/>
      <c r="M412" s="67" t="str">
        <f aca="false">IF(A412="","",IF(AND(B412&gt;=WeekStart,B412&lt;=WeekEnd),"Yes","No"))</f>
        <v/>
      </c>
      <c r="N412" s="67" t="str">
        <f aca="false">IF(A412="","",IF(L412&lt;&gt;"Verified","Not verified",IF(COUNTIFS(in_CGID,C412,in_ClientID,E412,in_Svc,G412)&gt;0,"Yes","Not entered")))</f>
        <v/>
      </c>
    </row>
    <row r="413" customFormat="false" ht="15" hidden="false" customHeight="false" outlineLevel="0" collapsed="false">
      <c r="A413" s="64"/>
      <c r="B413" s="65"/>
      <c r="C413" s="64"/>
      <c r="D413" s="64"/>
      <c r="E413" s="64"/>
      <c r="F413" s="64"/>
      <c r="G413" s="64"/>
      <c r="H413" s="66"/>
      <c r="I413" s="66"/>
      <c r="J413" s="64"/>
      <c r="K413" s="64"/>
      <c r="L413" s="64"/>
      <c r="M413" s="67" t="str">
        <f aca="false">IF(A413="","",IF(AND(B413&gt;=WeekStart,B413&lt;=WeekEnd),"Yes","No"))</f>
        <v/>
      </c>
      <c r="N413" s="67" t="str">
        <f aca="false">IF(A413="","",IF(L413&lt;&gt;"Verified","Not verified",IF(COUNTIFS(in_CGID,C413,in_ClientID,E413,in_Svc,G413)&gt;0,"Yes","Not entered")))</f>
        <v/>
      </c>
    </row>
    <row r="414" customFormat="false" ht="15" hidden="false" customHeight="false" outlineLevel="0" collapsed="false">
      <c r="A414" s="64"/>
      <c r="B414" s="65"/>
      <c r="C414" s="64"/>
      <c r="D414" s="64"/>
      <c r="E414" s="64"/>
      <c r="F414" s="64"/>
      <c r="G414" s="64"/>
      <c r="H414" s="66"/>
      <c r="I414" s="66"/>
      <c r="J414" s="64"/>
      <c r="K414" s="64"/>
      <c r="L414" s="64"/>
      <c r="M414" s="67" t="str">
        <f aca="false">IF(A414="","",IF(AND(B414&gt;=WeekStart,B414&lt;=WeekEnd),"Yes","No"))</f>
        <v/>
      </c>
      <c r="N414" s="67" t="str">
        <f aca="false">IF(A414="","",IF(L414&lt;&gt;"Verified","Not verified",IF(COUNTIFS(in_CGID,C414,in_ClientID,E414,in_Svc,G414)&gt;0,"Yes","Not entered")))</f>
        <v/>
      </c>
    </row>
    <row r="415" customFormat="false" ht="15" hidden="false" customHeight="false" outlineLevel="0" collapsed="false">
      <c r="A415" s="64"/>
      <c r="B415" s="65"/>
      <c r="C415" s="64"/>
      <c r="D415" s="64"/>
      <c r="E415" s="64"/>
      <c r="F415" s="64"/>
      <c r="G415" s="64"/>
      <c r="H415" s="66"/>
      <c r="I415" s="66"/>
      <c r="J415" s="64"/>
      <c r="K415" s="64"/>
      <c r="L415" s="64"/>
      <c r="M415" s="67" t="str">
        <f aca="false">IF(A415="","",IF(AND(B415&gt;=WeekStart,B415&lt;=WeekEnd),"Yes","No"))</f>
        <v/>
      </c>
      <c r="N415" s="67" t="str">
        <f aca="false">IF(A415="","",IF(L415&lt;&gt;"Verified","Not verified",IF(COUNTIFS(in_CGID,C415,in_ClientID,E415,in_Svc,G415)&gt;0,"Yes","Not entered")))</f>
        <v/>
      </c>
    </row>
    <row r="416" customFormat="false" ht="15" hidden="false" customHeight="false" outlineLevel="0" collapsed="false">
      <c r="A416" s="64"/>
      <c r="B416" s="65"/>
      <c r="C416" s="64"/>
      <c r="D416" s="64"/>
      <c r="E416" s="64"/>
      <c r="F416" s="64"/>
      <c r="G416" s="64"/>
      <c r="H416" s="66"/>
      <c r="I416" s="66"/>
      <c r="J416" s="64"/>
      <c r="K416" s="64"/>
      <c r="L416" s="64"/>
      <c r="M416" s="67" t="str">
        <f aca="false">IF(A416="","",IF(AND(B416&gt;=WeekStart,B416&lt;=WeekEnd),"Yes","No"))</f>
        <v/>
      </c>
      <c r="N416" s="67" t="str">
        <f aca="false">IF(A416="","",IF(L416&lt;&gt;"Verified","Not verified",IF(COUNTIFS(in_CGID,C416,in_ClientID,E416,in_Svc,G416)&gt;0,"Yes","Not entered")))</f>
        <v/>
      </c>
    </row>
    <row r="417" customFormat="false" ht="15" hidden="false" customHeight="false" outlineLevel="0" collapsed="false">
      <c r="A417" s="64"/>
      <c r="B417" s="65"/>
      <c r="C417" s="64"/>
      <c r="D417" s="64"/>
      <c r="E417" s="64"/>
      <c r="F417" s="64"/>
      <c r="G417" s="64"/>
      <c r="H417" s="66"/>
      <c r="I417" s="66"/>
      <c r="J417" s="64"/>
      <c r="K417" s="64"/>
      <c r="L417" s="64"/>
      <c r="M417" s="67" t="str">
        <f aca="false">IF(A417="","",IF(AND(B417&gt;=WeekStart,B417&lt;=WeekEnd),"Yes","No"))</f>
        <v/>
      </c>
      <c r="N417" s="67" t="str">
        <f aca="false">IF(A417="","",IF(L417&lt;&gt;"Verified","Not verified",IF(COUNTIFS(in_CGID,C417,in_ClientID,E417,in_Svc,G417)&gt;0,"Yes","Not entered")))</f>
        <v/>
      </c>
    </row>
    <row r="418" customFormat="false" ht="15" hidden="false" customHeight="false" outlineLevel="0" collapsed="false">
      <c r="A418" s="64"/>
      <c r="B418" s="65"/>
      <c r="C418" s="64"/>
      <c r="D418" s="64"/>
      <c r="E418" s="64"/>
      <c r="F418" s="64"/>
      <c r="G418" s="64"/>
      <c r="H418" s="66"/>
      <c r="I418" s="66"/>
      <c r="J418" s="64"/>
      <c r="K418" s="64"/>
      <c r="L418" s="64"/>
      <c r="M418" s="67" t="str">
        <f aca="false">IF(A418="","",IF(AND(B418&gt;=WeekStart,B418&lt;=WeekEnd),"Yes","No"))</f>
        <v/>
      </c>
      <c r="N418" s="67" t="str">
        <f aca="false">IF(A418="","",IF(L418&lt;&gt;"Verified","Not verified",IF(COUNTIFS(in_CGID,C418,in_ClientID,E418,in_Svc,G418)&gt;0,"Yes","Not entered")))</f>
        <v/>
      </c>
    </row>
    <row r="419" customFormat="false" ht="15" hidden="false" customHeight="false" outlineLevel="0" collapsed="false">
      <c r="A419" s="64"/>
      <c r="B419" s="65"/>
      <c r="C419" s="64"/>
      <c r="D419" s="64"/>
      <c r="E419" s="64"/>
      <c r="F419" s="64"/>
      <c r="G419" s="64"/>
      <c r="H419" s="66"/>
      <c r="I419" s="66"/>
      <c r="J419" s="64"/>
      <c r="K419" s="64"/>
      <c r="L419" s="64"/>
      <c r="M419" s="67" t="str">
        <f aca="false">IF(A419="","",IF(AND(B419&gt;=WeekStart,B419&lt;=WeekEnd),"Yes","No"))</f>
        <v/>
      </c>
      <c r="N419" s="67" t="str">
        <f aca="false">IF(A419="","",IF(L419&lt;&gt;"Verified","Not verified",IF(COUNTIFS(in_CGID,C419,in_ClientID,E419,in_Svc,G419)&gt;0,"Yes","Not entered")))</f>
        <v/>
      </c>
    </row>
    <row r="420" customFormat="false" ht="15" hidden="false" customHeight="false" outlineLevel="0" collapsed="false">
      <c r="A420" s="64"/>
      <c r="B420" s="65"/>
      <c r="C420" s="64"/>
      <c r="D420" s="64"/>
      <c r="E420" s="64"/>
      <c r="F420" s="64"/>
      <c r="G420" s="64"/>
      <c r="H420" s="66"/>
      <c r="I420" s="66"/>
      <c r="J420" s="64"/>
      <c r="K420" s="64"/>
      <c r="L420" s="64"/>
      <c r="M420" s="67" t="str">
        <f aca="false">IF(A420="","",IF(AND(B420&gt;=WeekStart,B420&lt;=WeekEnd),"Yes","No"))</f>
        <v/>
      </c>
      <c r="N420" s="67" t="str">
        <f aca="false">IF(A420="","",IF(L420&lt;&gt;"Verified","Not verified",IF(COUNTIFS(in_CGID,C420,in_ClientID,E420,in_Svc,G420)&gt;0,"Yes","Not entered")))</f>
        <v/>
      </c>
    </row>
    <row r="421" customFormat="false" ht="15" hidden="false" customHeight="false" outlineLevel="0" collapsed="false">
      <c r="A421" s="64"/>
      <c r="B421" s="65"/>
      <c r="C421" s="64"/>
      <c r="D421" s="64"/>
      <c r="E421" s="64"/>
      <c r="F421" s="64"/>
      <c r="G421" s="64"/>
      <c r="H421" s="66"/>
      <c r="I421" s="66"/>
      <c r="J421" s="64"/>
      <c r="K421" s="64"/>
      <c r="L421" s="64"/>
      <c r="M421" s="67" t="str">
        <f aca="false">IF(A421="","",IF(AND(B421&gt;=WeekStart,B421&lt;=WeekEnd),"Yes","No"))</f>
        <v/>
      </c>
      <c r="N421" s="67" t="str">
        <f aca="false">IF(A421="","",IF(L421&lt;&gt;"Verified","Not verified",IF(COUNTIFS(in_CGID,C421,in_ClientID,E421,in_Svc,G421)&gt;0,"Yes","Not entered")))</f>
        <v/>
      </c>
    </row>
    <row r="422" customFormat="false" ht="15" hidden="false" customHeight="false" outlineLevel="0" collapsed="false">
      <c r="A422" s="64"/>
      <c r="B422" s="65"/>
      <c r="C422" s="64"/>
      <c r="D422" s="64"/>
      <c r="E422" s="64"/>
      <c r="F422" s="64"/>
      <c r="G422" s="64"/>
      <c r="H422" s="66"/>
      <c r="I422" s="66"/>
      <c r="J422" s="64"/>
      <c r="K422" s="64"/>
      <c r="L422" s="64"/>
      <c r="M422" s="67" t="str">
        <f aca="false">IF(A422="","",IF(AND(B422&gt;=WeekStart,B422&lt;=WeekEnd),"Yes","No"))</f>
        <v/>
      </c>
      <c r="N422" s="67" t="str">
        <f aca="false">IF(A422="","",IF(L422&lt;&gt;"Verified","Not verified",IF(COUNTIFS(in_CGID,C422,in_ClientID,E422,in_Svc,G422)&gt;0,"Yes","Not entered")))</f>
        <v/>
      </c>
    </row>
    <row r="423" customFormat="false" ht="15" hidden="false" customHeight="false" outlineLevel="0" collapsed="false">
      <c r="A423" s="64"/>
      <c r="B423" s="65"/>
      <c r="C423" s="64"/>
      <c r="D423" s="64"/>
      <c r="E423" s="64"/>
      <c r="F423" s="64"/>
      <c r="G423" s="64"/>
      <c r="H423" s="66"/>
      <c r="I423" s="66"/>
      <c r="J423" s="64"/>
      <c r="K423" s="64"/>
      <c r="L423" s="64"/>
      <c r="M423" s="67" t="str">
        <f aca="false">IF(A423="","",IF(AND(B423&gt;=WeekStart,B423&lt;=WeekEnd),"Yes","No"))</f>
        <v/>
      </c>
      <c r="N423" s="67" t="str">
        <f aca="false">IF(A423="","",IF(L423&lt;&gt;"Verified","Not verified",IF(COUNTIFS(in_CGID,C423,in_ClientID,E423,in_Svc,G423)&gt;0,"Yes","Not entered")))</f>
        <v/>
      </c>
    </row>
    <row r="424" customFormat="false" ht="15" hidden="false" customHeight="false" outlineLevel="0" collapsed="false">
      <c r="A424" s="64"/>
      <c r="B424" s="65"/>
      <c r="C424" s="64"/>
      <c r="D424" s="64"/>
      <c r="E424" s="64"/>
      <c r="F424" s="64"/>
      <c r="G424" s="64"/>
      <c r="H424" s="66"/>
      <c r="I424" s="66"/>
      <c r="J424" s="64"/>
      <c r="K424" s="64"/>
      <c r="L424" s="64"/>
      <c r="M424" s="67" t="str">
        <f aca="false">IF(A424="","",IF(AND(B424&gt;=WeekStart,B424&lt;=WeekEnd),"Yes","No"))</f>
        <v/>
      </c>
      <c r="N424" s="67" t="str">
        <f aca="false">IF(A424="","",IF(L424&lt;&gt;"Verified","Not verified",IF(COUNTIFS(in_CGID,C424,in_ClientID,E424,in_Svc,G424)&gt;0,"Yes","Not entered")))</f>
        <v/>
      </c>
    </row>
    <row r="425" customFormat="false" ht="15" hidden="false" customHeight="false" outlineLevel="0" collapsed="false">
      <c r="A425" s="64"/>
      <c r="B425" s="65"/>
      <c r="C425" s="64"/>
      <c r="D425" s="64"/>
      <c r="E425" s="64"/>
      <c r="F425" s="64"/>
      <c r="G425" s="64"/>
      <c r="H425" s="66"/>
      <c r="I425" s="66"/>
      <c r="J425" s="64"/>
      <c r="K425" s="64"/>
      <c r="L425" s="64"/>
      <c r="M425" s="67" t="str">
        <f aca="false">IF(A425="","",IF(AND(B425&gt;=WeekStart,B425&lt;=WeekEnd),"Yes","No"))</f>
        <v/>
      </c>
      <c r="N425" s="67" t="str">
        <f aca="false">IF(A425="","",IF(L425&lt;&gt;"Verified","Not verified",IF(COUNTIFS(in_CGID,C425,in_ClientID,E425,in_Svc,G425)&gt;0,"Yes","Not entered")))</f>
        <v/>
      </c>
    </row>
    <row r="426" customFormat="false" ht="15" hidden="false" customHeight="false" outlineLevel="0" collapsed="false">
      <c r="A426" s="64"/>
      <c r="B426" s="65"/>
      <c r="C426" s="64"/>
      <c r="D426" s="64"/>
      <c r="E426" s="64"/>
      <c r="F426" s="64"/>
      <c r="G426" s="64"/>
      <c r="H426" s="66"/>
      <c r="I426" s="66"/>
      <c r="J426" s="64"/>
      <c r="K426" s="64"/>
      <c r="L426" s="64"/>
      <c r="M426" s="67" t="str">
        <f aca="false">IF(A426="","",IF(AND(B426&gt;=WeekStart,B426&lt;=WeekEnd),"Yes","No"))</f>
        <v/>
      </c>
      <c r="N426" s="67" t="str">
        <f aca="false">IF(A426="","",IF(L426&lt;&gt;"Verified","Not verified",IF(COUNTIFS(in_CGID,C426,in_ClientID,E426,in_Svc,G426)&gt;0,"Yes","Not entered")))</f>
        <v/>
      </c>
    </row>
    <row r="427" customFormat="false" ht="15" hidden="false" customHeight="false" outlineLevel="0" collapsed="false">
      <c r="A427" s="64"/>
      <c r="B427" s="65"/>
      <c r="C427" s="64"/>
      <c r="D427" s="64"/>
      <c r="E427" s="64"/>
      <c r="F427" s="64"/>
      <c r="G427" s="64"/>
      <c r="H427" s="66"/>
      <c r="I427" s="66"/>
      <c r="J427" s="64"/>
      <c r="K427" s="64"/>
      <c r="L427" s="64"/>
      <c r="M427" s="67" t="str">
        <f aca="false">IF(A427="","",IF(AND(B427&gt;=WeekStart,B427&lt;=WeekEnd),"Yes","No"))</f>
        <v/>
      </c>
      <c r="N427" s="67" t="str">
        <f aca="false">IF(A427="","",IF(L427&lt;&gt;"Verified","Not verified",IF(COUNTIFS(in_CGID,C427,in_ClientID,E427,in_Svc,G427)&gt;0,"Yes","Not entered")))</f>
        <v/>
      </c>
    </row>
    <row r="428" customFormat="false" ht="15" hidden="false" customHeight="false" outlineLevel="0" collapsed="false">
      <c r="A428" s="64"/>
      <c r="B428" s="65"/>
      <c r="C428" s="64"/>
      <c r="D428" s="64"/>
      <c r="E428" s="64"/>
      <c r="F428" s="64"/>
      <c r="G428" s="64"/>
      <c r="H428" s="66"/>
      <c r="I428" s="66"/>
      <c r="J428" s="64"/>
      <c r="K428" s="64"/>
      <c r="L428" s="64"/>
      <c r="M428" s="67" t="str">
        <f aca="false">IF(A428="","",IF(AND(B428&gt;=WeekStart,B428&lt;=WeekEnd),"Yes","No"))</f>
        <v/>
      </c>
      <c r="N428" s="67" t="str">
        <f aca="false">IF(A428="","",IF(L428&lt;&gt;"Verified","Not verified",IF(COUNTIFS(in_CGID,C428,in_ClientID,E428,in_Svc,G428)&gt;0,"Yes","Not entered")))</f>
        <v/>
      </c>
    </row>
    <row r="429" customFormat="false" ht="15" hidden="false" customHeight="false" outlineLevel="0" collapsed="false">
      <c r="A429" s="64"/>
      <c r="B429" s="65"/>
      <c r="C429" s="64"/>
      <c r="D429" s="64"/>
      <c r="E429" s="64"/>
      <c r="F429" s="64"/>
      <c r="G429" s="64"/>
      <c r="H429" s="66"/>
      <c r="I429" s="66"/>
      <c r="J429" s="64"/>
      <c r="K429" s="64"/>
      <c r="L429" s="64"/>
      <c r="M429" s="67" t="str">
        <f aca="false">IF(A429="","",IF(AND(B429&gt;=WeekStart,B429&lt;=WeekEnd),"Yes","No"))</f>
        <v/>
      </c>
      <c r="N429" s="67" t="str">
        <f aca="false">IF(A429="","",IF(L429&lt;&gt;"Verified","Not verified",IF(COUNTIFS(in_CGID,C429,in_ClientID,E429,in_Svc,G429)&gt;0,"Yes","Not entered")))</f>
        <v/>
      </c>
    </row>
    <row r="430" customFormat="false" ht="15" hidden="false" customHeight="false" outlineLevel="0" collapsed="false">
      <c r="A430" s="64"/>
      <c r="B430" s="65"/>
      <c r="C430" s="64"/>
      <c r="D430" s="64"/>
      <c r="E430" s="64"/>
      <c r="F430" s="64"/>
      <c r="G430" s="64"/>
      <c r="H430" s="66"/>
      <c r="I430" s="66"/>
      <c r="J430" s="64"/>
      <c r="K430" s="64"/>
      <c r="L430" s="64"/>
      <c r="M430" s="67" t="str">
        <f aca="false">IF(A430="","",IF(AND(B430&gt;=WeekStart,B430&lt;=WeekEnd),"Yes","No"))</f>
        <v/>
      </c>
      <c r="N430" s="67" t="str">
        <f aca="false">IF(A430="","",IF(L430&lt;&gt;"Verified","Not verified",IF(COUNTIFS(in_CGID,C430,in_ClientID,E430,in_Svc,G430)&gt;0,"Yes","Not entered")))</f>
        <v/>
      </c>
    </row>
    <row r="431" customFormat="false" ht="15" hidden="false" customHeight="false" outlineLevel="0" collapsed="false">
      <c r="A431" s="64"/>
      <c r="B431" s="65"/>
      <c r="C431" s="64"/>
      <c r="D431" s="64"/>
      <c r="E431" s="64"/>
      <c r="F431" s="64"/>
      <c r="G431" s="64"/>
      <c r="H431" s="66"/>
      <c r="I431" s="66"/>
      <c r="J431" s="64"/>
      <c r="K431" s="64"/>
      <c r="L431" s="64"/>
      <c r="M431" s="67" t="str">
        <f aca="false">IF(A431="","",IF(AND(B431&gt;=WeekStart,B431&lt;=WeekEnd),"Yes","No"))</f>
        <v/>
      </c>
      <c r="N431" s="67" t="str">
        <f aca="false">IF(A431="","",IF(L431&lt;&gt;"Verified","Not verified",IF(COUNTIFS(in_CGID,C431,in_ClientID,E431,in_Svc,G431)&gt;0,"Yes","Not entered")))</f>
        <v/>
      </c>
    </row>
    <row r="432" customFormat="false" ht="15" hidden="false" customHeight="false" outlineLevel="0" collapsed="false">
      <c r="A432" s="64"/>
      <c r="B432" s="65"/>
      <c r="C432" s="64"/>
      <c r="D432" s="64"/>
      <c r="E432" s="64"/>
      <c r="F432" s="64"/>
      <c r="G432" s="64"/>
      <c r="H432" s="66"/>
      <c r="I432" s="66"/>
      <c r="J432" s="64"/>
      <c r="K432" s="64"/>
      <c r="L432" s="64"/>
      <c r="M432" s="67" t="str">
        <f aca="false">IF(A432="","",IF(AND(B432&gt;=WeekStart,B432&lt;=WeekEnd),"Yes","No"))</f>
        <v/>
      </c>
      <c r="N432" s="67" t="str">
        <f aca="false">IF(A432="","",IF(L432&lt;&gt;"Verified","Not verified",IF(COUNTIFS(in_CGID,C432,in_ClientID,E432,in_Svc,G432)&gt;0,"Yes","Not entered")))</f>
        <v/>
      </c>
    </row>
    <row r="433" customFormat="false" ht="15" hidden="false" customHeight="false" outlineLevel="0" collapsed="false">
      <c r="A433" s="64"/>
      <c r="B433" s="65"/>
      <c r="C433" s="64"/>
      <c r="D433" s="64"/>
      <c r="E433" s="64"/>
      <c r="F433" s="64"/>
      <c r="G433" s="64"/>
      <c r="H433" s="66"/>
      <c r="I433" s="66"/>
      <c r="J433" s="64"/>
      <c r="K433" s="64"/>
      <c r="L433" s="64"/>
      <c r="M433" s="67" t="str">
        <f aca="false">IF(A433="","",IF(AND(B433&gt;=WeekStart,B433&lt;=WeekEnd),"Yes","No"))</f>
        <v/>
      </c>
      <c r="N433" s="67" t="str">
        <f aca="false">IF(A433="","",IF(L433&lt;&gt;"Verified","Not verified",IF(COUNTIFS(in_CGID,C433,in_ClientID,E433,in_Svc,G433)&gt;0,"Yes","Not entered")))</f>
        <v/>
      </c>
    </row>
    <row r="434" customFormat="false" ht="15" hidden="false" customHeight="false" outlineLevel="0" collapsed="false">
      <c r="A434" s="64"/>
      <c r="B434" s="65"/>
      <c r="C434" s="64"/>
      <c r="D434" s="64"/>
      <c r="E434" s="64"/>
      <c r="F434" s="64"/>
      <c r="G434" s="64"/>
      <c r="H434" s="66"/>
      <c r="I434" s="66"/>
      <c r="J434" s="64"/>
      <c r="K434" s="64"/>
      <c r="L434" s="64"/>
      <c r="M434" s="67" t="str">
        <f aca="false">IF(A434="","",IF(AND(B434&gt;=WeekStart,B434&lt;=WeekEnd),"Yes","No"))</f>
        <v/>
      </c>
      <c r="N434" s="67" t="str">
        <f aca="false">IF(A434="","",IF(L434&lt;&gt;"Verified","Not verified",IF(COUNTIFS(in_CGID,C434,in_ClientID,E434,in_Svc,G434)&gt;0,"Yes","Not entered")))</f>
        <v/>
      </c>
    </row>
    <row r="435" customFormat="false" ht="15" hidden="false" customHeight="false" outlineLevel="0" collapsed="false">
      <c r="A435" s="64"/>
      <c r="B435" s="65"/>
      <c r="C435" s="64"/>
      <c r="D435" s="64"/>
      <c r="E435" s="64"/>
      <c r="F435" s="64"/>
      <c r="G435" s="64"/>
      <c r="H435" s="66"/>
      <c r="I435" s="66"/>
      <c r="J435" s="64"/>
      <c r="K435" s="64"/>
      <c r="L435" s="64"/>
      <c r="M435" s="67" t="str">
        <f aca="false">IF(A435="","",IF(AND(B435&gt;=WeekStart,B435&lt;=WeekEnd),"Yes","No"))</f>
        <v/>
      </c>
      <c r="N435" s="67" t="str">
        <f aca="false">IF(A435="","",IF(L435&lt;&gt;"Verified","Not verified",IF(COUNTIFS(in_CGID,C435,in_ClientID,E435,in_Svc,G435)&gt;0,"Yes","Not entered")))</f>
        <v/>
      </c>
    </row>
    <row r="436" customFormat="false" ht="15" hidden="false" customHeight="false" outlineLevel="0" collapsed="false">
      <c r="A436" s="64"/>
      <c r="B436" s="65"/>
      <c r="C436" s="64"/>
      <c r="D436" s="64"/>
      <c r="E436" s="64"/>
      <c r="F436" s="64"/>
      <c r="G436" s="64"/>
      <c r="H436" s="66"/>
      <c r="I436" s="66"/>
      <c r="J436" s="64"/>
      <c r="K436" s="64"/>
      <c r="L436" s="64"/>
      <c r="M436" s="67" t="str">
        <f aca="false">IF(A436="","",IF(AND(B436&gt;=WeekStart,B436&lt;=WeekEnd),"Yes","No"))</f>
        <v/>
      </c>
      <c r="N436" s="67" t="str">
        <f aca="false">IF(A436="","",IF(L436&lt;&gt;"Verified","Not verified",IF(COUNTIFS(in_CGID,C436,in_ClientID,E436,in_Svc,G436)&gt;0,"Yes","Not entered")))</f>
        <v/>
      </c>
    </row>
    <row r="437" customFormat="false" ht="15" hidden="false" customHeight="false" outlineLevel="0" collapsed="false">
      <c r="A437" s="64"/>
      <c r="B437" s="65"/>
      <c r="C437" s="64"/>
      <c r="D437" s="64"/>
      <c r="E437" s="64"/>
      <c r="F437" s="64"/>
      <c r="G437" s="64"/>
      <c r="H437" s="66"/>
      <c r="I437" s="66"/>
      <c r="J437" s="64"/>
      <c r="K437" s="64"/>
      <c r="L437" s="64"/>
      <c r="M437" s="67" t="str">
        <f aca="false">IF(A437="","",IF(AND(B437&gt;=WeekStart,B437&lt;=WeekEnd),"Yes","No"))</f>
        <v/>
      </c>
      <c r="N437" s="67" t="str">
        <f aca="false">IF(A437="","",IF(L437&lt;&gt;"Verified","Not verified",IF(COUNTIFS(in_CGID,C437,in_ClientID,E437,in_Svc,G437)&gt;0,"Yes","Not entered")))</f>
        <v/>
      </c>
    </row>
    <row r="438" customFormat="false" ht="15" hidden="false" customHeight="false" outlineLevel="0" collapsed="false">
      <c r="A438" s="64"/>
      <c r="B438" s="65"/>
      <c r="C438" s="64"/>
      <c r="D438" s="64"/>
      <c r="E438" s="64"/>
      <c r="F438" s="64"/>
      <c r="G438" s="64"/>
      <c r="H438" s="66"/>
      <c r="I438" s="66"/>
      <c r="J438" s="64"/>
      <c r="K438" s="64"/>
      <c r="L438" s="64"/>
      <c r="M438" s="67" t="str">
        <f aca="false">IF(A438="","",IF(AND(B438&gt;=WeekStart,B438&lt;=WeekEnd),"Yes","No"))</f>
        <v/>
      </c>
      <c r="N438" s="67" t="str">
        <f aca="false">IF(A438="","",IF(L438&lt;&gt;"Verified","Not verified",IF(COUNTIFS(in_CGID,C438,in_ClientID,E438,in_Svc,G438)&gt;0,"Yes","Not entered")))</f>
        <v/>
      </c>
    </row>
    <row r="439" customFormat="false" ht="15" hidden="false" customHeight="false" outlineLevel="0" collapsed="false">
      <c r="A439" s="64"/>
      <c r="B439" s="65"/>
      <c r="C439" s="64"/>
      <c r="D439" s="64"/>
      <c r="E439" s="64"/>
      <c r="F439" s="64"/>
      <c r="G439" s="64"/>
      <c r="H439" s="66"/>
      <c r="I439" s="66"/>
      <c r="J439" s="64"/>
      <c r="K439" s="64"/>
      <c r="L439" s="64"/>
      <c r="M439" s="67" t="str">
        <f aca="false">IF(A439="","",IF(AND(B439&gt;=WeekStart,B439&lt;=WeekEnd),"Yes","No"))</f>
        <v/>
      </c>
      <c r="N439" s="67" t="str">
        <f aca="false">IF(A439="","",IF(L439&lt;&gt;"Verified","Not verified",IF(COUNTIFS(in_CGID,C439,in_ClientID,E439,in_Svc,G439)&gt;0,"Yes","Not entered")))</f>
        <v/>
      </c>
    </row>
    <row r="440" customFormat="false" ht="15" hidden="false" customHeight="false" outlineLevel="0" collapsed="false">
      <c r="A440" s="64"/>
      <c r="B440" s="65"/>
      <c r="C440" s="64"/>
      <c r="D440" s="64"/>
      <c r="E440" s="64"/>
      <c r="F440" s="64"/>
      <c r="G440" s="64"/>
      <c r="H440" s="66"/>
      <c r="I440" s="66"/>
      <c r="J440" s="64"/>
      <c r="K440" s="64"/>
      <c r="L440" s="64"/>
      <c r="M440" s="67" t="str">
        <f aca="false">IF(A440="","",IF(AND(B440&gt;=WeekStart,B440&lt;=WeekEnd),"Yes","No"))</f>
        <v/>
      </c>
      <c r="N440" s="67" t="str">
        <f aca="false">IF(A440="","",IF(L440&lt;&gt;"Verified","Not verified",IF(COUNTIFS(in_CGID,C440,in_ClientID,E440,in_Svc,G440)&gt;0,"Yes","Not entered")))</f>
        <v/>
      </c>
    </row>
    <row r="441" customFormat="false" ht="15" hidden="false" customHeight="false" outlineLevel="0" collapsed="false">
      <c r="A441" s="64"/>
      <c r="B441" s="65"/>
      <c r="C441" s="64"/>
      <c r="D441" s="64"/>
      <c r="E441" s="64"/>
      <c r="F441" s="64"/>
      <c r="G441" s="64"/>
      <c r="H441" s="66"/>
      <c r="I441" s="66"/>
      <c r="J441" s="64"/>
      <c r="K441" s="64"/>
      <c r="L441" s="64"/>
      <c r="M441" s="67" t="str">
        <f aca="false">IF(A441="","",IF(AND(B441&gt;=WeekStart,B441&lt;=WeekEnd),"Yes","No"))</f>
        <v/>
      </c>
      <c r="N441" s="67" t="str">
        <f aca="false">IF(A441="","",IF(L441&lt;&gt;"Verified","Not verified",IF(COUNTIFS(in_CGID,C441,in_ClientID,E441,in_Svc,G441)&gt;0,"Yes","Not entered")))</f>
        <v/>
      </c>
    </row>
    <row r="442" customFormat="false" ht="15" hidden="false" customHeight="false" outlineLevel="0" collapsed="false">
      <c r="A442" s="64"/>
      <c r="B442" s="65"/>
      <c r="C442" s="64"/>
      <c r="D442" s="64"/>
      <c r="E442" s="64"/>
      <c r="F442" s="64"/>
      <c r="G442" s="64"/>
      <c r="H442" s="66"/>
      <c r="I442" s="66"/>
      <c r="J442" s="64"/>
      <c r="K442" s="64"/>
      <c r="L442" s="64"/>
      <c r="M442" s="67" t="str">
        <f aca="false">IF(A442="","",IF(AND(B442&gt;=WeekStart,B442&lt;=WeekEnd),"Yes","No"))</f>
        <v/>
      </c>
      <c r="N442" s="67" t="str">
        <f aca="false">IF(A442="","",IF(L442&lt;&gt;"Verified","Not verified",IF(COUNTIFS(in_CGID,C442,in_ClientID,E442,in_Svc,G442)&gt;0,"Yes","Not entered")))</f>
        <v/>
      </c>
    </row>
    <row r="443" customFormat="false" ht="15" hidden="false" customHeight="false" outlineLevel="0" collapsed="false">
      <c r="A443" s="64"/>
      <c r="B443" s="65"/>
      <c r="C443" s="64"/>
      <c r="D443" s="64"/>
      <c r="E443" s="64"/>
      <c r="F443" s="64"/>
      <c r="G443" s="64"/>
      <c r="H443" s="66"/>
      <c r="I443" s="66"/>
      <c r="J443" s="64"/>
      <c r="K443" s="64"/>
      <c r="L443" s="64"/>
      <c r="M443" s="67" t="str">
        <f aca="false">IF(A443="","",IF(AND(B443&gt;=WeekStart,B443&lt;=WeekEnd),"Yes","No"))</f>
        <v/>
      </c>
      <c r="N443" s="67" t="str">
        <f aca="false">IF(A443="","",IF(L443&lt;&gt;"Verified","Not verified",IF(COUNTIFS(in_CGID,C443,in_ClientID,E443,in_Svc,G443)&gt;0,"Yes","Not entered")))</f>
        <v/>
      </c>
    </row>
    <row r="444" customFormat="false" ht="15" hidden="false" customHeight="false" outlineLevel="0" collapsed="false">
      <c r="A444" s="64"/>
      <c r="B444" s="65"/>
      <c r="C444" s="64"/>
      <c r="D444" s="64"/>
      <c r="E444" s="64"/>
      <c r="F444" s="64"/>
      <c r="G444" s="64"/>
      <c r="H444" s="66"/>
      <c r="I444" s="66"/>
      <c r="J444" s="64"/>
      <c r="K444" s="64"/>
      <c r="L444" s="64"/>
      <c r="M444" s="67" t="str">
        <f aca="false">IF(A444="","",IF(AND(B444&gt;=WeekStart,B444&lt;=WeekEnd),"Yes","No"))</f>
        <v/>
      </c>
      <c r="N444" s="67" t="str">
        <f aca="false">IF(A444="","",IF(L444&lt;&gt;"Verified","Not verified",IF(COUNTIFS(in_CGID,C444,in_ClientID,E444,in_Svc,G444)&gt;0,"Yes","Not entered")))</f>
        <v/>
      </c>
    </row>
    <row r="445" customFormat="false" ht="15" hidden="false" customHeight="false" outlineLevel="0" collapsed="false">
      <c r="A445" s="64"/>
      <c r="B445" s="65"/>
      <c r="C445" s="64"/>
      <c r="D445" s="64"/>
      <c r="E445" s="64"/>
      <c r="F445" s="64"/>
      <c r="G445" s="64"/>
      <c r="H445" s="66"/>
      <c r="I445" s="66"/>
      <c r="J445" s="64"/>
      <c r="K445" s="64"/>
      <c r="L445" s="64"/>
      <c r="M445" s="67" t="str">
        <f aca="false">IF(A445="","",IF(AND(B445&gt;=WeekStart,B445&lt;=WeekEnd),"Yes","No"))</f>
        <v/>
      </c>
      <c r="N445" s="67" t="str">
        <f aca="false">IF(A445="","",IF(L445&lt;&gt;"Verified","Not verified",IF(COUNTIFS(in_CGID,C445,in_ClientID,E445,in_Svc,G445)&gt;0,"Yes","Not entered")))</f>
        <v/>
      </c>
    </row>
    <row r="446" customFormat="false" ht="15" hidden="false" customHeight="false" outlineLevel="0" collapsed="false">
      <c r="A446" s="64"/>
      <c r="B446" s="65"/>
      <c r="C446" s="64"/>
      <c r="D446" s="64"/>
      <c r="E446" s="64"/>
      <c r="F446" s="64"/>
      <c r="G446" s="64"/>
      <c r="H446" s="66"/>
      <c r="I446" s="66"/>
      <c r="J446" s="64"/>
      <c r="K446" s="64"/>
      <c r="L446" s="64"/>
      <c r="M446" s="67" t="str">
        <f aca="false">IF(A446="","",IF(AND(B446&gt;=WeekStart,B446&lt;=WeekEnd),"Yes","No"))</f>
        <v/>
      </c>
      <c r="N446" s="67" t="str">
        <f aca="false">IF(A446="","",IF(L446&lt;&gt;"Verified","Not verified",IF(COUNTIFS(in_CGID,C446,in_ClientID,E446,in_Svc,G446)&gt;0,"Yes","Not entered")))</f>
        <v/>
      </c>
    </row>
    <row r="447" customFormat="false" ht="15" hidden="false" customHeight="false" outlineLevel="0" collapsed="false">
      <c r="A447" s="64"/>
      <c r="B447" s="65"/>
      <c r="C447" s="64"/>
      <c r="D447" s="64"/>
      <c r="E447" s="64"/>
      <c r="F447" s="64"/>
      <c r="G447" s="64"/>
      <c r="H447" s="66"/>
      <c r="I447" s="66"/>
      <c r="J447" s="64"/>
      <c r="K447" s="64"/>
      <c r="L447" s="64"/>
      <c r="M447" s="67" t="str">
        <f aca="false">IF(A447="","",IF(AND(B447&gt;=WeekStart,B447&lt;=WeekEnd),"Yes","No"))</f>
        <v/>
      </c>
      <c r="N447" s="67" t="str">
        <f aca="false">IF(A447="","",IF(L447&lt;&gt;"Verified","Not verified",IF(COUNTIFS(in_CGID,C447,in_ClientID,E447,in_Svc,G447)&gt;0,"Yes","Not entered")))</f>
        <v/>
      </c>
    </row>
    <row r="448" customFormat="false" ht="15" hidden="false" customHeight="false" outlineLevel="0" collapsed="false">
      <c r="A448" s="64"/>
      <c r="B448" s="65"/>
      <c r="C448" s="64"/>
      <c r="D448" s="64"/>
      <c r="E448" s="64"/>
      <c r="F448" s="64"/>
      <c r="G448" s="64"/>
      <c r="H448" s="66"/>
      <c r="I448" s="66"/>
      <c r="J448" s="64"/>
      <c r="K448" s="64"/>
      <c r="L448" s="64"/>
      <c r="M448" s="67" t="str">
        <f aca="false">IF(A448="","",IF(AND(B448&gt;=WeekStart,B448&lt;=WeekEnd),"Yes","No"))</f>
        <v/>
      </c>
      <c r="N448" s="67" t="str">
        <f aca="false">IF(A448="","",IF(L448&lt;&gt;"Verified","Not verified",IF(COUNTIFS(in_CGID,C448,in_ClientID,E448,in_Svc,G448)&gt;0,"Yes","Not entered")))</f>
        <v/>
      </c>
    </row>
    <row r="449" customFormat="false" ht="15" hidden="false" customHeight="false" outlineLevel="0" collapsed="false">
      <c r="A449" s="64"/>
      <c r="B449" s="65"/>
      <c r="C449" s="64"/>
      <c r="D449" s="64"/>
      <c r="E449" s="64"/>
      <c r="F449" s="64"/>
      <c r="G449" s="64"/>
      <c r="H449" s="66"/>
      <c r="I449" s="66"/>
      <c r="J449" s="64"/>
      <c r="K449" s="64"/>
      <c r="L449" s="64"/>
      <c r="M449" s="67" t="str">
        <f aca="false">IF(A449="","",IF(AND(B449&gt;=WeekStart,B449&lt;=WeekEnd),"Yes","No"))</f>
        <v/>
      </c>
      <c r="N449" s="67" t="str">
        <f aca="false">IF(A449="","",IF(L449&lt;&gt;"Verified","Not verified",IF(COUNTIFS(in_CGID,C449,in_ClientID,E449,in_Svc,G449)&gt;0,"Yes","Not entered")))</f>
        <v/>
      </c>
    </row>
    <row r="450" customFormat="false" ht="15" hidden="false" customHeight="false" outlineLevel="0" collapsed="false">
      <c r="A450" s="64"/>
      <c r="B450" s="65"/>
      <c r="C450" s="64"/>
      <c r="D450" s="64"/>
      <c r="E450" s="64"/>
      <c r="F450" s="64"/>
      <c r="G450" s="64"/>
      <c r="H450" s="66"/>
      <c r="I450" s="66"/>
      <c r="J450" s="64"/>
      <c r="K450" s="64"/>
      <c r="L450" s="64"/>
      <c r="M450" s="67" t="str">
        <f aca="false">IF(A450="","",IF(AND(B450&gt;=WeekStart,B450&lt;=WeekEnd),"Yes","No"))</f>
        <v/>
      </c>
      <c r="N450" s="67" t="str">
        <f aca="false">IF(A450="","",IF(L450&lt;&gt;"Verified","Not verified",IF(COUNTIFS(in_CGID,C450,in_ClientID,E450,in_Svc,G450)&gt;0,"Yes","Not entered")))</f>
        <v/>
      </c>
    </row>
    <row r="451" customFormat="false" ht="15" hidden="false" customHeight="false" outlineLevel="0" collapsed="false">
      <c r="A451" s="64"/>
      <c r="B451" s="65"/>
      <c r="C451" s="64"/>
      <c r="D451" s="64"/>
      <c r="E451" s="64"/>
      <c r="F451" s="64"/>
      <c r="G451" s="64"/>
      <c r="H451" s="66"/>
      <c r="I451" s="66"/>
      <c r="J451" s="64"/>
      <c r="K451" s="64"/>
      <c r="L451" s="64"/>
      <c r="M451" s="67" t="str">
        <f aca="false">IF(A451="","",IF(AND(B451&gt;=WeekStart,B451&lt;=WeekEnd),"Yes","No"))</f>
        <v/>
      </c>
      <c r="N451" s="67" t="str">
        <f aca="false">IF(A451="","",IF(L451&lt;&gt;"Verified","Not verified",IF(COUNTIFS(in_CGID,C451,in_ClientID,E451,in_Svc,G451)&gt;0,"Yes","Not entered")))</f>
        <v/>
      </c>
    </row>
    <row r="452" customFormat="false" ht="15" hidden="false" customHeight="false" outlineLevel="0" collapsed="false">
      <c r="A452" s="64"/>
      <c r="B452" s="65"/>
      <c r="C452" s="64"/>
      <c r="D452" s="64"/>
      <c r="E452" s="64"/>
      <c r="F452" s="64"/>
      <c r="G452" s="64"/>
      <c r="H452" s="66"/>
      <c r="I452" s="66"/>
      <c r="J452" s="64"/>
      <c r="K452" s="64"/>
      <c r="L452" s="64"/>
      <c r="M452" s="67" t="str">
        <f aca="false">IF(A452="","",IF(AND(B452&gt;=WeekStart,B452&lt;=WeekEnd),"Yes","No"))</f>
        <v/>
      </c>
      <c r="N452" s="67" t="str">
        <f aca="false">IF(A452="","",IF(L452&lt;&gt;"Verified","Not verified",IF(COUNTIFS(in_CGID,C452,in_ClientID,E452,in_Svc,G452)&gt;0,"Yes","Not entered")))</f>
        <v/>
      </c>
    </row>
    <row r="453" customFormat="false" ht="15" hidden="false" customHeight="false" outlineLevel="0" collapsed="false">
      <c r="A453" s="64"/>
      <c r="B453" s="65"/>
      <c r="C453" s="64"/>
      <c r="D453" s="64"/>
      <c r="E453" s="64"/>
      <c r="F453" s="64"/>
      <c r="G453" s="64"/>
      <c r="H453" s="66"/>
      <c r="I453" s="66"/>
      <c r="J453" s="64"/>
      <c r="K453" s="64"/>
      <c r="L453" s="64"/>
      <c r="M453" s="67" t="str">
        <f aca="false">IF(A453="","",IF(AND(B453&gt;=WeekStart,B453&lt;=WeekEnd),"Yes","No"))</f>
        <v/>
      </c>
      <c r="N453" s="67" t="str">
        <f aca="false">IF(A453="","",IF(L453&lt;&gt;"Verified","Not verified",IF(COUNTIFS(in_CGID,C453,in_ClientID,E453,in_Svc,G453)&gt;0,"Yes","Not entered")))</f>
        <v/>
      </c>
    </row>
    <row r="454" customFormat="false" ht="15" hidden="false" customHeight="false" outlineLevel="0" collapsed="false">
      <c r="A454" s="64"/>
      <c r="B454" s="65"/>
      <c r="C454" s="64"/>
      <c r="D454" s="64"/>
      <c r="E454" s="64"/>
      <c r="F454" s="64"/>
      <c r="G454" s="64"/>
      <c r="H454" s="66"/>
      <c r="I454" s="66"/>
      <c r="J454" s="64"/>
      <c r="K454" s="64"/>
      <c r="L454" s="64"/>
      <c r="M454" s="67" t="str">
        <f aca="false">IF(A454="","",IF(AND(B454&gt;=WeekStart,B454&lt;=WeekEnd),"Yes","No"))</f>
        <v/>
      </c>
      <c r="N454" s="67" t="str">
        <f aca="false">IF(A454="","",IF(L454&lt;&gt;"Verified","Not verified",IF(COUNTIFS(in_CGID,C454,in_ClientID,E454,in_Svc,G454)&gt;0,"Yes","Not entered")))</f>
        <v/>
      </c>
    </row>
    <row r="455" customFormat="false" ht="15" hidden="false" customHeight="false" outlineLevel="0" collapsed="false">
      <c r="A455" s="64"/>
      <c r="B455" s="65"/>
      <c r="C455" s="64"/>
      <c r="D455" s="64"/>
      <c r="E455" s="64"/>
      <c r="F455" s="64"/>
      <c r="G455" s="64"/>
      <c r="H455" s="66"/>
      <c r="I455" s="66"/>
      <c r="J455" s="64"/>
      <c r="K455" s="64"/>
      <c r="L455" s="64"/>
      <c r="M455" s="67" t="str">
        <f aca="false">IF(A455="","",IF(AND(B455&gt;=WeekStart,B455&lt;=WeekEnd),"Yes","No"))</f>
        <v/>
      </c>
      <c r="N455" s="67" t="str">
        <f aca="false">IF(A455="","",IF(L455&lt;&gt;"Verified","Not verified",IF(COUNTIFS(in_CGID,C455,in_ClientID,E455,in_Svc,G455)&gt;0,"Yes","Not entered")))</f>
        <v/>
      </c>
    </row>
    <row r="456" customFormat="false" ht="15" hidden="false" customHeight="false" outlineLevel="0" collapsed="false">
      <c r="A456" s="64"/>
      <c r="B456" s="65"/>
      <c r="C456" s="64"/>
      <c r="D456" s="64"/>
      <c r="E456" s="64"/>
      <c r="F456" s="64"/>
      <c r="G456" s="64"/>
      <c r="H456" s="66"/>
      <c r="I456" s="66"/>
      <c r="J456" s="64"/>
      <c r="K456" s="64"/>
      <c r="L456" s="64"/>
      <c r="M456" s="67" t="str">
        <f aca="false">IF(A456="","",IF(AND(B456&gt;=WeekStart,B456&lt;=WeekEnd),"Yes","No"))</f>
        <v/>
      </c>
      <c r="N456" s="67" t="str">
        <f aca="false">IF(A456="","",IF(L456&lt;&gt;"Verified","Not verified",IF(COUNTIFS(in_CGID,C456,in_ClientID,E456,in_Svc,G456)&gt;0,"Yes","Not entered")))</f>
        <v/>
      </c>
    </row>
    <row r="457" customFormat="false" ht="15" hidden="false" customHeight="false" outlineLevel="0" collapsed="false">
      <c r="A457" s="64"/>
      <c r="B457" s="65"/>
      <c r="C457" s="64"/>
      <c r="D457" s="64"/>
      <c r="E457" s="64"/>
      <c r="F457" s="64"/>
      <c r="G457" s="64"/>
      <c r="H457" s="66"/>
      <c r="I457" s="66"/>
      <c r="J457" s="64"/>
      <c r="K457" s="64"/>
      <c r="L457" s="64"/>
      <c r="M457" s="67" t="str">
        <f aca="false">IF(A457="","",IF(AND(B457&gt;=WeekStart,B457&lt;=WeekEnd),"Yes","No"))</f>
        <v/>
      </c>
      <c r="N457" s="67" t="str">
        <f aca="false">IF(A457="","",IF(L457&lt;&gt;"Verified","Not verified",IF(COUNTIFS(in_CGID,C457,in_ClientID,E457,in_Svc,G457)&gt;0,"Yes","Not entered")))</f>
        <v/>
      </c>
    </row>
    <row r="458" customFormat="false" ht="15" hidden="false" customHeight="false" outlineLevel="0" collapsed="false">
      <c r="A458" s="64"/>
      <c r="B458" s="65"/>
      <c r="C458" s="64"/>
      <c r="D458" s="64"/>
      <c r="E458" s="64"/>
      <c r="F458" s="64"/>
      <c r="G458" s="64"/>
      <c r="H458" s="66"/>
      <c r="I458" s="66"/>
      <c r="J458" s="64"/>
      <c r="K458" s="64"/>
      <c r="L458" s="64"/>
      <c r="M458" s="67" t="str">
        <f aca="false">IF(A458="","",IF(AND(B458&gt;=WeekStart,B458&lt;=WeekEnd),"Yes","No"))</f>
        <v/>
      </c>
      <c r="N458" s="67" t="str">
        <f aca="false">IF(A458="","",IF(L458&lt;&gt;"Verified","Not verified",IF(COUNTIFS(in_CGID,C458,in_ClientID,E458,in_Svc,G458)&gt;0,"Yes","Not entered")))</f>
        <v/>
      </c>
    </row>
    <row r="459" customFormat="false" ht="15" hidden="false" customHeight="false" outlineLevel="0" collapsed="false">
      <c r="A459" s="64"/>
      <c r="B459" s="65"/>
      <c r="C459" s="64"/>
      <c r="D459" s="64"/>
      <c r="E459" s="64"/>
      <c r="F459" s="64"/>
      <c r="G459" s="64"/>
      <c r="H459" s="66"/>
      <c r="I459" s="66"/>
      <c r="J459" s="64"/>
      <c r="K459" s="64"/>
      <c r="L459" s="64"/>
      <c r="M459" s="67" t="str">
        <f aca="false">IF(A459="","",IF(AND(B459&gt;=WeekStart,B459&lt;=WeekEnd),"Yes","No"))</f>
        <v/>
      </c>
      <c r="N459" s="67" t="str">
        <f aca="false">IF(A459="","",IF(L459&lt;&gt;"Verified","Not verified",IF(COUNTIFS(in_CGID,C459,in_ClientID,E459,in_Svc,G459)&gt;0,"Yes","Not entered")))</f>
        <v/>
      </c>
    </row>
    <row r="460" customFormat="false" ht="15" hidden="false" customHeight="false" outlineLevel="0" collapsed="false">
      <c r="A460" s="64"/>
      <c r="B460" s="65"/>
      <c r="C460" s="64"/>
      <c r="D460" s="64"/>
      <c r="E460" s="64"/>
      <c r="F460" s="64"/>
      <c r="G460" s="64"/>
      <c r="H460" s="66"/>
      <c r="I460" s="66"/>
      <c r="J460" s="64"/>
      <c r="K460" s="64"/>
      <c r="L460" s="64"/>
      <c r="M460" s="67" t="str">
        <f aca="false">IF(A460="","",IF(AND(B460&gt;=WeekStart,B460&lt;=WeekEnd),"Yes","No"))</f>
        <v/>
      </c>
      <c r="N460" s="67" t="str">
        <f aca="false">IF(A460="","",IF(L460&lt;&gt;"Verified","Not verified",IF(COUNTIFS(in_CGID,C460,in_ClientID,E460,in_Svc,G460)&gt;0,"Yes","Not entered")))</f>
        <v/>
      </c>
    </row>
    <row r="461" customFormat="false" ht="15" hidden="false" customHeight="false" outlineLevel="0" collapsed="false">
      <c r="A461" s="64"/>
      <c r="B461" s="65"/>
      <c r="C461" s="64"/>
      <c r="D461" s="64"/>
      <c r="E461" s="64"/>
      <c r="F461" s="64"/>
      <c r="G461" s="64"/>
      <c r="H461" s="66"/>
      <c r="I461" s="66"/>
      <c r="J461" s="64"/>
      <c r="K461" s="64"/>
      <c r="L461" s="64"/>
      <c r="M461" s="67" t="str">
        <f aca="false">IF(A461="","",IF(AND(B461&gt;=WeekStart,B461&lt;=WeekEnd),"Yes","No"))</f>
        <v/>
      </c>
      <c r="N461" s="67" t="str">
        <f aca="false">IF(A461="","",IF(L461&lt;&gt;"Verified","Not verified",IF(COUNTIFS(in_CGID,C461,in_ClientID,E461,in_Svc,G461)&gt;0,"Yes","Not entered")))</f>
        <v/>
      </c>
    </row>
    <row r="462" customFormat="false" ht="15" hidden="false" customHeight="false" outlineLevel="0" collapsed="false">
      <c r="A462" s="64"/>
      <c r="B462" s="65"/>
      <c r="C462" s="64"/>
      <c r="D462" s="64"/>
      <c r="E462" s="64"/>
      <c r="F462" s="64"/>
      <c r="G462" s="64"/>
      <c r="H462" s="66"/>
      <c r="I462" s="66"/>
      <c r="J462" s="64"/>
      <c r="K462" s="64"/>
      <c r="L462" s="64"/>
      <c r="M462" s="67" t="str">
        <f aca="false">IF(A462="","",IF(AND(B462&gt;=WeekStart,B462&lt;=WeekEnd),"Yes","No"))</f>
        <v/>
      </c>
      <c r="N462" s="67" t="str">
        <f aca="false">IF(A462="","",IF(L462&lt;&gt;"Verified","Not verified",IF(COUNTIFS(in_CGID,C462,in_ClientID,E462,in_Svc,G462)&gt;0,"Yes","Not entered")))</f>
        <v/>
      </c>
    </row>
    <row r="463" customFormat="false" ht="15" hidden="false" customHeight="false" outlineLevel="0" collapsed="false">
      <c r="A463" s="64"/>
      <c r="B463" s="65"/>
      <c r="C463" s="64"/>
      <c r="D463" s="64"/>
      <c r="E463" s="64"/>
      <c r="F463" s="64"/>
      <c r="G463" s="64"/>
      <c r="H463" s="66"/>
      <c r="I463" s="66"/>
      <c r="J463" s="64"/>
      <c r="K463" s="64"/>
      <c r="L463" s="64"/>
      <c r="M463" s="67" t="str">
        <f aca="false">IF(A463="","",IF(AND(B463&gt;=WeekStart,B463&lt;=WeekEnd),"Yes","No"))</f>
        <v/>
      </c>
      <c r="N463" s="67" t="str">
        <f aca="false">IF(A463="","",IF(L463&lt;&gt;"Verified","Not verified",IF(COUNTIFS(in_CGID,C463,in_ClientID,E463,in_Svc,G463)&gt;0,"Yes","Not entered")))</f>
        <v/>
      </c>
    </row>
    <row r="464" customFormat="false" ht="15" hidden="false" customHeight="false" outlineLevel="0" collapsed="false">
      <c r="A464" s="64"/>
      <c r="B464" s="65"/>
      <c r="C464" s="64"/>
      <c r="D464" s="64"/>
      <c r="E464" s="64"/>
      <c r="F464" s="64"/>
      <c r="G464" s="64"/>
      <c r="H464" s="66"/>
      <c r="I464" s="66"/>
      <c r="J464" s="64"/>
      <c r="K464" s="64"/>
      <c r="L464" s="64"/>
      <c r="M464" s="67" t="str">
        <f aca="false">IF(A464="","",IF(AND(B464&gt;=WeekStart,B464&lt;=WeekEnd),"Yes","No"))</f>
        <v/>
      </c>
      <c r="N464" s="67" t="str">
        <f aca="false">IF(A464="","",IF(L464&lt;&gt;"Verified","Not verified",IF(COUNTIFS(in_CGID,C464,in_ClientID,E464,in_Svc,G464)&gt;0,"Yes","Not entered")))</f>
        <v/>
      </c>
    </row>
    <row r="465" customFormat="false" ht="15" hidden="false" customHeight="false" outlineLevel="0" collapsed="false">
      <c r="A465" s="64"/>
      <c r="B465" s="65"/>
      <c r="C465" s="64"/>
      <c r="D465" s="64"/>
      <c r="E465" s="64"/>
      <c r="F465" s="64"/>
      <c r="G465" s="64"/>
      <c r="H465" s="66"/>
      <c r="I465" s="66"/>
      <c r="J465" s="64"/>
      <c r="K465" s="64"/>
      <c r="L465" s="64"/>
      <c r="M465" s="67" t="str">
        <f aca="false">IF(A465="","",IF(AND(B465&gt;=WeekStart,B465&lt;=WeekEnd),"Yes","No"))</f>
        <v/>
      </c>
      <c r="N465" s="67" t="str">
        <f aca="false">IF(A465="","",IF(L465&lt;&gt;"Verified","Not verified",IF(COUNTIFS(in_CGID,C465,in_ClientID,E465,in_Svc,G465)&gt;0,"Yes","Not entered")))</f>
        <v/>
      </c>
    </row>
    <row r="466" customFormat="false" ht="15" hidden="false" customHeight="false" outlineLevel="0" collapsed="false">
      <c r="A466" s="64"/>
      <c r="B466" s="65"/>
      <c r="C466" s="64"/>
      <c r="D466" s="64"/>
      <c r="E466" s="64"/>
      <c r="F466" s="64"/>
      <c r="G466" s="64"/>
      <c r="H466" s="66"/>
      <c r="I466" s="66"/>
      <c r="J466" s="64"/>
      <c r="K466" s="64"/>
      <c r="L466" s="64"/>
      <c r="M466" s="67" t="str">
        <f aca="false">IF(A466="","",IF(AND(B466&gt;=WeekStart,B466&lt;=WeekEnd),"Yes","No"))</f>
        <v/>
      </c>
      <c r="N466" s="67" t="str">
        <f aca="false">IF(A466="","",IF(L466&lt;&gt;"Verified","Not verified",IF(COUNTIFS(in_CGID,C466,in_ClientID,E466,in_Svc,G466)&gt;0,"Yes","Not entered")))</f>
        <v/>
      </c>
    </row>
    <row r="467" customFormat="false" ht="15" hidden="false" customHeight="false" outlineLevel="0" collapsed="false">
      <c r="A467" s="64"/>
      <c r="B467" s="65"/>
      <c r="C467" s="64"/>
      <c r="D467" s="64"/>
      <c r="E467" s="64"/>
      <c r="F467" s="64"/>
      <c r="G467" s="64"/>
      <c r="H467" s="66"/>
      <c r="I467" s="66"/>
      <c r="J467" s="64"/>
      <c r="K467" s="64"/>
      <c r="L467" s="64"/>
      <c r="M467" s="67" t="str">
        <f aca="false">IF(A467="","",IF(AND(B467&gt;=WeekStart,B467&lt;=WeekEnd),"Yes","No"))</f>
        <v/>
      </c>
      <c r="N467" s="67" t="str">
        <f aca="false">IF(A467="","",IF(L467&lt;&gt;"Verified","Not verified",IF(COUNTIFS(in_CGID,C467,in_ClientID,E467,in_Svc,G467)&gt;0,"Yes","Not entered")))</f>
        <v/>
      </c>
    </row>
    <row r="468" customFormat="false" ht="15" hidden="false" customHeight="false" outlineLevel="0" collapsed="false">
      <c r="A468" s="64"/>
      <c r="B468" s="65"/>
      <c r="C468" s="64"/>
      <c r="D468" s="64"/>
      <c r="E468" s="64"/>
      <c r="F468" s="64"/>
      <c r="G468" s="64"/>
      <c r="H468" s="66"/>
      <c r="I468" s="66"/>
      <c r="J468" s="64"/>
      <c r="K468" s="64"/>
      <c r="L468" s="64"/>
      <c r="M468" s="67" t="str">
        <f aca="false">IF(A468="","",IF(AND(B468&gt;=WeekStart,B468&lt;=WeekEnd),"Yes","No"))</f>
        <v/>
      </c>
      <c r="N468" s="67" t="str">
        <f aca="false">IF(A468="","",IF(L468&lt;&gt;"Verified","Not verified",IF(COUNTIFS(in_CGID,C468,in_ClientID,E468,in_Svc,G468)&gt;0,"Yes","Not entered")))</f>
        <v/>
      </c>
    </row>
    <row r="469" customFormat="false" ht="15" hidden="false" customHeight="false" outlineLevel="0" collapsed="false">
      <c r="A469" s="64"/>
      <c r="B469" s="65"/>
      <c r="C469" s="64"/>
      <c r="D469" s="64"/>
      <c r="E469" s="64"/>
      <c r="F469" s="64"/>
      <c r="G469" s="64"/>
      <c r="H469" s="66"/>
      <c r="I469" s="66"/>
      <c r="J469" s="64"/>
      <c r="K469" s="64"/>
      <c r="L469" s="64"/>
      <c r="M469" s="67" t="str">
        <f aca="false">IF(A469="","",IF(AND(B469&gt;=WeekStart,B469&lt;=WeekEnd),"Yes","No"))</f>
        <v/>
      </c>
      <c r="N469" s="67" t="str">
        <f aca="false">IF(A469="","",IF(L469&lt;&gt;"Verified","Not verified",IF(COUNTIFS(in_CGID,C469,in_ClientID,E469,in_Svc,G469)&gt;0,"Yes","Not entered")))</f>
        <v/>
      </c>
    </row>
    <row r="470" customFormat="false" ht="15" hidden="false" customHeight="false" outlineLevel="0" collapsed="false">
      <c r="A470" s="64"/>
      <c r="B470" s="65"/>
      <c r="C470" s="64"/>
      <c r="D470" s="64"/>
      <c r="E470" s="64"/>
      <c r="F470" s="64"/>
      <c r="G470" s="64"/>
      <c r="H470" s="66"/>
      <c r="I470" s="66"/>
      <c r="J470" s="64"/>
      <c r="K470" s="64"/>
      <c r="L470" s="64"/>
      <c r="M470" s="67" t="str">
        <f aca="false">IF(A470="","",IF(AND(B470&gt;=WeekStart,B470&lt;=WeekEnd),"Yes","No"))</f>
        <v/>
      </c>
      <c r="N470" s="67" t="str">
        <f aca="false">IF(A470="","",IF(L470&lt;&gt;"Verified","Not verified",IF(COUNTIFS(in_CGID,C470,in_ClientID,E470,in_Svc,G470)&gt;0,"Yes","Not entered")))</f>
        <v/>
      </c>
    </row>
    <row r="471" customFormat="false" ht="15" hidden="false" customHeight="false" outlineLevel="0" collapsed="false">
      <c r="A471" s="64"/>
      <c r="B471" s="65"/>
      <c r="C471" s="64"/>
      <c r="D471" s="64"/>
      <c r="E471" s="64"/>
      <c r="F471" s="64"/>
      <c r="G471" s="64"/>
      <c r="H471" s="66"/>
      <c r="I471" s="66"/>
      <c r="J471" s="64"/>
      <c r="K471" s="64"/>
      <c r="L471" s="64"/>
      <c r="M471" s="67" t="str">
        <f aca="false">IF(A471="","",IF(AND(B471&gt;=WeekStart,B471&lt;=WeekEnd),"Yes","No"))</f>
        <v/>
      </c>
      <c r="N471" s="67" t="str">
        <f aca="false">IF(A471="","",IF(L471&lt;&gt;"Verified","Not verified",IF(COUNTIFS(in_CGID,C471,in_ClientID,E471,in_Svc,G471)&gt;0,"Yes","Not entered")))</f>
        <v/>
      </c>
    </row>
    <row r="472" customFormat="false" ht="15" hidden="false" customHeight="false" outlineLevel="0" collapsed="false">
      <c r="A472" s="64"/>
      <c r="B472" s="65"/>
      <c r="C472" s="64"/>
      <c r="D472" s="64"/>
      <c r="E472" s="64"/>
      <c r="F472" s="64"/>
      <c r="G472" s="64"/>
      <c r="H472" s="66"/>
      <c r="I472" s="66"/>
      <c r="J472" s="64"/>
      <c r="K472" s="64"/>
      <c r="L472" s="64"/>
      <c r="M472" s="67" t="str">
        <f aca="false">IF(A472="","",IF(AND(B472&gt;=WeekStart,B472&lt;=WeekEnd),"Yes","No"))</f>
        <v/>
      </c>
      <c r="N472" s="67" t="str">
        <f aca="false">IF(A472="","",IF(L472&lt;&gt;"Verified","Not verified",IF(COUNTIFS(in_CGID,C472,in_ClientID,E472,in_Svc,G472)&gt;0,"Yes","Not entered")))</f>
        <v/>
      </c>
    </row>
    <row r="473" customFormat="false" ht="15" hidden="false" customHeight="false" outlineLevel="0" collapsed="false">
      <c r="A473" s="64"/>
      <c r="B473" s="65"/>
      <c r="C473" s="64"/>
      <c r="D473" s="64"/>
      <c r="E473" s="64"/>
      <c r="F473" s="64"/>
      <c r="G473" s="64"/>
      <c r="H473" s="66"/>
      <c r="I473" s="66"/>
      <c r="J473" s="64"/>
      <c r="K473" s="64"/>
      <c r="L473" s="64"/>
      <c r="M473" s="67" t="str">
        <f aca="false">IF(A473="","",IF(AND(B473&gt;=WeekStart,B473&lt;=WeekEnd),"Yes","No"))</f>
        <v/>
      </c>
      <c r="N473" s="67" t="str">
        <f aca="false">IF(A473="","",IF(L473&lt;&gt;"Verified","Not verified",IF(COUNTIFS(in_CGID,C473,in_ClientID,E473,in_Svc,G473)&gt;0,"Yes","Not entered")))</f>
        <v/>
      </c>
    </row>
    <row r="474" customFormat="false" ht="15" hidden="false" customHeight="false" outlineLevel="0" collapsed="false">
      <c r="A474" s="64"/>
      <c r="B474" s="65"/>
      <c r="C474" s="64"/>
      <c r="D474" s="64"/>
      <c r="E474" s="64"/>
      <c r="F474" s="64"/>
      <c r="G474" s="64"/>
      <c r="H474" s="66"/>
      <c r="I474" s="66"/>
      <c r="J474" s="64"/>
      <c r="K474" s="64"/>
      <c r="L474" s="64"/>
      <c r="M474" s="67" t="str">
        <f aca="false">IF(A474="","",IF(AND(B474&gt;=WeekStart,B474&lt;=WeekEnd),"Yes","No"))</f>
        <v/>
      </c>
      <c r="N474" s="67" t="str">
        <f aca="false">IF(A474="","",IF(L474&lt;&gt;"Verified","Not verified",IF(COUNTIFS(in_CGID,C474,in_ClientID,E474,in_Svc,G474)&gt;0,"Yes","Not entered")))</f>
        <v/>
      </c>
    </row>
    <row r="475" customFormat="false" ht="15" hidden="false" customHeight="false" outlineLevel="0" collapsed="false">
      <c r="A475" s="64"/>
      <c r="B475" s="65"/>
      <c r="C475" s="64"/>
      <c r="D475" s="64"/>
      <c r="E475" s="64"/>
      <c r="F475" s="64"/>
      <c r="G475" s="64"/>
      <c r="H475" s="66"/>
      <c r="I475" s="66"/>
      <c r="J475" s="64"/>
      <c r="K475" s="64"/>
      <c r="L475" s="64"/>
      <c r="M475" s="67" t="str">
        <f aca="false">IF(A475="","",IF(AND(B475&gt;=WeekStart,B475&lt;=WeekEnd),"Yes","No"))</f>
        <v/>
      </c>
      <c r="N475" s="67" t="str">
        <f aca="false">IF(A475="","",IF(L475&lt;&gt;"Verified","Not verified",IF(COUNTIFS(in_CGID,C475,in_ClientID,E475,in_Svc,G475)&gt;0,"Yes","Not entered")))</f>
        <v/>
      </c>
    </row>
    <row r="476" customFormat="false" ht="15" hidden="false" customHeight="false" outlineLevel="0" collapsed="false">
      <c r="A476" s="64"/>
      <c r="B476" s="65"/>
      <c r="C476" s="64"/>
      <c r="D476" s="64"/>
      <c r="E476" s="64"/>
      <c r="F476" s="64"/>
      <c r="G476" s="64"/>
      <c r="H476" s="66"/>
      <c r="I476" s="66"/>
      <c r="J476" s="64"/>
      <c r="K476" s="64"/>
      <c r="L476" s="64"/>
      <c r="M476" s="67" t="str">
        <f aca="false">IF(A476="","",IF(AND(B476&gt;=WeekStart,B476&lt;=WeekEnd),"Yes","No"))</f>
        <v/>
      </c>
      <c r="N476" s="67" t="str">
        <f aca="false">IF(A476="","",IF(L476&lt;&gt;"Verified","Not verified",IF(COUNTIFS(in_CGID,C476,in_ClientID,E476,in_Svc,G476)&gt;0,"Yes","Not entered")))</f>
        <v/>
      </c>
    </row>
    <row r="477" customFormat="false" ht="15" hidden="false" customHeight="false" outlineLevel="0" collapsed="false">
      <c r="A477" s="64"/>
      <c r="B477" s="65"/>
      <c r="C477" s="64"/>
      <c r="D477" s="64"/>
      <c r="E477" s="64"/>
      <c r="F477" s="64"/>
      <c r="G477" s="64"/>
      <c r="H477" s="66"/>
      <c r="I477" s="66"/>
      <c r="J477" s="64"/>
      <c r="K477" s="64"/>
      <c r="L477" s="64"/>
      <c r="M477" s="67" t="str">
        <f aca="false">IF(A477="","",IF(AND(B477&gt;=WeekStart,B477&lt;=WeekEnd),"Yes","No"))</f>
        <v/>
      </c>
      <c r="N477" s="67" t="str">
        <f aca="false">IF(A477="","",IF(L477&lt;&gt;"Verified","Not verified",IF(COUNTIFS(in_CGID,C477,in_ClientID,E477,in_Svc,G477)&gt;0,"Yes","Not entered")))</f>
        <v/>
      </c>
    </row>
    <row r="478" customFormat="false" ht="15" hidden="false" customHeight="false" outlineLevel="0" collapsed="false">
      <c r="A478" s="64"/>
      <c r="B478" s="65"/>
      <c r="C478" s="64"/>
      <c r="D478" s="64"/>
      <c r="E478" s="64"/>
      <c r="F478" s="64"/>
      <c r="G478" s="64"/>
      <c r="H478" s="66"/>
      <c r="I478" s="66"/>
      <c r="J478" s="64"/>
      <c r="K478" s="64"/>
      <c r="L478" s="64"/>
      <c r="M478" s="67" t="str">
        <f aca="false">IF(A478="","",IF(AND(B478&gt;=WeekStart,B478&lt;=WeekEnd),"Yes","No"))</f>
        <v/>
      </c>
      <c r="N478" s="67" t="str">
        <f aca="false">IF(A478="","",IF(L478&lt;&gt;"Verified","Not verified",IF(COUNTIFS(in_CGID,C478,in_ClientID,E478,in_Svc,G478)&gt;0,"Yes","Not entered")))</f>
        <v/>
      </c>
    </row>
    <row r="479" customFormat="false" ht="15" hidden="false" customHeight="false" outlineLevel="0" collapsed="false">
      <c r="A479" s="64"/>
      <c r="B479" s="65"/>
      <c r="C479" s="64"/>
      <c r="D479" s="64"/>
      <c r="E479" s="64"/>
      <c r="F479" s="64"/>
      <c r="G479" s="64"/>
      <c r="H479" s="66"/>
      <c r="I479" s="66"/>
      <c r="J479" s="64"/>
      <c r="K479" s="64"/>
      <c r="L479" s="64"/>
      <c r="M479" s="67" t="str">
        <f aca="false">IF(A479="","",IF(AND(B479&gt;=WeekStart,B479&lt;=WeekEnd),"Yes","No"))</f>
        <v/>
      </c>
      <c r="N479" s="67" t="str">
        <f aca="false">IF(A479="","",IF(L479&lt;&gt;"Verified","Not verified",IF(COUNTIFS(in_CGID,C479,in_ClientID,E479,in_Svc,G479)&gt;0,"Yes","Not entered")))</f>
        <v/>
      </c>
    </row>
    <row r="480" customFormat="false" ht="15" hidden="false" customHeight="false" outlineLevel="0" collapsed="false">
      <c r="A480" s="64"/>
      <c r="B480" s="65"/>
      <c r="C480" s="64"/>
      <c r="D480" s="64"/>
      <c r="E480" s="64"/>
      <c r="F480" s="64"/>
      <c r="G480" s="64"/>
      <c r="H480" s="66"/>
      <c r="I480" s="66"/>
      <c r="J480" s="64"/>
      <c r="K480" s="64"/>
      <c r="L480" s="64"/>
      <c r="M480" s="67" t="str">
        <f aca="false">IF(A480="","",IF(AND(B480&gt;=WeekStart,B480&lt;=WeekEnd),"Yes","No"))</f>
        <v/>
      </c>
      <c r="N480" s="67" t="str">
        <f aca="false">IF(A480="","",IF(L480&lt;&gt;"Verified","Not verified",IF(COUNTIFS(in_CGID,C480,in_ClientID,E480,in_Svc,G480)&gt;0,"Yes","Not entered")))</f>
        <v/>
      </c>
    </row>
    <row r="481" customFormat="false" ht="15" hidden="false" customHeight="false" outlineLevel="0" collapsed="false">
      <c r="A481" s="64"/>
      <c r="B481" s="65"/>
      <c r="C481" s="64"/>
      <c r="D481" s="64"/>
      <c r="E481" s="64"/>
      <c r="F481" s="64"/>
      <c r="G481" s="64"/>
      <c r="H481" s="66"/>
      <c r="I481" s="66"/>
      <c r="J481" s="64"/>
      <c r="K481" s="64"/>
      <c r="L481" s="64"/>
      <c r="M481" s="67" t="str">
        <f aca="false">IF(A481="","",IF(AND(B481&gt;=WeekStart,B481&lt;=WeekEnd),"Yes","No"))</f>
        <v/>
      </c>
      <c r="N481" s="67" t="str">
        <f aca="false">IF(A481="","",IF(L481&lt;&gt;"Verified","Not verified",IF(COUNTIFS(in_CGID,C481,in_ClientID,E481,in_Svc,G481)&gt;0,"Yes","Not entered")))</f>
        <v/>
      </c>
    </row>
    <row r="482" customFormat="false" ht="15" hidden="false" customHeight="false" outlineLevel="0" collapsed="false">
      <c r="A482" s="64"/>
      <c r="B482" s="65"/>
      <c r="C482" s="64"/>
      <c r="D482" s="64"/>
      <c r="E482" s="64"/>
      <c r="F482" s="64"/>
      <c r="G482" s="64"/>
      <c r="H482" s="66"/>
      <c r="I482" s="66"/>
      <c r="J482" s="64"/>
      <c r="K482" s="64"/>
      <c r="L482" s="64"/>
      <c r="M482" s="67" t="str">
        <f aca="false">IF(A482="","",IF(AND(B482&gt;=WeekStart,B482&lt;=WeekEnd),"Yes","No"))</f>
        <v/>
      </c>
      <c r="N482" s="67" t="str">
        <f aca="false">IF(A482="","",IF(L482&lt;&gt;"Verified","Not verified",IF(COUNTIFS(in_CGID,C482,in_ClientID,E482,in_Svc,G482)&gt;0,"Yes","Not entered")))</f>
        <v/>
      </c>
    </row>
    <row r="483" customFormat="false" ht="15" hidden="false" customHeight="false" outlineLevel="0" collapsed="false">
      <c r="A483" s="64"/>
      <c r="B483" s="65"/>
      <c r="C483" s="64"/>
      <c r="D483" s="64"/>
      <c r="E483" s="64"/>
      <c r="F483" s="64"/>
      <c r="G483" s="64"/>
      <c r="H483" s="66"/>
      <c r="I483" s="66"/>
      <c r="J483" s="64"/>
      <c r="K483" s="64"/>
      <c r="L483" s="64"/>
      <c r="M483" s="67" t="str">
        <f aca="false">IF(A483="","",IF(AND(B483&gt;=WeekStart,B483&lt;=WeekEnd),"Yes","No"))</f>
        <v/>
      </c>
      <c r="N483" s="67" t="str">
        <f aca="false">IF(A483="","",IF(L483&lt;&gt;"Verified","Not verified",IF(COUNTIFS(in_CGID,C483,in_ClientID,E483,in_Svc,G483)&gt;0,"Yes","Not entered")))</f>
        <v/>
      </c>
    </row>
    <row r="484" customFormat="false" ht="15" hidden="false" customHeight="false" outlineLevel="0" collapsed="false">
      <c r="A484" s="64"/>
      <c r="B484" s="65"/>
      <c r="C484" s="64"/>
      <c r="D484" s="64"/>
      <c r="E484" s="64"/>
      <c r="F484" s="64"/>
      <c r="G484" s="64"/>
      <c r="H484" s="66"/>
      <c r="I484" s="66"/>
      <c r="J484" s="64"/>
      <c r="K484" s="64"/>
      <c r="L484" s="64"/>
      <c r="M484" s="67" t="str">
        <f aca="false">IF(A484="","",IF(AND(B484&gt;=WeekStart,B484&lt;=WeekEnd),"Yes","No"))</f>
        <v/>
      </c>
      <c r="N484" s="67" t="str">
        <f aca="false">IF(A484="","",IF(L484&lt;&gt;"Verified","Not verified",IF(COUNTIFS(in_CGID,C484,in_ClientID,E484,in_Svc,G484)&gt;0,"Yes","Not entered")))</f>
        <v/>
      </c>
    </row>
    <row r="485" customFormat="false" ht="15" hidden="false" customHeight="false" outlineLevel="0" collapsed="false">
      <c r="A485" s="64"/>
      <c r="B485" s="65"/>
      <c r="C485" s="64"/>
      <c r="D485" s="64"/>
      <c r="E485" s="64"/>
      <c r="F485" s="64"/>
      <c r="G485" s="64"/>
      <c r="H485" s="66"/>
      <c r="I485" s="66"/>
      <c r="J485" s="64"/>
      <c r="K485" s="64"/>
      <c r="L485" s="64"/>
      <c r="M485" s="67" t="str">
        <f aca="false">IF(A485="","",IF(AND(B485&gt;=WeekStart,B485&lt;=WeekEnd),"Yes","No"))</f>
        <v/>
      </c>
      <c r="N485" s="67" t="str">
        <f aca="false">IF(A485="","",IF(L485&lt;&gt;"Verified","Not verified",IF(COUNTIFS(in_CGID,C485,in_ClientID,E485,in_Svc,G485)&gt;0,"Yes","Not entered")))</f>
        <v/>
      </c>
    </row>
    <row r="486" customFormat="false" ht="15" hidden="false" customHeight="false" outlineLevel="0" collapsed="false">
      <c r="A486" s="64"/>
      <c r="B486" s="65"/>
      <c r="C486" s="64"/>
      <c r="D486" s="64"/>
      <c r="E486" s="64"/>
      <c r="F486" s="64"/>
      <c r="G486" s="64"/>
      <c r="H486" s="66"/>
      <c r="I486" s="66"/>
      <c r="J486" s="64"/>
      <c r="K486" s="64"/>
      <c r="L486" s="64"/>
      <c r="M486" s="67" t="str">
        <f aca="false">IF(A486="","",IF(AND(B486&gt;=WeekStart,B486&lt;=WeekEnd),"Yes","No"))</f>
        <v/>
      </c>
      <c r="N486" s="67" t="str">
        <f aca="false">IF(A486="","",IF(L486&lt;&gt;"Verified","Not verified",IF(COUNTIFS(in_CGID,C486,in_ClientID,E486,in_Svc,G486)&gt;0,"Yes","Not entered")))</f>
        <v/>
      </c>
    </row>
    <row r="487" customFormat="false" ht="15" hidden="false" customHeight="false" outlineLevel="0" collapsed="false">
      <c r="A487" s="64"/>
      <c r="B487" s="65"/>
      <c r="C487" s="64"/>
      <c r="D487" s="64"/>
      <c r="E487" s="64"/>
      <c r="F487" s="64"/>
      <c r="G487" s="64"/>
      <c r="H487" s="66"/>
      <c r="I487" s="66"/>
      <c r="J487" s="64"/>
      <c r="K487" s="64"/>
      <c r="L487" s="64"/>
      <c r="M487" s="67" t="str">
        <f aca="false">IF(A487="","",IF(AND(B487&gt;=WeekStart,B487&lt;=WeekEnd),"Yes","No"))</f>
        <v/>
      </c>
      <c r="N487" s="67" t="str">
        <f aca="false">IF(A487="","",IF(L487&lt;&gt;"Verified","Not verified",IF(COUNTIFS(in_CGID,C487,in_ClientID,E487,in_Svc,G487)&gt;0,"Yes","Not entered")))</f>
        <v/>
      </c>
    </row>
    <row r="488" customFormat="false" ht="15" hidden="false" customHeight="false" outlineLevel="0" collapsed="false">
      <c r="A488" s="64"/>
      <c r="B488" s="65"/>
      <c r="C488" s="64"/>
      <c r="D488" s="64"/>
      <c r="E488" s="64"/>
      <c r="F488" s="64"/>
      <c r="G488" s="64"/>
      <c r="H488" s="66"/>
      <c r="I488" s="66"/>
      <c r="J488" s="64"/>
      <c r="K488" s="64"/>
      <c r="L488" s="64"/>
      <c r="M488" s="67" t="str">
        <f aca="false">IF(A488="","",IF(AND(B488&gt;=WeekStart,B488&lt;=WeekEnd),"Yes","No"))</f>
        <v/>
      </c>
      <c r="N488" s="67" t="str">
        <f aca="false">IF(A488="","",IF(L488&lt;&gt;"Verified","Not verified",IF(COUNTIFS(in_CGID,C488,in_ClientID,E488,in_Svc,G488)&gt;0,"Yes","Not entered")))</f>
        <v/>
      </c>
    </row>
    <row r="489" customFormat="false" ht="15" hidden="false" customHeight="false" outlineLevel="0" collapsed="false">
      <c r="A489" s="64"/>
      <c r="B489" s="65"/>
      <c r="C489" s="64"/>
      <c r="D489" s="64"/>
      <c r="E489" s="64"/>
      <c r="F489" s="64"/>
      <c r="G489" s="64"/>
      <c r="H489" s="66"/>
      <c r="I489" s="66"/>
      <c r="J489" s="64"/>
      <c r="K489" s="64"/>
      <c r="L489" s="64"/>
      <c r="M489" s="67" t="str">
        <f aca="false">IF(A489="","",IF(AND(B489&gt;=WeekStart,B489&lt;=WeekEnd),"Yes","No"))</f>
        <v/>
      </c>
      <c r="N489" s="67" t="str">
        <f aca="false">IF(A489="","",IF(L489&lt;&gt;"Verified","Not verified",IF(COUNTIFS(in_CGID,C489,in_ClientID,E489,in_Svc,G489)&gt;0,"Yes","Not entered")))</f>
        <v/>
      </c>
    </row>
    <row r="490" customFormat="false" ht="15" hidden="false" customHeight="false" outlineLevel="0" collapsed="false">
      <c r="A490" s="64"/>
      <c r="B490" s="65"/>
      <c r="C490" s="64"/>
      <c r="D490" s="64"/>
      <c r="E490" s="64"/>
      <c r="F490" s="64"/>
      <c r="G490" s="64"/>
      <c r="H490" s="66"/>
      <c r="I490" s="66"/>
      <c r="J490" s="64"/>
      <c r="K490" s="64"/>
      <c r="L490" s="64"/>
      <c r="M490" s="67" t="str">
        <f aca="false">IF(A490="","",IF(AND(B490&gt;=WeekStart,B490&lt;=WeekEnd),"Yes","No"))</f>
        <v/>
      </c>
      <c r="N490" s="67" t="str">
        <f aca="false">IF(A490="","",IF(L490&lt;&gt;"Verified","Not verified",IF(COUNTIFS(in_CGID,C490,in_ClientID,E490,in_Svc,G490)&gt;0,"Yes","Not entered")))</f>
        <v/>
      </c>
    </row>
    <row r="491" customFormat="false" ht="15" hidden="false" customHeight="false" outlineLevel="0" collapsed="false">
      <c r="A491" s="64"/>
      <c r="B491" s="65"/>
      <c r="C491" s="64"/>
      <c r="D491" s="64"/>
      <c r="E491" s="64"/>
      <c r="F491" s="64"/>
      <c r="G491" s="64"/>
      <c r="H491" s="66"/>
      <c r="I491" s="66"/>
      <c r="J491" s="64"/>
      <c r="K491" s="64"/>
      <c r="L491" s="64"/>
      <c r="M491" s="67" t="str">
        <f aca="false">IF(A491="","",IF(AND(B491&gt;=WeekStart,B491&lt;=WeekEnd),"Yes","No"))</f>
        <v/>
      </c>
      <c r="N491" s="67" t="str">
        <f aca="false">IF(A491="","",IF(L491&lt;&gt;"Verified","Not verified",IF(COUNTIFS(in_CGID,C491,in_ClientID,E491,in_Svc,G491)&gt;0,"Yes","Not entered")))</f>
        <v/>
      </c>
    </row>
    <row r="492" customFormat="false" ht="15" hidden="false" customHeight="false" outlineLevel="0" collapsed="false">
      <c r="A492" s="64"/>
      <c r="B492" s="65"/>
      <c r="C492" s="64"/>
      <c r="D492" s="64"/>
      <c r="E492" s="64"/>
      <c r="F492" s="64"/>
      <c r="G492" s="64"/>
      <c r="H492" s="66"/>
      <c r="I492" s="66"/>
      <c r="J492" s="64"/>
      <c r="K492" s="64"/>
      <c r="L492" s="64"/>
      <c r="M492" s="67" t="str">
        <f aca="false">IF(A492="","",IF(AND(B492&gt;=WeekStart,B492&lt;=WeekEnd),"Yes","No"))</f>
        <v/>
      </c>
      <c r="N492" s="67" t="str">
        <f aca="false">IF(A492="","",IF(L492&lt;&gt;"Verified","Not verified",IF(COUNTIFS(in_CGID,C492,in_ClientID,E492,in_Svc,G492)&gt;0,"Yes","Not entered")))</f>
        <v/>
      </c>
    </row>
    <row r="493" customFormat="false" ht="15" hidden="false" customHeight="false" outlineLevel="0" collapsed="false">
      <c r="A493" s="64"/>
      <c r="B493" s="65"/>
      <c r="C493" s="64"/>
      <c r="D493" s="64"/>
      <c r="E493" s="64"/>
      <c r="F493" s="64"/>
      <c r="G493" s="64"/>
      <c r="H493" s="66"/>
      <c r="I493" s="66"/>
      <c r="J493" s="64"/>
      <c r="K493" s="64"/>
      <c r="L493" s="64"/>
      <c r="M493" s="67" t="str">
        <f aca="false">IF(A493="","",IF(AND(B493&gt;=WeekStart,B493&lt;=WeekEnd),"Yes","No"))</f>
        <v/>
      </c>
      <c r="N493" s="67" t="str">
        <f aca="false">IF(A493="","",IF(L493&lt;&gt;"Verified","Not verified",IF(COUNTIFS(in_CGID,C493,in_ClientID,E493,in_Svc,G493)&gt;0,"Yes","Not entered")))</f>
        <v/>
      </c>
    </row>
    <row r="494" customFormat="false" ht="15" hidden="false" customHeight="false" outlineLevel="0" collapsed="false">
      <c r="A494" s="64"/>
      <c r="B494" s="65"/>
      <c r="C494" s="64"/>
      <c r="D494" s="64"/>
      <c r="E494" s="64"/>
      <c r="F494" s="64"/>
      <c r="G494" s="64"/>
      <c r="H494" s="66"/>
      <c r="I494" s="66"/>
      <c r="J494" s="64"/>
      <c r="K494" s="64"/>
      <c r="L494" s="64"/>
      <c r="M494" s="67" t="str">
        <f aca="false">IF(A494="","",IF(AND(B494&gt;=WeekStart,B494&lt;=WeekEnd),"Yes","No"))</f>
        <v/>
      </c>
      <c r="N494" s="67" t="str">
        <f aca="false">IF(A494="","",IF(L494&lt;&gt;"Verified","Not verified",IF(COUNTIFS(in_CGID,C494,in_ClientID,E494,in_Svc,G494)&gt;0,"Yes","Not entered")))</f>
        <v/>
      </c>
    </row>
    <row r="495" customFormat="false" ht="15" hidden="false" customHeight="false" outlineLevel="0" collapsed="false">
      <c r="A495" s="64"/>
      <c r="B495" s="65"/>
      <c r="C495" s="64"/>
      <c r="D495" s="64"/>
      <c r="E495" s="64"/>
      <c r="F495" s="64"/>
      <c r="G495" s="64"/>
      <c r="H495" s="66"/>
      <c r="I495" s="66"/>
      <c r="J495" s="64"/>
      <c r="K495" s="64"/>
      <c r="L495" s="64"/>
      <c r="M495" s="67" t="str">
        <f aca="false">IF(A495="","",IF(AND(B495&gt;=WeekStart,B495&lt;=WeekEnd),"Yes","No"))</f>
        <v/>
      </c>
      <c r="N495" s="67" t="str">
        <f aca="false">IF(A495="","",IF(L495&lt;&gt;"Verified","Not verified",IF(COUNTIFS(in_CGID,C495,in_ClientID,E495,in_Svc,G495)&gt;0,"Yes","Not entered")))</f>
        <v/>
      </c>
    </row>
    <row r="496" customFormat="false" ht="15" hidden="false" customHeight="false" outlineLevel="0" collapsed="false">
      <c r="A496" s="64"/>
      <c r="B496" s="65"/>
      <c r="C496" s="64"/>
      <c r="D496" s="64"/>
      <c r="E496" s="64"/>
      <c r="F496" s="64"/>
      <c r="G496" s="64"/>
      <c r="H496" s="66"/>
      <c r="I496" s="66"/>
      <c r="J496" s="64"/>
      <c r="K496" s="64"/>
      <c r="L496" s="64"/>
      <c r="M496" s="67" t="str">
        <f aca="false">IF(A496="","",IF(AND(B496&gt;=WeekStart,B496&lt;=WeekEnd),"Yes","No"))</f>
        <v/>
      </c>
      <c r="N496" s="67" t="str">
        <f aca="false">IF(A496="","",IF(L496&lt;&gt;"Verified","Not verified",IF(COUNTIFS(in_CGID,C496,in_ClientID,E496,in_Svc,G496)&gt;0,"Yes","Not entered")))</f>
        <v/>
      </c>
    </row>
    <row r="497" customFormat="false" ht="15" hidden="false" customHeight="false" outlineLevel="0" collapsed="false">
      <c r="A497" s="64"/>
      <c r="B497" s="65"/>
      <c r="C497" s="64"/>
      <c r="D497" s="64"/>
      <c r="E497" s="64"/>
      <c r="F497" s="64"/>
      <c r="G497" s="64"/>
      <c r="H497" s="66"/>
      <c r="I497" s="66"/>
      <c r="J497" s="64"/>
      <c r="K497" s="64"/>
      <c r="L497" s="64"/>
      <c r="M497" s="67" t="str">
        <f aca="false">IF(A497="","",IF(AND(B497&gt;=WeekStart,B497&lt;=WeekEnd),"Yes","No"))</f>
        <v/>
      </c>
      <c r="N497" s="67" t="str">
        <f aca="false">IF(A497="","",IF(L497&lt;&gt;"Verified","Not verified",IF(COUNTIFS(in_CGID,C497,in_ClientID,E497,in_Svc,G497)&gt;0,"Yes","Not entered")))</f>
        <v/>
      </c>
    </row>
    <row r="498" customFormat="false" ht="15" hidden="false" customHeight="false" outlineLevel="0" collapsed="false">
      <c r="A498" s="64"/>
      <c r="B498" s="65"/>
      <c r="C498" s="64"/>
      <c r="D498" s="64"/>
      <c r="E498" s="64"/>
      <c r="F498" s="64"/>
      <c r="G498" s="64"/>
      <c r="H498" s="66"/>
      <c r="I498" s="66"/>
      <c r="J498" s="64"/>
      <c r="K498" s="64"/>
      <c r="L498" s="64"/>
      <c r="M498" s="67" t="str">
        <f aca="false">IF(A498="","",IF(AND(B498&gt;=WeekStart,B498&lt;=WeekEnd),"Yes","No"))</f>
        <v/>
      </c>
      <c r="N498" s="67" t="str">
        <f aca="false">IF(A498="","",IF(L498&lt;&gt;"Verified","Not verified",IF(COUNTIFS(in_CGID,C498,in_ClientID,E498,in_Svc,G498)&gt;0,"Yes","Not entered")))</f>
        <v/>
      </c>
    </row>
    <row r="499" customFormat="false" ht="15" hidden="false" customHeight="false" outlineLevel="0" collapsed="false">
      <c r="A499" s="64"/>
      <c r="B499" s="65"/>
      <c r="C499" s="64"/>
      <c r="D499" s="64"/>
      <c r="E499" s="64"/>
      <c r="F499" s="64"/>
      <c r="G499" s="64"/>
      <c r="H499" s="66"/>
      <c r="I499" s="66"/>
      <c r="J499" s="64"/>
      <c r="K499" s="64"/>
      <c r="L499" s="64"/>
      <c r="M499" s="67" t="str">
        <f aca="false">IF(A499="","",IF(AND(B499&gt;=WeekStart,B499&lt;=WeekEnd),"Yes","No"))</f>
        <v/>
      </c>
      <c r="N499" s="67" t="str">
        <f aca="false">IF(A499="","",IF(L499&lt;&gt;"Verified","Not verified",IF(COUNTIFS(in_CGID,C499,in_ClientID,E499,in_Svc,G499)&gt;0,"Yes","Not entered")))</f>
        <v/>
      </c>
    </row>
    <row r="500" customFormat="false" ht="15" hidden="false" customHeight="false" outlineLevel="0" collapsed="false">
      <c r="A500" s="64"/>
      <c r="B500" s="65"/>
      <c r="C500" s="64"/>
      <c r="D500" s="64"/>
      <c r="E500" s="64"/>
      <c r="F500" s="64"/>
      <c r="G500" s="64"/>
      <c r="H500" s="66"/>
      <c r="I500" s="66"/>
      <c r="J500" s="64"/>
      <c r="K500" s="64"/>
      <c r="L500" s="64"/>
      <c r="M500" s="67" t="str">
        <f aca="false">IF(A500="","",IF(AND(B500&gt;=WeekStart,B500&lt;=WeekEnd),"Yes","No"))</f>
        <v/>
      </c>
      <c r="N500" s="67" t="str">
        <f aca="false">IF(A500="","",IF(L500&lt;&gt;"Verified","Not verified",IF(COUNTIFS(in_CGID,C500,in_ClientID,E500,in_Svc,G500)&gt;0,"Yes","Not entered")))</f>
        <v/>
      </c>
    </row>
    <row r="501" customFormat="false" ht="15" hidden="false" customHeight="false" outlineLevel="0" collapsed="false">
      <c r="A501" s="64"/>
      <c r="B501" s="65"/>
      <c r="C501" s="64"/>
      <c r="D501" s="64"/>
      <c r="E501" s="64"/>
      <c r="F501" s="64"/>
      <c r="G501" s="64"/>
      <c r="H501" s="66"/>
      <c r="I501" s="66"/>
      <c r="J501" s="64"/>
      <c r="K501" s="64"/>
      <c r="L501" s="64"/>
      <c r="M501" s="67" t="str">
        <f aca="false">IF(A501="","",IF(AND(B501&gt;=WeekStart,B501&lt;=WeekEnd),"Yes","No"))</f>
        <v/>
      </c>
      <c r="N501" s="67" t="str">
        <f aca="false">IF(A501="","",IF(L501&lt;&gt;"Verified","Not verified",IF(COUNTIFS(in_CGID,C501,in_ClientID,E501,in_Svc,G501)&gt;0,"Yes","Not entered")))</f>
        <v/>
      </c>
    </row>
    <row r="502" customFormat="false" ht="15" hidden="false" customHeight="false" outlineLevel="0" collapsed="false">
      <c r="A502" s="64"/>
      <c r="B502" s="65"/>
      <c r="C502" s="64"/>
      <c r="D502" s="64"/>
      <c r="E502" s="64"/>
      <c r="F502" s="64"/>
      <c r="G502" s="64"/>
      <c r="H502" s="66"/>
      <c r="I502" s="66"/>
      <c r="J502" s="64"/>
      <c r="K502" s="64"/>
      <c r="L502" s="64"/>
      <c r="M502" s="67" t="str">
        <f aca="false">IF(A502="","",IF(AND(B502&gt;=WeekStart,B502&lt;=WeekEnd),"Yes","No"))</f>
        <v/>
      </c>
      <c r="N502" s="67" t="str">
        <f aca="false">IF(A502="","",IF(L502&lt;&gt;"Verified","Not verified",IF(COUNTIFS(in_CGID,C502,in_ClientID,E502,in_Svc,G502)&gt;0,"Yes","Not entered")))</f>
        <v/>
      </c>
    </row>
    <row r="503" customFormat="false" ht="15" hidden="false" customHeight="false" outlineLevel="0" collapsed="false">
      <c r="A503" s="64"/>
      <c r="B503" s="65"/>
      <c r="C503" s="64"/>
      <c r="D503" s="64"/>
      <c r="E503" s="64"/>
      <c r="F503" s="64"/>
      <c r="G503" s="64"/>
      <c r="H503" s="66"/>
      <c r="I503" s="66"/>
      <c r="J503" s="64"/>
      <c r="K503" s="64"/>
      <c r="L503" s="64"/>
      <c r="M503" s="67" t="str">
        <f aca="false">IF(A503="","",IF(AND(B503&gt;=WeekStart,B503&lt;=WeekEnd),"Yes","No"))</f>
        <v/>
      </c>
      <c r="N503" s="67" t="str">
        <f aca="false">IF(A503="","",IF(L503&lt;&gt;"Verified","Not verified",IF(COUNTIFS(in_CGID,C503,in_ClientID,E503,in_Svc,G503)&gt;0,"Yes","Not entered")))</f>
        <v/>
      </c>
    </row>
    <row r="504" customFormat="false" ht="15" hidden="false" customHeight="false" outlineLevel="0" collapsed="false">
      <c r="A504" s="64"/>
      <c r="B504" s="65"/>
      <c r="C504" s="64"/>
      <c r="D504" s="64"/>
      <c r="E504" s="64"/>
      <c r="F504" s="64"/>
      <c r="G504" s="64"/>
      <c r="H504" s="66"/>
      <c r="I504" s="66"/>
      <c r="J504" s="64"/>
      <c r="K504" s="64"/>
      <c r="L504" s="64"/>
      <c r="M504" s="67" t="str">
        <f aca="false">IF(A504="","",IF(AND(B504&gt;=WeekStart,B504&lt;=WeekEnd),"Yes","No"))</f>
        <v/>
      </c>
      <c r="N504" s="67" t="str">
        <f aca="false">IF(A504="","",IF(L504&lt;&gt;"Verified","Not verified",IF(COUNTIFS(in_CGID,C504,in_ClientID,E504,in_Svc,G504)&gt;0,"Yes","Not entered")))</f>
        <v/>
      </c>
    </row>
    <row r="505" customFormat="false" ht="15" hidden="false" customHeight="false" outlineLevel="0" collapsed="false">
      <c r="A505" s="64"/>
      <c r="B505" s="65"/>
      <c r="C505" s="64"/>
      <c r="D505" s="64"/>
      <c r="E505" s="64"/>
      <c r="F505" s="64"/>
      <c r="G505" s="64"/>
      <c r="H505" s="66"/>
      <c r="I505" s="66"/>
      <c r="J505" s="64"/>
      <c r="K505" s="64"/>
      <c r="L505" s="64"/>
      <c r="M505" s="67" t="str">
        <f aca="false">IF(A505="","",IF(AND(B505&gt;=WeekStart,B505&lt;=WeekEnd),"Yes","No"))</f>
        <v/>
      </c>
      <c r="N505" s="67" t="str">
        <f aca="false">IF(A505="","",IF(L505&lt;&gt;"Verified","Not verified",IF(COUNTIFS(in_CGID,C505,in_ClientID,E505,in_Svc,G505)&gt;0,"Yes","Not entered")))</f>
        <v/>
      </c>
    </row>
    <row r="506" customFormat="false" ht="15" hidden="false" customHeight="false" outlineLevel="0" collapsed="false">
      <c r="A506" s="64"/>
      <c r="B506" s="65"/>
      <c r="C506" s="64"/>
      <c r="D506" s="64"/>
      <c r="E506" s="64"/>
      <c r="F506" s="64"/>
      <c r="G506" s="64"/>
      <c r="H506" s="66"/>
      <c r="I506" s="66"/>
      <c r="J506" s="64"/>
      <c r="K506" s="64"/>
      <c r="L506" s="64"/>
      <c r="M506" s="67" t="str">
        <f aca="false">IF(A506="","",IF(AND(B506&gt;=WeekStart,B506&lt;=WeekEnd),"Yes","No"))</f>
        <v/>
      </c>
      <c r="N506" s="67" t="str">
        <f aca="false">IF(A506="","",IF(L506&lt;&gt;"Verified","Not verified",IF(COUNTIFS(in_CGID,C506,in_ClientID,E506,in_Svc,G506)&gt;0,"Yes","Not entered")))</f>
        <v/>
      </c>
    </row>
    <row r="507" customFormat="false" ht="15" hidden="false" customHeight="false" outlineLevel="0" collapsed="false">
      <c r="A507" s="64"/>
      <c r="B507" s="65"/>
      <c r="C507" s="64"/>
      <c r="D507" s="64"/>
      <c r="E507" s="64"/>
      <c r="F507" s="64"/>
      <c r="G507" s="64"/>
      <c r="H507" s="66"/>
      <c r="I507" s="66"/>
      <c r="J507" s="64"/>
      <c r="K507" s="64"/>
      <c r="L507" s="64"/>
      <c r="M507" s="67" t="str">
        <f aca="false">IF(A507="","",IF(AND(B507&gt;=WeekStart,B507&lt;=WeekEnd),"Yes","No"))</f>
        <v/>
      </c>
      <c r="N507" s="67" t="str">
        <f aca="false">IF(A507="","",IF(L507&lt;&gt;"Verified","Not verified",IF(COUNTIFS(in_CGID,C507,in_ClientID,E507,in_Svc,G507)&gt;0,"Yes","Not entered")))</f>
        <v/>
      </c>
    </row>
    <row r="508" customFormat="false" ht="15" hidden="false" customHeight="false" outlineLevel="0" collapsed="false">
      <c r="A508" s="64"/>
      <c r="B508" s="65"/>
      <c r="C508" s="64"/>
      <c r="D508" s="64"/>
      <c r="E508" s="64"/>
      <c r="F508" s="64"/>
      <c r="G508" s="64"/>
      <c r="H508" s="66"/>
      <c r="I508" s="66"/>
      <c r="J508" s="64"/>
      <c r="K508" s="64"/>
      <c r="L508" s="64"/>
      <c r="M508" s="67" t="str">
        <f aca="false">IF(A508="","",IF(AND(B508&gt;=WeekStart,B508&lt;=WeekEnd),"Yes","No"))</f>
        <v/>
      </c>
      <c r="N508" s="67" t="str">
        <f aca="false">IF(A508="","",IF(L508&lt;&gt;"Verified","Not verified",IF(COUNTIFS(in_CGID,C508,in_ClientID,E508,in_Svc,G508)&gt;0,"Yes","Not entered")))</f>
        <v/>
      </c>
    </row>
    <row r="509" customFormat="false" ht="15" hidden="false" customHeight="false" outlineLevel="0" collapsed="false">
      <c r="A509" s="64"/>
      <c r="B509" s="65"/>
      <c r="C509" s="64"/>
      <c r="D509" s="64"/>
      <c r="E509" s="64"/>
      <c r="F509" s="64"/>
      <c r="G509" s="64"/>
      <c r="H509" s="66"/>
      <c r="I509" s="66"/>
      <c r="J509" s="64"/>
      <c r="K509" s="64"/>
      <c r="L509" s="64"/>
      <c r="M509" s="67" t="str">
        <f aca="false">IF(A509="","",IF(AND(B509&gt;=WeekStart,B509&lt;=WeekEnd),"Yes","No"))</f>
        <v/>
      </c>
      <c r="N509" s="67" t="str">
        <f aca="false">IF(A509="","",IF(L509&lt;&gt;"Verified","Not verified",IF(COUNTIFS(in_CGID,C509,in_ClientID,E509,in_Svc,G509)&gt;0,"Yes","Not entered")))</f>
        <v/>
      </c>
    </row>
    <row r="510" customFormat="false" ht="15" hidden="false" customHeight="false" outlineLevel="0" collapsed="false">
      <c r="A510" s="64"/>
      <c r="B510" s="65"/>
      <c r="C510" s="64"/>
      <c r="D510" s="64"/>
      <c r="E510" s="64"/>
      <c r="F510" s="64"/>
      <c r="G510" s="64"/>
      <c r="H510" s="66"/>
      <c r="I510" s="66"/>
      <c r="J510" s="64"/>
      <c r="K510" s="64"/>
      <c r="L510" s="64"/>
      <c r="M510" s="67" t="str">
        <f aca="false">IF(A510="","",IF(AND(B510&gt;=WeekStart,B510&lt;=WeekEnd),"Yes","No"))</f>
        <v/>
      </c>
      <c r="N510" s="67" t="str">
        <f aca="false">IF(A510="","",IF(L510&lt;&gt;"Verified","Not verified",IF(COUNTIFS(in_CGID,C510,in_ClientID,E510,in_Svc,G510)&gt;0,"Yes","Not entered")))</f>
        <v/>
      </c>
    </row>
    <row r="511" customFormat="false" ht="15" hidden="false" customHeight="false" outlineLevel="0" collapsed="false">
      <c r="A511" s="64"/>
      <c r="B511" s="65"/>
      <c r="C511" s="64"/>
      <c r="D511" s="64"/>
      <c r="E511" s="64"/>
      <c r="F511" s="64"/>
      <c r="G511" s="64"/>
      <c r="H511" s="66"/>
      <c r="I511" s="66"/>
      <c r="J511" s="64"/>
      <c r="K511" s="64"/>
      <c r="L511" s="64"/>
      <c r="M511" s="67" t="str">
        <f aca="false">IF(A511="","",IF(AND(B511&gt;=WeekStart,B511&lt;=WeekEnd),"Yes","No"))</f>
        <v/>
      </c>
      <c r="N511" s="67" t="str">
        <f aca="false">IF(A511="","",IF(L511&lt;&gt;"Verified","Not verified",IF(COUNTIFS(in_CGID,C511,in_ClientID,E511,in_Svc,G511)&gt;0,"Yes","Not entered")))</f>
        <v/>
      </c>
    </row>
    <row r="512" customFormat="false" ht="15" hidden="false" customHeight="false" outlineLevel="0" collapsed="false">
      <c r="A512" s="64"/>
      <c r="B512" s="65"/>
      <c r="C512" s="64"/>
      <c r="D512" s="64"/>
      <c r="E512" s="64"/>
      <c r="F512" s="64"/>
      <c r="G512" s="64"/>
      <c r="H512" s="66"/>
      <c r="I512" s="66"/>
      <c r="J512" s="64"/>
      <c r="K512" s="64"/>
      <c r="L512" s="64"/>
      <c r="M512" s="67" t="str">
        <f aca="false">IF(A512="","",IF(AND(B512&gt;=WeekStart,B512&lt;=WeekEnd),"Yes","No"))</f>
        <v/>
      </c>
      <c r="N512" s="67" t="str">
        <f aca="false">IF(A512="","",IF(L512&lt;&gt;"Verified","Not verified",IF(COUNTIFS(in_CGID,C512,in_ClientID,E512,in_Svc,G512)&gt;0,"Yes","Not entered")))</f>
        <v/>
      </c>
    </row>
    <row r="513" customFormat="false" ht="15" hidden="false" customHeight="false" outlineLevel="0" collapsed="false">
      <c r="A513" s="64"/>
      <c r="B513" s="65"/>
      <c r="C513" s="64"/>
      <c r="D513" s="64"/>
      <c r="E513" s="64"/>
      <c r="F513" s="64"/>
      <c r="G513" s="64"/>
      <c r="H513" s="66"/>
      <c r="I513" s="66"/>
      <c r="J513" s="64"/>
      <c r="K513" s="64"/>
      <c r="L513" s="64"/>
      <c r="M513" s="67" t="str">
        <f aca="false">IF(A513="","",IF(AND(B513&gt;=WeekStart,B513&lt;=WeekEnd),"Yes","No"))</f>
        <v/>
      </c>
      <c r="N513" s="67" t="str">
        <f aca="false">IF(A513="","",IF(L513&lt;&gt;"Verified","Not verified",IF(COUNTIFS(in_CGID,C513,in_ClientID,E513,in_Svc,G513)&gt;0,"Yes","Not entered")))</f>
        <v/>
      </c>
    </row>
    <row r="514" customFormat="false" ht="15" hidden="false" customHeight="false" outlineLevel="0" collapsed="false">
      <c r="A514" s="64"/>
      <c r="B514" s="65"/>
      <c r="C514" s="64"/>
      <c r="D514" s="64"/>
      <c r="E514" s="64"/>
      <c r="F514" s="64"/>
      <c r="G514" s="64"/>
      <c r="H514" s="66"/>
      <c r="I514" s="66"/>
      <c r="J514" s="64"/>
      <c r="K514" s="64"/>
      <c r="L514" s="64"/>
      <c r="M514" s="67" t="str">
        <f aca="false">IF(A514="","",IF(AND(B514&gt;=WeekStart,B514&lt;=WeekEnd),"Yes","No"))</f>
        <v/>
      </c>
      <c r="N514" s="67" t="str">
        <f aca="false">IF(A514="","",IF(L514&lt;&gt;"Verified","Not verified",IF(COUNTIFS(in_CGID,C514,in_ClientID,E514,in_Svc,G514)&gt;0,"Yes","Not entered")))</f>
        <v/>
      </c>
    </row>
    <row r="515" customFormat="false" ht="15" hidden="false" customHeight="false" outlineLevel="0" collapsed="false">
      <c r="A515" s="64"/>
      <c r="B515" s="65"/>
      <c r="C515" s="64"/>
      <c r="D515" s="64"/>
      <c r="E515" s="64"/>
      <c r="F515" s="64"/>
      <c r="G515" s="64"/>
      <c r="H515" s="66"/>
      <c r="I515" s="66"/>
      <c r="J515" s="64"/>
      <c r="K515" s="64"/>
      <c r="L515" s="64"/>
      <c r="M515" s="67" t="str">
        <f aca="false">IF(A515="","",IF(AND(B515&gt;=WeekStart,B515&lt;=WeekEnd),"Yes","No"))</f>
        <v/>
      </c>
      <c r="N515" s="67" t="str">
        <f aca="false">IF(A515="","",IF(L515&lt;&gt;"Verified","Not verified",IF(COUNTIFS(in_CGID,C515,in_ClientID,E515,in_Svc,G515)&gt;0,"Yes","Not entered")))</f>
        <v/>
      </c>
    </row>
    <row r="516" customFormat="false" ht="15" hidden="false" customHeight="false" outlineLevel="0" collapsed="false">
      <c r="A516" s="64"/>
      <c r="B516" s="65"/>
      <c r="C516" s="64"/>
      <c r="D516" s="64"/>
      <c r="E516" s="64"/>
      <c r="F516" s="64"/>
      <c r="G516" s="64"/>
      <c r="H516" s="66"/>
      <c r="I516" s="66"/>
      <c r="J516" s="64"/>
      <c r="K516" s="64"/>
      <c r="L516" s="64"/>
      <c r="M516" s="67" t="str">
        <f aca="false">IF(A516="","",IF(AND(B516&gt;=WeekStart,B516&lt;=WeekEnd),"Yes","No"))</f>
        <v/>
      </c>
      <c r="N516" s="67" t="str">
        <f aca="false">IF(A516="","",IF(L516&lt;&gt;"Verified","Not verified",IF(COUNTIFS(in_CGID,C516,in_ClientID,E516,in_Svc,G516)&gt;0,"Yes","Not entered")))</f>
        <v/>
      </c>
    </row>
    <row r="517" customFormat="false" ht="15" hidden="false" customHeight="false" outlineLevel="0" collapsed="false">
      <c r="A517" s="64"/>
      <c r="B517" s="65"/>
      <c r="C517" s="64"/>
      <c r="D517" s="64"/>
      <c r="E517" s="64"/>
      <c r="F517" s="64"/>
      <c r="G517" s="64"/>
      <c r="H517" s="66"/>
      <c r="I517" s="66"/>
      <c r="J517" s="64"/>
      <c r="K517" s="64"/>
      <c r="L517" s="64"/>
      <c r="M517" s="67" t="str">
        <f aca="false">IF(A517="","",IF(AND(B517&gt;=WeekStart,B517&lt;=WeekEnd),"Yes","No"))</f>
        <v/>
      </c>
      <c r="N517" s="67" t="str">
        <f aca="false">IF(A517="","",IF(L517&lt;&gt;"Verified","Not verified",IF(COUNTIFS(in_CGID,C517,in_ClientID,E517,in_Svc,G517)&gt;0,"Yes","Not entered")))</f>
        <v/>
      </c>
    </row>
    <row r="518" customFormat="false" ht="15" hidden="false" customHeight="false" outlineLevel="0" collapsed="false">
      <c r="A518" s="64"/>
      <c r="B518" s="65"/>
      <c r="C518" s="64"/>
      <c r="D518" s="64"/>
      <c r="E518" s="64"/>
      <c r="F518" s="64"/>
      <c r="G518" s="64"/>
      <c r="H518" s="66"/>
      <c r="I518" s="66"/>
      <c r="J518" s="64"/>
      <c r="K518" s="64"/>
      <c r="L518" s="64"/>
      <c r="M518" s="67" t="str">
        <f aca="false">IF(A518="","",IF(AND(B518&gt;=WeekStart,B518&lt;=WeekEnd),"Yes","No"))</f>
        <v/>
      </c>
      <c r="N518" s="67" t="str">
        <f aca="false">IF(A518="","",IF(L518&lt;&gt;"Verified","Not verified",IF(COUNTIFS(in_CGID,C518,in_ClientID,E518,in_Svc,G518)&gt;0,"Yes","Not entered")))</f>
        <v/>
      </c>
    </row>
    <row r="519" customFormat="false" ht="15" hidden="false" customHeight="false" outlineLevel="0" collapsed="false">
      <c r="A519" s="64"/>
      <c r="B519" s="65"/>
      <c r="C519" s="64"/>
      <c r="D519" s="64"/>
      <c r="E519" s="64"/>
      <c r="F519" s="64"/>
      <c r="G519" s="64"/>
      <c r="H519" s="66"/>
      <c r="I519" s="66"/>
      <c r="J519" s="64"/>
      <c r="K519" s="64"/>
      <c r="L519" s="64"/>
      <c r="M519" s="67" t="str">
        <f aca="false">IF(A519="","",IF(AND(B519&gt;=WeekStart,B519&lt;=WeekEnd),"Yes","No"))</f>
        <v/>
      </c>
      <c r="N519" s="67" t="str">
        <f aca="false">IF(A519="","",IF(L519&lt;&gt;"Verified","Not verified",IF(COUNTIFS(in_CGID,C519,in_ClientID,E519,in_Svc,G519)&gt;0,"Yes","Not entered")))</f>
        <v/>
      </c>
    </row>
    <row r="520" customFormat="false" ht="15" hidden="false" customHeight="false" outlineLevel="0" collapsed="false">
      <c r="A520" s="64"/>
      <c r="B520" s="65"/>
      <c r="C520" s="64"/>
      <c r="D520" s="64"/>
      <c r="E520" s="64"/>
      <c r="F520" s="64"/>
      <c r="G520" s="64"/>
      <c r="H520" s="66"/>
      <c r="I520" s="66"/>
      <c r="J520" s="64"/>
      <c r="K520" s="64"/>
      <c r="L520" s="64"/>
      <c r="M520" s="67" t="str">
        <f aca="false">IF(A520="","",IF(AND(B520&gt;=WeekStart,B520&lt;=WeekEnd),"Yes","No"))</f>
        <v/>
      </c>
      <c r="N520" s="67" t="str">
        <f aca="false">IF(A520="","",IF(L520&lt;&gt;"Verified","Not verified",IF(COUNTIFS(in_CGID,C520,in_ClientID,E520,in_Svc,G520)&gt;0,"Yes","Not entered")))</f>
        <v/>
      </c>
    </row>
    <row r="521" customFormat="false" ht="15" hidden="false" customHeight="false" outlineLevel="0" collapsed="false">
      <c r="A521" s="64"/>
      <c r="B521" s="65"/>
      <c r="C521" s="64"/>
      <c r="D521" s="64"/>
      <c r="E521" s="64"/>
      <c r="F521" s="64"/>
      <c r="G521" s="64"/>
      <c r="H521" s="66"/>
      <c r="I521" s="66"/>
      <c r="J521" s="64"/>
      <c r="K521" s="64"/>
      <c r="L521" s="64"/>
      <c r="M521" s="67" t="str">
        <f aca="false">IF(A521="","",IF(AND(B521&gt;=WeekStart,B521&lt;=WeekEnd),"Yes","No"))</f>
        <v/>
      </c>
      <c r="N521" s="67" t="str">
        <f aca="false">IF(A521="","",IF(L521&lt;&gt;"Verified","Not verified",IF(COUNTIFS(in_CGID,C521,in_ClientID,E521,in_Svc,G521)&gt;0,"Yes","Not entered")))</f>
        <v/>
      </c>
    </row>
    <row r="522" customFormat="false" ht="15" hidden="false" customHeight="false" outlineLevel="0" collapsed="false">
      <c r="A522" s="64"/>
      <c r="B522" s="65"/>
      <c r="C522" s="64"/>
      <c r="D522" s="64"/>
      <c r="E522" s="64"/>
      <c r="F522" s="64"/>
      <c r="G522" s="64"/>
      <c r="H522" s="66"/>
      <c r="I522" s="66"/>
      <c r="J522" s="64"/>
      <c r="K522" s="64"/>
      <c r="L522" s="64"/>
      <c r="M522" s="67" t="str">
        <f aca="false">IF(A522="","",IF(AND(B522&gt;=WeekStart,B522&lt;=WeekEnd),"Yes","No"))</f>
        <v/>
      </c>
      <c r="N522" s="67" t="str">
        <f aca="false">IF(A522="","",IF(L522&lt;&gt;"Verified","Not verified",IF(COUNTIFS(in_CGID,C522,in_ClientID,E522,in_Svc,G522)&gt;0,"Yes","Not entered")))</f>
        <v/>
      </c>
    </row>
    <row r="523" customFormat="false" ht="15" hidden="false" customHeight="false" outlineLevel="0" collapsed="false">
      <c r="A523" s="64"/>
      <c r="B523" s="65"/>
      <c r="C523" s="64"/>
      <c r="D523" s="64"/>
      <c r="E523" s="64"/>
      <c r="F523" s="64"/>
      <c r="G523" s="64"/>
      <c r="H523" s="66"/>
      <c r="I523" s="66"/>
      <c r="J523" s="64"/>
      <c r="K523" s="64"/>
      <c r="L523" s="64"/>
      <c r="M523" s="67" t="str">
        <f aca="false">IF(A523="","",IF(AND(B523&gt;=WeekStart,B523&lt;=WeekEnd),"Yes","No"))</f>
        <v/>
      </c>
      <c r="N523" s="67" t="str">
        <f aca="false">IF(A523="","",IF(L523&lt;&gt;"Verified","Not verified",IF(COUNTIFS(in_CGID,C523,in_ClientID,E523,in_Svc,G523)&gt;0,"Yes","Not entered")))</f>
        <v/>
      </c>
    </row>
    <row r="524" customFormat="false" ht="15" hidden="false" customHeight="false" outlineLevel="0" collapsed="false">
      <c r="A524" s="64"/>
      <c r="B524" s="65"/>
      <c r="C524" s="64"/>
      <c r="D524" s="64"/>
      <c r="E524" s="64"/>
      <c r="F524" s="64"/>
      <c r="G524" s="64"/>
      <c r="H524" s="66"/>
      <c r="I524" s="66"/>
      <c r="J524" s="64"/>
      <c r="K524" s="64"/>
      <c r="L524" s="64"/>
      <c r="M524" s="67" t="str">
        <f aca="false">IF(A524="","",IF(AND(B524&gt;=WeekStart,B524&lt;=WeekEnd),"Yes","No"))</f>
        <v/>
      </c>
      <c r="N524" s="67" t="str">
        <f aca="false">IF(A524="","",IF(L524&lt;&gt;"Verified","Not verified",IF(COUNTIFS(in_CGID,C524,in_ClientID,E524,in_Svc,G524)&gt;0,"Yes","Not entered")))</f>
        <v/>
      </c>
    </row>
    <row r="525" customFormat="false" ht="15" hidden="false" customHeight="false" outlineLevel="0" collapsed="false">
      <c r="A525" s="64"/>
      <c r="B525" s="65"/>
      <c r="C525" s="64"/>
      <c r="D525" s="64"/>
      <c r="E525" s="64"/>
      <c r="F525" s="64"/>
      <c r="G525" s="64"/>
      <c r="H525" s="66"/>
      <c r="I525" s="66"/>
      <c r="J525" s="64"/>
      <c r="K525" s="64"/>
      <c r="L525" s="64"/>
      <c r="M525" s="67" t="str">
        <f aca="false">IF(A525="","",IF(AND(B525&gt;=WeekStart,B525&lt;=WeekEnd),"Yes","No"))</f>
        <v/>
      </c>
      <c r="N525" s="67" t="str">
        <f aca="false">IF(A525="","",IF(L525&lt;&gt;"Verified","Not verified",IF(COUNTIFS(in_CGID,C525,in_ClientID,E525,in_Svc,G525)&gt;0,"Yes","Not entered")))</f>
        <v/>
      </c>
    </row>
    <row r="526" customFormat="false" ht="15" hidden="false" customHeight="false" outlineLevel="0" collapsed="false">
      <c r="A526" s="64"/>
      <c r="B526" s="65"/>
      <c r="C526" s="64"/>
      <c r="D526" s="64"/>
      <c r="E526" s="64"/>
      <c r="F526" s="64"/>
      <c r="G526" s="64"/>
      <c r="H526" s="66"/>
      <c r="I526" s="66"/>
      <c r="J526" s="64"/>
      <c r="K526" s="64"/>
      <c r="L526" s="64"/>
      <c r="M526" s="67" t="str">
        <f aca="false">IF(A526="","",IF(AND(B526&gt;=WeekStart,B526&lt;=WeekEnd),"Yes","No"))</f>
        <v/>
      </c>
      <c r="N526" s="67" t="str">
        <f aca="false">IF(A526="","",IF(L526&lt;&gt;"Verified","Not verified",IF(COUNTIFS(in_CGID,C526,in_ClientID,E526,in_Svc,G526)&gt;0,"Yes","Not entered")))</f>
        <v/>
      </c>
    </row>
    <row r="527" customFormat="false" ht="15" hidden="false" customHeight="false" outlineLevel="0" collapsed="false">
      <c r="A527" s="64"/>
      <c r="B527" s="65"/>
      <c r="C527" s="64"/>
      <c r="D527" s="64"/>
      <c r="E527" s="64"/>
      <c r="F527" s="64"/>
      <c r="G527" s="64"/>
      <c r="H527" s="66"/>
      <c r="I527" s="66"/>
      <c r="J527" s="64"/>
      <c r="K527" s="64"/>
      <c r="L527" s="64"/>
      <c r="M527" s="67" t="str">
        <f aca="false">IF(A527="","",IF(AND(B527&gt;=WeekStart,B527&lt;=WeekEnd),"Yes","No"))</f>
        <v/>
      </c>
      <c r="N527" s="67" t="str">
        <f aca="false">IF(A527="","",IF(L527&lt;&gt;"Verified","Not verified",IF(COUNTIFS(in_CGID,C527,in_ClientID,E527,in_Svc,G527)&gt;0,"Yes","Not entered")))</f>
        <v/>
      </c>
    </row>
    <row r="528" customFormat="false" ht="15" hidden="false" customHeight="false" outlineLevel="0" collapsed="false">
      <c r="A528" s="64"/>
      <c r="B528" s="65"/>
      <c r="C528" s="64"/>
      <c r="D528" s="64"/>
      <c r="E528" s="64"/>
      <c r="F528" s="64"/>
      <c r="G528" s="64"/>
      <c r="H528" s="66"/>
      <c r="I528" s="66"/>
      <c r="J528" s="64"/>
      <c r="K528" s="64"/>
      <c r="L528" s="64"/>
      <c r="M528" s="67" t="str">
        <f aca="false">IF(A528="","",IF(AND(B528&gt;=WeekStart,B528&lt;=WeekEnd),"Yes","No"))</f>
        <v/>
      </c>
      <c r="N528" s="67" t="str">
        <f aca="false">IF(A528="","",IF(L528&lt;&gt;"Verified","Not verified",IF(COUNTIFS(in_CGID,C528,in_ClientID,E528,in_Svc,G528)&gt;0,"Yes","Not entered")))</f>
        <v/>
      </c>
    </row>
    <row r="529" customFormat="false" ht="15" hidden="false" customHeight="false" outlineLevel="0" collapsed="false">
      <c r="A529" s="64"/>
      <c r="B529" s="65"/>
      <c r="C529" s="64"/>
      <c r="D529" s="64"/>
      <c r="E529" s="64"/>
      <c r="F529" s="64"/>
      <c r="G529" s="64"/>
      <c r="H529" s="66"/>
      <c r="I529" s="66"/>
      <c r="J529" s="64"/>
      <c r="K529" s="64"/>
      <c r="L529" s="64"/>
      <c r="M529" s="67" t="str">
        <f aca="false">IF(A529="","",IF(AND(B529&gt;=WeekStart,B529&lt;=WeekEnd),"Yes","No"))</f>
        <v/>
      </c>
      <c r="N529" s="67" t="str">
        <f aca="false">IF(A529="","",IF(L529&lt;&gt;"Verified","Not verified",IF(COUNTIFS(in_CGID,C529,in_ClientID,E529,in_Svc,G529)&gt;0,"Yes","Not entered")))</f>
        <v/>
      </c>
    </row>
    <row r="530" customFormat="false" ht="15" hidden="false" customHeight="false" outlineLevel="0" collapsed="false">
      <c r="A530" s="64"/>
      <c r="B530" s="65"/>
      <c r="C530" s="64"/>
      <c r="D530" s="64"/>
      <c r="E530" s="64"/>
      <c r="F530" s="64"/>
      <c r="G530" s="64"/>
      <c r="H530" s="66"/>
      <c r="I530" s="66"/>
      <c r="J530" s="64"/>
      <c r="K530" s="64"/>
      <c r="L530" s="64"/>
      <c r="M530" s="67" t="str">
        <f aca="false">IF(A530="","",IF(AND(B530&gt;=WeekStart,B530&lt;=WeekEnd),"Yes","No"))</f>
        <v/>
      </c>
      <c r="N530" s="67" t="str">
        <f aca="false">IF(A530="","",IF(L530&lt;&gt;"Verified","Not verified",IF(COUNTIFS(in_CGID,C530,in_ClientID,E530,in_Svc,G530)&gt;0,"Yes","Not entered")))</f>
        <v/>
      </c>
    </row>
    <row r="531" customFormat="false" ht="15" hidden="false" customHeight="false" outlineLevel="0" collapsed="false">
      <c r="A531" s="64"/>
      <c r="B531" s="65"/>
      <c r="C531" s="64"/>
      <c r="D531" s="64"/>
      <c r="E531" s="64"/>
      <c r="F531" s="64"/>
      <c r="G531" s="64"/>
      <c r="H531" s="66"/>
      <c r="I531" s="66"/>
      <c r="J531" s="64"/>
      <c r="K531" s="64"/>
      <c r="L531" s="64"/>
      <c r="M531" s="67" t="str">
        <f aca="false">IF(A531="","",IF(AND(B531&gt;=WeekStart,B531&lt;=WeekEnd),"Yes","No"))</f>
        <v/>
      </c>
      <c r="N531" s="67" t="str">
        <f aca="false">IF(A531="","",IF(L531&lt;&gt;"Verified","Not verified",IF(COUNTIFS(in_CGID,C531,in_ClientID,E531,in_Svc,G531)&gt;0,"Yes","Not entered")))</f>
        <v/>
      </c>
    </row>
    <row r="532" customFormat="false" ht="15" hidden="false" customHeight="false" outlineLevel="0" collapsed="false">
      <c r="A532" s="64"/>
      <c r="B532" s="65"/>
      <c r="C532" s="64"/>
      <c r="D532" s="64"/>
      <c r="E532" s="64"/>
      <c r="F532" s="64"/>
      <c r="G532" s="64"/>
      <c r="H532" s="66"/>
      <c r="I532" s="66"/>
      <c r="J532" s="64"/>
      <c r="K532" s="64"/>
      <c r="L532" s="64"/>
      <c r="M532" s="67" t="str">
        <f aca="false">IF(A532="","",IF(AND(B532&gt;=WeekStart,B532&lt;=WeekEnd),"Yes","No"))</f>
        <v/>
      </c>
      <c r="N532" s="67" t="str">
        <f aca="false">IF(A532="","",IF(L532&lt;&gt;"Verified","Not verified",IF(COUNTIFS(in_CGID,C532,in_ClientID,E532,in_Svc,G532)&gt;0,"Yes","Not entered")))</f>
        <v/>
      </c>
    </row>
    <row r="533" customFormat="false" ht="15" hidden="false" customHeight="false" outlineLevel="0" collapsed="false">
      <c r="A533" s="64"/>
      <c r="B533" s="65"/>
      <c r="C533" s="64"/>
      <c r="D533" s="64"/>
      <c r="E533" s="64"/>
      <c r="F533" s="64"/>
      <c r="G533" s="64"/>
      <c r="H533" s="66"/>
      <c r="I533" s="66"/>
      <c r="J533" s="64"/>
      <c r="K533" s="64"/>
      <c r="L533" s="64"/>
      <c r="M533" s="67" t="str">
        <f aca="false">IF(A533="","",IF(AND(B533&gt;=WeekStart,B533&lt;=WeekEnd),"Yes","No"))</f>
        <v/>
      </c>
      <c r="N533" s="67" t="str">
        <f aca="false">IF(A533="","",IF(L533&lt;&gt;"Verified","Not verified",IF(COUNTIFS(in_CGID,C533,in_ClientID,E533,in_Svc,G533)&gt;0,"Yes","Not entered")))</f>
        <v/>
      </c>
    </row>
    <row r="534" customFormat="false" ht="15" hidden="false" customHeight="false" outlineLevel="0" collapsed="false">
      <c r="A534" s="64"/>
      <c r="B534" s="65"/>
      <c r="C534" s="64"/>
      <c r="D534" s="64"/>
      <c r="E534" s="64"/>
      <c r="F534" s="64"/>
      <c r="G534" s="64"/>
      <c r="H534" s="66"/>
      <c r="I534" s="66"/>
      <c r="J534" s="64"/>
      <c r="K534" s="64"/>
      <c r="L534" s="64"/>
      <c r="M534" s="67" t="str">
        <f aca="false">IF(A534="","",IF(AND(B534&gt;=WeekStart,B534&lt;=WeekEnd),"Yes","No"))</f>
        <v/>
      </c>
      <c r="N534" s="67" t="str">
        <f aca="false">IF(A534="","",IF(L534&lt;&gt;"Verified","Not verified",IF(COUNTIFS(in_CGID,C534,in_ClientID,E534,in_Svc,G534)&gt;0,"Yes","Not entered")))</f>
        <v/>
      </c>
    </row>
    <row r="535" customFormat="false" ht="15" hidden="false" customHeight="false" outlineLevel="0" collapsed="false">
      <c r="A535" s="64"/>
      <c r="B535" s="65"/>
      <c r="C535" s="64"/>
      <c r="D535" s="64"/>
      <c r="E535" s="64"/>
      <c r="F535" s="64"/>
      <c r="G535" s="64"/>
      <c r="H535" s="66"/>
      <c r="I535" s="66"/>
      <c r="J535" s="64"/>
      <c r="K535" s="64"/>
      <c r="L535" s="64"/>
      <c r="M535" s="67" t="str">
        <f aca="false">IF(A535="","",IF(AND(B535&gt;=WeekStart,B535&lt;=WeekEnd),"Yes","No"))</f>
        <v/>
      </c>
      <c r="N535" s="67" t="str">
        <f aca="false">IF(A535="","",IF(L535&lt;&gt;"Verified","Not verified",IF(COUNTIFS(in_CGID,C535,in_ClientID,E535,in_Svc,G535)&gt;0,"Yes","Not entered")))</f>
        <v/>
      </c>
    </row>
    <row r="536" customFormat="false" ht="15" hidden="false" customHeight="false" outlineLevel="0" collapsed="false">
      <c r="A536" s="64"/>
      <c r="B536" s="65"/>
      <c r="C536" s="64"/>
      <c r="D536" s="64"/>
      <c r="E536" s="64"/>
      <c r="F536" s="64"/>
      <c r="G536" s="64"/>
      <c r="H536" s="66"/>
      <c r="I536" s="66"/>
      <c r="J536" s="64"/>
      <c r="K536" s="64"/>
      <c r="L536" s="64"/>
      <c r="M536" s="67" t="str">
        <f aca="false">IF(A536="","",IF(AND(B536&gt;=WeekStart,B536&lt;=WeekEnd),"Yes","No"))</f>
        <v/>
      </c>
      <c r="N536" s="67" t="str">
        <f aca="false">IF(A536="","",IF(L536&lt;&gt;"Verified","Not verified",IF(COUNTIFS(in_CGID,C536,in_ClientID,E536,in_Svc,G536)&gt;0,"Yes","Not entered")))</f>
        <v/>
      </c>
    </row>
    <row r="537" customFormat="false" ht="15" hidden="false" customHeight="false" outlineLevel="0" collapsed="false">
      <c r="A537" s="64"/>
      <c r="B537" s="65"/>
      <c r="C537" s="64"/>
      <c r="D537" s="64"/>
      <c r="E537" s="64"/>
      <c r="F537" s="64"/>
      <c r="G537" s="64"/>
      <c r="H537" s="66"/>
      <c r="I537" s="66"/>
      <c r="J537" s="64"/>
      <c r="K537" s="64"/>
      <c r="L537" s="64"/>
      <c r="M537" s="67" t="str">
        <f aca="false">IF(A537="","",IF(AND(B537&gt;=WeekStart,B537&lt;=WeekEnd),"Yes","No"))</f>
        <v/>
      </c>
      <c r="N537" s="67" t="str">
        <f aca="false">IF(A537="","",IF(L537&lt;&gt;"Verified","Not verified",IF(COUNTIFS(in_CGID,C537,in_ClientID,E537,in_Svc,G537)&gt;0,"Yes","Not entered")))</f>
        <v/>
      </c>
    </row>
    <row r="538" customFormat="false" ht="15" hidden="false" customHeight="false" outlineLevel="0" collapsed="false">
      <c r="A538" s="64"/>
      <c r="B538" s="65"/>
      <c r="C538" s="64"/>
      <c r="D538" s="64"/>
      <c r="E538" s="64"/>
      <c r="F538" s="64"/>
      <c r="G538" s="64"/>
      <c r="H538" s="66"/>
      <c r="I538" s="66"/>
      <c r="J538" s="64"/>
      <c r="K538" s="64"/>
      <c r="L538" s="64"/>
      <c r="M538" s="67" t="str">
        <f aca="false">IF(A538="","",IF(AND(B538&gt;=WeekStart,B538&lt;=WeekEnd),"Yes","No"))</f>
        <v/>
      </c>
      <c r="N538" s="67" t="str">
        <f aca="false">IF(A538="","",IF(L538&lt;&gt;"Verified","Not verified",IF(COUNTIFS(in_CGID,C538,in_ClientID,E538,in_Svc,G538)&gt;0,"Yes","Not entered")))</f>
        <v/>
      </c>
    </row>
    <row r="539" customFormat="false" ht="15" hidden="false" customHeight="false" outlineLevel="0" collapsed="false">
      <c r="A539" s="64"/>
      <c r="B539" s="65"/>
      <c r="C539" s="64"/>
      <c r="D539" s="64"/>
      <c r="E539" s="64"/>
      <c r="F539" s="64"/>
      <c r="G539" s="64"/>
      <c r="H539" s="66"/>
      <c r="I539" s="66"/>
      <c r="J539" s="64"/>
      <c r="K539" s="64"/>
      <c r="L539" s="64"/>
      <c r="M539" s="67" t="str">
        <f aca="false">IF(A539="","",IF(AND(B539&gt;=WeekStart,B539&lt;=WeekEnd),"Yes","No"))</f>
        <v/>
      </c>
      <c r="N539" s="67" t="str">
        <f aca="false">IF(A539="","",IF(L539&lt;&gt;"Verified","Not verified",IF(COUNTIFS(in_CGID,C539,in_ClientID,E539,in_Svc,G539)&gt;0,"Yes","Not entered")))</f>
        <v/>
      </c>
    </row>
    <row r="540" customFormat="false" ht="15" hidden="false" customHeight="false" outlineLevel="0" collapsed="false">
      <c r="A540" s="64"/>
      <c r="B540" s="65"/>
      <c r="C540" s="64"/>
      <c r="D540" s="64"/>
      <c r="E540" s="64"/>
      <c r="F540" s="64"/>
      <c r="G540" s="64"/>
      <c r="H540" s="66"/>
      <c r="I540" s="66"/>
      <c r="J540" s="64"/>
      <c r="K540" s="64"/>
      <c r="L540" s="64"/>
      <c r="M540" s="67" t="str">
        <f aca="false">IF(A540="","",IF(AND(B540&gt;=WeekStart,B540&lt;=WeekEnd),"Yes","No"))</f>
        <v/>
      </c>
      <c r="N540" s="67" t="str">
        <f aca="false">IF(A540="","",IF(L540&lt;&gt;"Verified","Not verified",IF(COUNTIFS(in_CGID,C540,in_ClientID,E540,in_Svc,G540)&gt;0,"Yes","Not entered")))</f>
        <v/>
      </c>
    </row>
    <row r="541" customFormat="false" ht="15" hidden="false" customHeight="false" outlineLevel="0" collapsed="false">
      <c r="A541" s="64"/>
      <c r="B541" s="65"/>
      <c r="C541" s="64"/>
      <c r="D541" s="64"/>
      <c r="E541" s="64"/>
      <c r="F541" s="64"/>
      <c r="G541" s="64"/>
      <c r="H541" s="66"/>
      <c r="I541" s="66"/>
      <c r="J541" s="64"/>
      <c r="K541" s="64"/>
      <c r="L541" s="64"/>
      <c r="M541" s="67" t="str">
        <f aca="false">IF(A541="","",IF(AND(B541&gt;=WeekStart,B541&lt;=WeekEnd),"Yes","No"))</f>
        <v/>
      </c>
      <c r="N541" s="67" t="str">
        <f aca="false">IF(A541="","",IF(L541&lt;&gt;"Verified","Not verified",IF(COUNTIFS(in_CGID,C541,in_ClientID,E541,in_Svc,G541)&gt;0,"Yes","Not entered")))</f>
        <v/>
      </c>
    </row>
    <row r="542" customFormat="false" ht="15" hidden="false" customHeight="false" outlineLevel="0" collapsed="false">
      <c r="A542" s="64"/>
      <c r="B542" s="65"/>
      <c r="C542" s="64"/>
      <c r="D542" s="64"/>
      <c r="E542" s="64"/>
      <c r="F542" s="64"/>
      <c r="G542" s="64"/>
      <c r="H542" s="66"/>
      <c r="I542" s="66"/>
      <c r="J542" s="64"/>
      <c r="K542" s="64"/>
      <c r="L542" s="64"/>
      <c r="M542" s="67" t="str">
        <f aca="false">IF(A542="","",IF(AND(B542&gt;=WeekStart,B542&lt;=WeekEnd),"Yes","No"))</f>
        <v/>
      </c>
      <c r="N542" s="67" t="str">
        <f aca="false">IF(A542="","",IF(L542&lt;&gt;"Verified","Not verified",IF(COUNTIFS(in_CGID,C542,in_ClientID,E542,in_Svc,G542)&gt;0,"Yes","Not entered")))</f>
        <v/>
      </c>
    </row>
    <row r="543" customFormat="false" ht="15" hidden="false" customHeight="false" outlineLevel="0" collapsed="false">
      <c r="A543" s="64"/>
      <c r="B543" s="65"/>
      <c r="C543" s="64"/>
      <c r="D543" s="64"/>
      <c r="E543" s="64"/>
      <c r="F543" s="64"/>
      <c r="G543" s="64"/>
      <c r="H543" s="66"/>
      <c r="I543" s="66"/>
      <c r="J543" s="64"/>
      <c r="K543" s="64"/>
      <c r="L543" s="64"/>
      <c r="M543" s="67" t="str">
        <f aca="false">IF(A543="","",IF(AND(B543&gt;=WeekStart,B543&lt;=WeekEnd),"Yes","No"))</f>
        <v/>
      </c>
      <c r="N543" s="67" t="str">
        <f aca="false">IF(A543="","",IF(L543&lt;&gt;"Verified","Not verified",IF(COUNTIFS(in_CGID,C543,in_ClientID,E543,in_Svc,G543)&gt;0,"Yes","Not entered")))</f>
        <v/>
      </c>
    </row>
    <row r="544" customFormat="false" ht="15" hidden="false" customHeight="false" outlineLevel="0" collapsed="false">
      <c r="A544" s="64"/>
      <c r="B544" s="65"/>
      <c r="C544" s="64"/>
      <c r="D544" s="64"/>
      <c r="E544" s="64"/>
      <c r="F544" s="64"/>
      <c r="G544" s="64"/>
      <c r="H544" s="66"/>
      <c r="I544" s="66"/>
      <c r="J544" s="64"/>
      <c r="K544" s="64"/>
      <c r="L544" s="64"/>
      <c r="M544" s="67" t="str">
        <f aca="false">IF(A544="","",IF(AND(B544&gt;=WeekStart,B544&lt;=WeekEnd),"Yes","No"))</f>
        <v/>
      </c>
      <c r="N544" s="67" t="str">
        <f aca="false">IF(A544="","",IF(L544&lt;&gt;"Verified","Not verified",IF(COUNTIFS(in_CGID,C544,in_ClientID,E544,in_Svc,G544)&gt;0,"Yes","Not entered")))</f>
        <v/>
      </c>
    </row>
    <row r="545" customFormat="false" ht="15" hidden="false" customHeight="false" outlineLevel="0" collapsed="false">
      <c r="A545" s="64"/>
      <c r="B545" s="65"/>
      <c r="C545" s="64"/>
      <c r="D545" s="64"/>
      <c r="E545" s="64"/>
      <c r="F545" s="64"/>
      <c r="G545" s="64"/>
      <c r="H545" s="66"/>
      <c r="I545" s="66"/>
      <c r="J545" s="64"/>
      <c r="K545" s="64"/>
      <c r="L545" s="64"/>
      <c r="M545" s="67" t="str">
        <f aca="false">IF(A545="","",IF(AND(B545&gt;=WeekStart,B545&lt;=WeekEnd),"Yes","No"))</f>
        <v/>
      </c>
      <c r="N545" s="67" t="str">
        <f aca="false">IF(A545="","",IF(L545&lt;&gt;"Verified","Not verified",IF(COUNTIFS(in_CGID,C545,in_ClientID,E545,in_Svc,G545)&gt;0,"Yes","Not entered")))</f>
        <v/>
      </c>
    </row>
    <row r="546" customFormat="false" ht="15" hidden="false" customHeight="false" outlineLevel="0" collapsed="false">
      <c r="A546" s="64"/>
      <c r="B546" s="65"/>
      <c r="C546" s="64"/>
      <c r="D546" s="64"/>
      <c r="E546" s="64"/>
      <c r="F546" s="64"/>
      <c r="G546" s="64"/>
      <c r="H546" s="66"/>
      <c r="I546" s="66"/>
      <c r="J546" s="64"/>
      <c r="K546" s="64"/>
      <c r="L546" s="64"/>
      <c r="M546" s="67" t="str">
        <f aca="false">IF(A546="","",IF(AND(B546&gt;=WeekStart,B546&lt;=WeekEnd),"Yes","No"))</f>
        <v/>
      </c>
      <c r="N546" s="67" t="str">
        <f aca="false">IF(A546="","",IF(L546&lt;&gt;"Verified","Not verified",IF(COUNTIFS(in_CGID,C546,in_ClientID,E546,in_Svc,G546)&gt;0,"Yes","Not entered")))</f>
        <v/>
      </c>
    </row>
    <row r="547" customFormat="false" ht="15" hidden="false" customHeight="false" outlineLevel="0" collapsed="false">
      <c r="A547" s="64"/>
      <c r="B547" s="65"/>
      <c r="C547" s="64"/>
      <c r="D547" s="64"/>
      <c r="E547" s="64"/>
      <c r="F547" s="64"/>
      <c r="G547" s="64"/>
      <c r="H547" s="66"/>
      <c r="I547" s="66"/>
      <c r="J547" s="64"/>
      <c r="K547" s="64"/>
      <c r="L547" s="64"/>
      <c r="M547" s="67" t="str">
        <f aca="false">IF(A547="","",IF(AND(B547&gt;=WeekStart,B547&lt;=WeekEnd),"Yes","No"))</f>
        <v/>
      </c>
      <c r="N547" s="67" t="str">
        <f aca="false">IF(A547="","",IF(L547&lt;&gt;"Verified","Not verified",IF(COUNTIFS(in_CGID,C547,in_ClientID,E547,in_Svc,G547)&gt;0,"Yes","Not entered")))</f>
        <v/>
      </c>
    </row>
    <row r="548" customFormat="false" ht="15" hidden="false" customHeight="false" outlineLevel="0" collapsed="false">
      <c r="A548" s="64"/>
      <c r="B548" s="65"/>
      <c r="C548" s="64"/>
      <c r="D548" s="64"/>
      <c r="E548" s="64"/>
      <c r="F548" s="64"/>
      <c r="G548" s="64"/>
      <c r="H548" s="66"/>
      <c r="I548" s="66"/>
      <c r="J548" s="64"/>
      <c r="K548" s="64"/>
      <c r="L548" s="64"/>
      <c r="M548" s="67" t="str">
        <f aca="false">IF(A548="","",IF(AND(B548&gt;=WeekStart,B548&lt;=WeekEnd),"Yes","No"))</f>
        <v/>
      </c>
      <c r="N548" s="67" t="str">
        <f aca="false">IF(A548="","",IF(L548&lt;&gt;"Verified","Not verified",IF(COUNTIFS(in_CGID,C548,in_ClientID,E548,in_Svc,G548)&gt;0,"Yes","Not entered")))</f>
        <v/>
      </c>
    </row>
    <row r="549" customFormat="false" ht="15" hidden="false" customHeight="false" outlineLevel="0" collapsed="false">
      <c r="A549" s="64"/>
      <c r="B549" s="65"/>
      <c r="C549" s="64"/>
      <c r="D549" s="64"/>
      <c r="E549" s="64"/>
      <c r="F549" s="64"/>
      <c r="G549" s="64"/>
      <c r="H549" s="66"/>
      <c r="I549" s="66"/>
      <c r="J549" s="64"/>
      <c r="K549" s="64"/>
      <c r="L549" s="64"/>
      <c r="M549" s="67" t="str">
        <f aca="false">IF(A549="","",IF(AND(B549&gt;=WeekStart,B549&lt;=WeekEnd),"Yes","No"))</f>
        <v/>
      </c>
      <c r="N549" s="67" t="str">
        <f aca="false">IF(A549="","",IF(L549&lt;&gt;"Verified","Not verified",IF(COUNTIFS(in_CGID,C549,in_ClientID,E549,in_Svc,G549)&gt;0,"Yes","Not entered")))</f>
        <v/>
      </c>
    </row>
    <row r="550" customFormat="false" ht="15" hidden="false" customHeight="false" outlineLevel="0" collapsed="false">
      <c r="A550" s="64"/>
      <c r="B550" s="65"/>
      <c r="C550" s="64"/>
      <c r="D550" s="64"/>
      <c r="E550" s="64"/>
      <c r="F550" s="64"/>
      <c r="G550" s="64"/>
      <c r="H550" s="66"/>
      <c r="I550" s="66"/>
      <c r="J550" s="64"/>
      <c r="K550" s="64"/>
      <c r="L550" s="64"/>
      <c r="M550" s="67" t="str">
        <f aca="false">IF(A550="","",IF(AND(B550&gt;=WeekStart,B550&lt;=WeekEnd),"Yes","No"))</f>
        <v/>
      </c>
      <c r="N550" s="67" t="str">
        <f aca="false">IF(A550="","",IF(L550&lt;&gt;"Verified","Not verified",IF(COUNTIFS(in_CGID,C550,in_ClientID,E550,in_Svc,G550)&gt;0,"Yes","Not entered")))</f>
        <v/>
      </c>
    </row>
    <row r="551" customFormat="false" ht="15" hidden="false" customHeight="false" outlineLevel="0" collapsed="false">
      <c r="A551" s="64"/>
      <c r="B551" s="65"/>
      <c r="C551" s="64"/>
      <c r="D551" s="64"/>
      <c r="E551" s="64"/>
      <c r="F551" s="64"/>
      <c r="G551" s="64"/>
      <c r="H551" s="66"/>
      <c r="I551" s="66"/>
      <c r="J551" s="64"/>
      <c r="K551" s="64"/>
      <c r="L551" s="64"/>
      <c r="M551" s="67" t="str">
        <f aca="false">IF(A551="","",IF(AND(B551&gt;=WeekStart,B551&lt;=WeekEnd),"Yes","No"))</f>
        <v/>
      </c>
      <c r="N551" s="67" t="str">
        <f aca="false">IF(A551="","",IF(L551&lt;&gt;"Verified","Not verified",IF(COUNTIFS(in_CGID,C551,in_ClientID,E551,in_Svc,G551)&gt;0,"Yes","Not entered")))</f>
        <v/>
      </c>
    </row>
    <row r="552" customFormat="false" ht="15" hidden="false" customHeight="false" outlineLevel="0" collapsed="false">
      <c r="A552" s="64"/>
      <c r="B552" s="65"/>
      <c r="C552" s="64"/>
      <c r="D552" s="64"/>
      <c r="E552" s="64"/>
      <c r="F552" s="64"/>
      <c r="G552" s="64"/>
      <c r="H552" s="66"/>
      <c r="I552" s="66"/>
      <c r="J552" s="64"/>
      <c r="K552" s="64"/>
      <c r="L552" s="64"/>
      <c r="M552" s="67" t="str">
        <f aca="false">IF(A552="","",IF(AND(B552&gt;=WeekStart,B552&lt;=WeekEnd),"Yes","No"))</f>
        <v/>
      </c>
      <c r="N552" s="67" t="str">
        <f aca="false">IF(A552="","",IF(L552&lt;&gt;"Verified","Not verified",IF(COUNTIFS(in_CGID,C552,in_ClientID,E552,in_Svc,G552)&gt;0,"Yes","Not entered")))</f>
        <v/>
      </c>
    </row>
    <row r="553" customFormat="false" ht="15" hidden="false" customHeight="false" outlineLevel="0" collapsed="false">
      <c r="A553" s="64"/>
      <c r="B553" s="65"/>
      <c r="C553" s="64"/>
      <c r="D553" s="64"/>
      <c r="E553" s="64"/>
      <c r="F553" s="64"/>
      <c r="G553" s="64"/>
      <c r="H553" s="66"/>
      <c r="I553" s="66"/>
      <c r="J553" s="64"/>
      <c r="K553" s="64"/>
      <c r="L553" s="64"/>
      <c r="M553" s="67" t="str">
        <f aca="false">IF(A553="","",IF(AND(B553&gt;=WeekStart,B553&lt;=WeekEnd),"Yes","No"))</f>
        <v/>
      </c>
      <c r="N553" s="67" t="str">
        <f aca="false">IF(A553="","",IF(L553&lt;&gt;"Verified","Not verified",IF(COUNTIFS(in_CGID,C553,in_ClientID,E553,in_Svc,G553)&gt;0,"Yes","Not entered")))</f>
        <v/>
      </c>
    </row>
    <row r="554" customFormat="false" ht="15" hidden="false" customHeight="false" outlineLevel="0" collapsed="false">
      <c r="A554" s="64"/>
      <c r="B554" s="65"/>
      <c r="C554" s="64"/>
      <c r="D554" s="64"/>
      <c r="E554" s="64"/>
      <c r="F554" s="64"/>
      <c r="G554" s="64"/>
      <c r="H554" s="66"/>
      <c r="I554" s="66"/>
      <c r="J554" s="64"/>
      <c r="K554" s="64"/>
      <c r="L554" s="64"/>
      <c r="M554" s="67" t="str">
        <f aca="false">IF(A554="","",IF(AND(B554&gt;=WeekStart,B554&lt;=WeekEnd),"Yes","No"))</f>
        <v/>
      </c>
      <c r="N554" s="67" t="str">
        <f aca="false">IF(A554="","",IF(L554&lt;&gt;"Verified","Not verified",IF(COUNTIFS(in_CGID,C554,in_ClientID,E554,in_Svc,G554)&gt;0,"Yes","Not entered")))</f>
        <v/>
      </c>
    </row>
    <row r="555" customFormat="false" ht="15" hidden="false" customHeight="false" outlineLevel="0" collapsed="false">
      <c r="A555" s="64"/>
      <c r="B555" s="65"/>
      <c r="C555" s="64"/>
      <c r="D555" s="64"/>
      <c r="E555" s="64"/>
      <c r="F555" s="64"/>
      <c r="G555" s="64"/>
      <c r="H555" s="66"/>
      <c r="I555" s="66"/>
      <c r="J555" s="64"/>
      <c r="K555" s="64"/>
      <c r="L555" s="64"/>
      <c r="M555" s="67" t="str">
        <f aca="false">IF(A555="","",IF(AND(B555&gt;=WeekStart,B555&lt;=WeekEnd),"Yes","No"))</f>
        <v/>
      </c>
      <c r="N555" s="67" t="str">
        <f aca="false">IF(A555="","",IF(L555&lt;&gt;"Verified","Not verified",IF(COUNTIFS(in_CGID,C555,in_ClientID,E555,in_Svc,G555)&gt;0,"Yes","Not entered")))</f>
        <v/>
      </c>
    </row>
    <row r="556" customFormat="false" ht="15" hidden="false" customHeight="false" outlineLevel="0" collapsed="false">
      <c r="A556" s="64"/>
      <c r="B556" s="65"/>
      <c r="C556" s="64"/>
      <c r="D556" s="64"/>
      <c r="E556" s="64"/>
      <c r="F556" s="64"/>
      <c r="G556" s="64"/>
      <c r="H556" s="66"/>
      <c r="I556" s="66"/>
      <c r="J556" s="64"/>
      <c r="K556" s="64"/>
      <c r="L556" s="64"/>
      <c r="M556" s="67" t="str">
        <f aca="false">IF(A556="","",IF(AND(B556&gt;=WeekStart,B556&lt;=WeekEnd),"Yes","No"))</f>
        <v/>
      </c>
      <c r="N556" s="67" t="str">
        <f aca="false">IF(A556="","",IF(L556&lt;&gt;"Verified","Not verified",IF(COUNTIFS(in_CGID,C556,in_ClientID,E556,in_Svc,G556)&gt;0,"Yes","Not entered")))</f>
        <v/>
      </c>
    </row>
    <row r="557" customFormat="false" ht="15" hidden="false" customHeight="false" outlineLevel="0" collapsed="false">
      <c r="A557" s="64"/>
      <c r="B557" s="65"/>
      <c r="C557" s="64"/>
      <c r="D557" s="64"/>
      <c r="E557" s="64"/>
      <c r="F557" s="64"/>
      <c r="G557" s="64"/>
      <c r="H557" s="66"/>
      <c r="I557" s="66"/>
      <c r="J557" s="64"/>
      <c r="K557" s="64"/>
      <c r="L557" s="64"/>
      <c r="M557" s="67" t="str">
        <f aca="false">IF(A557="","",IF(AND(B557&gt;=WeekStart,B557&lt;=WeekEnd),"Yes","No"))</f>
        <v/>
      </c>
      <c r="N557" s="67" t="str">
        <f aca="false">IF(A557="","",IF(L557&lt;&gt;"Verified","Not verified",IF(COUNTIFS(in_CGID,C557,in_ClientID,E557,in_Svc,G557)&gt;0,"Yes","Not entered")))</f>
        <v/>
      </c>
    </row>
    <row r="558" customFormat="false" ht="15" hidden="false" customHeight="false" outlineLevel="0" collapsed="false">
      <c r="A558" s="64"/>
      <c r="B558" s="65"/>
      <c r="C558" s="64"/>
      <c r="D558" s="64"/>
      <c r="E558" s="64"/>
      <c r="F558" s="64"/>
      <c r="G558" s="64"/>
      <c r="H558" s="66"/>
      <c r="I558" s="66"/>
      <c r="J558" s="64"/>
      <c r="K558" s="64"/>
      <c r="L558" s="64"/>
      <c r="M558" s="67" t="str">
        <f aca="false">IF(A558="","",IF(AND(B558&gt;=WeekStart,B558&lt;=WeekEnd),"Yes","No"))</f>
        <v/>
      </c>
      <c r="N558" s="67" t="str">
        <f aca="false">IF(A558="","",IF(L558&lt;&gt;"Verified","Not verified",IF(COUNTIFS(in_CGID,C558,in_ClientID,E558,in_Svc,G558)&gt;0,"Yes","Not entered")))</f>
        <v/>
      </c>
    </row>
    <row r="559" customFormat="false" ht="15" hidden="false" customHeight="false" outlineLevel="0" collapsed="false">
      <c r="A559" s="64"/>
      <c r="B559" s="65"/>
      <c r="C559" s="64"/>
      <c r="D559" s="64"/>
      <c r="E559" s="64"/>
      <c r="F559" s="64"/>
      <c r="G559" s="64"/>
      <c r="H559" s="66"/>
      <c r="I559" s="66"/>
      <c r="J559" s="64"/>
      <c r="K559" s="64"/>
      <c r="L559" s="64"/>
      <c r="M559" s="67" t="str">
        <f aca="false">IF(A559="","",IF(AND(B559&gt;=WeekStart,B559&lt;=WeekEnd),"Yes","No"))</f>
        <v/>
      </c>
      <c r="N559" s="67" t="str">
        <f aca="false">IF(A559="","",IF(L559&lt;&gt;"Verified","Not verified",IF(COUNTIFS(in_CGID,C559,in_ClientID,E559,in_Svc,G559)&gt;0,"Yes","Not entered")))</f>
        <v/>
      </c>
    </row>
    <row r="560" customFormat="false" ht="15" hidden="false" customHeight="false" outlineLevel="0" collapsed="false">
      <c r="A560" s="64"/>
      <c r="B560" s="65"/>
      <c r="C560" s="64"/>
      <c r="D560" s="64"/>
      <c r="E560" s="64"/>
      <c r="F560" s="64"/>
      <c r="G560" s="64"/>
      <c r="H560" s="66"/>
      <c r="I560" s="66"/>
      <c r="J560" s="64"/>
      <c r="K560" s="64"/>
      <c r="L560" s="64"/>
      <c r="M560" s="67" t="str">
        <f aca="false">IF(A560="","",IF(AND(B560&gt;=WeekStart,B560&lt;=WeekEnd),"Yes","No"))</f>
        <v/>
      </c>
      <c r="N560" s="67" t="str">
        <f aca="false">IF(A560="","",IF(L560&lt;&gt;"Verified","Not verified",IF(COUNTIFS(in_CGID,C560,in_ClientID,E560,in_Svc,G560)&gt;0,"Yes","Not entered")))</f>
        <v/>
      </c>
    </row>
    <row r="561" customFormat="false" ht="15" hidden="false" customHeight="false" outlineLevel="0" collapsed="false">
      <c r="A561" s="64"/>
      <c r="B561" s="65"/>
      <c r="C561" s="64"/>
      <c r="D561" s="64"/>
      <c r="E561" s="64"/>
      <c r="F561" s="64"/>
      <c r="G561" s="64"/>
      <c r="H561" s="66"/>
      <c r="I561" s="66"/>
      <c r="J561" s="64"/>
      <c r="K561" s="64"/>
      <c r="L561" s="64"/>
      <c r="M561" s="67" t="str">
        <f aca="false">IF(A561="","",IF(AND(B561&gt;=WeekStart,B561&lt;=WeekEnd),"Yes","No"))</f>
        <v/>
      </c>
      <c r="N561" s="67" t="str">
        <f aca="false">IF(A561="","",IF(L561&lt;&gt;"Verified","Not verified",IF(COUNTIFS(in_CGID,C561,in_ClientID,E561,in_Svc,G561)&gt;0,"Yes","Not entered")))</f>
        <v/>
      </c>
    </row>
    <row r="562" customFormat="false" ht="15" hidden="false" customHeight="false" outlineLevel="0" collapsed="false">
      <c r="A562" s="64"/>
      <c r="B562" s="65"/>
      <c r="C562" s="64"/>
      <c r="D562" s="64"/>
      <c r="E562" s="64"/>
      <c r="F562" s="64"/>
      <c r="G562" s="64"/>
      <c r="H562" s="66"/>
      <c r="I562" s="66"/>
      <c r="J562" s="64"/>
      <c r="K562" s="64"/>
      <c r="L562" s="64"/>
      <c r="M562" s="67" t="str">
        <f aca="false">IF(A562="","",IF(AND(B562&gt;=WeekStart,B562&lt;=WeekEnd),"Yes","No"))</f>
        <v/>
      </c>
      <c r="N562" s="67" t="str">
        <f aca="false">IF(A562="","",IF(L562&lt;&gt;"Verified","Not verified",IF(COUNTIFS(in_CGID,C562,in_ClientID,E562,in_Svc,G562)&gt;0,"Yes","Not entered")))</f>
        <v/>
      </c>
    </row>
    <row r="563" customFormat="false" ht="15" hidden="false" customHeight="false" outlineLevel="0" collapsed="false">
      <c r="A563" s="64"/>
      <c r="B563" s="65"/>
      <c r="C563" s="64"/>
      <c r="D563" s="64"/>
      <c r="E563" s="64"/>
      <c r="F563" s="64"/>
      <c r="G563" s="64"/>
      <c r="H563" s="66"/>
      <c r="I563" s="66"/>
      <c r="J563" s="64"/>
      <c r="K563" s="64"/>
      <c r="L563" s="64"/>
      <c r="M563" s="67" t="str">
        <f aca="false">IF(A563="","",IF(AND(B563&gt;=WeekStart,B563&lt;=WeekEnd),"Yes","No"))</f>
        <v/>
      </c>
      <c r="N563" s="67" t="str">
        <f aca="false">IF(A563="","",IF(L563&lt;&gt;"Verified","Not verified",IF(COUNTIFS(in_CGID,C563,in_ClientID,E563,in_Svc,G563)&gt;0,"Yes","Not entered")))</f>
        <v/>
      </c>
    </row>
    <row r="564" customFormat="false" ht="15" hidden="false" customHeight="false" outlineLevel="0" collapsed="false">
      <c r="A564" s="64"/>
      <c r="B564" s="65"/>
      <c r="C564" s="64"/>
      <c r="D564" s="64"/>
      <c r="E564" s="64"/>
      <c r="F564" s="64"/>
      <c r="G564" s="64"/>
      <c r="H564" s="66"/>
      <c r="I564" s="66"/>
      <c r="J564" s="64"/>
      <c r="K564" s="64"/>
      <c r="L564" s="64"/>
      <c r="M564" s="67" t="str">
        <f aca="false">IF(A564="","",IF(AND(B564&gt;=WeekStart,B564&lt;=WeekEnd),"Yes","No"))</f>
        <v/>
      </c>
      <c r="N564" s="67" t="str">
        <f aca="false">IF(A564="","",IF(L564&lt;&gt;"Verified","Not verified",IF(COUNTIFS(in_CGID,C564,in_ClientID,E564,in_Svc,G564)&gt;0,"Yes","Not entered")))</f>
        <v/>
      </c>
    </row>
    <row r="565" customFormat="false" ht="15" hidden="false" customHeight="false" outlineLevel="0" collapsed="false">
      <c r="A565" s="64"/>
      <c r="B565" s="65"/>
      <c r="C565" s="64"/>
      <c r="D565" s="64"/>
      <c r="E565" s="64"/>
      <c r="F565" s="64"/>
      <c r="G565" s="64"/>
      <c r="H565" s="66"/>
      <c r="I565" s="66"/>
      <c r="J565" s="64"/>
      <c r="K565" s="64"/>
      <c r="L565" s="64"/>
      <c r="M565" s="67" t="str">
        <f aca="false">IF(A565="","",IF(AND(B565&gt;=WeekStart,B565&lt;=WeekEnd),"Yes","No"))</f>
        <v/>
      </c>
      <c r="N565" s="67" t="str">
        <f aca="false">IF(A565="","",IF(L565&lt;&gt;"Verified","Not verified",IF(COUNTIFS(in_CGID,C565,in_ClientID,E565,in_Svc,G565)&gt;0,"Yes","Not entered")))</f>
        <v/>
      </c>
    </row>
    <row r="566" customFormat="false" ht="15" hidden="false" customHeight="false" outlineLevel="0" collapsed="false">
      <c r="A566" s="64"/>
      <c r="B566" s="65"/>
      <c r="C566" s="64"/>
      <c r="D566" s="64"/>
      <c r="E566" s="64"/>
      <c r="F566" s="64"/>
      <c r="G566" s="64"/>
      <c r="H566" s="66"/>
      <c r="I566" s="66"/>
      <c r="J566" s="64"/>
      <c r="K566" s="64"/>
      <c r="L566" s="64"/>
      <c r="M566" s="67" t="str">
        <f aca="false">IF(A566="","",IF(AND(B566&gt;=WeekStart,B566&lt;=WeekEnd),"Yes","No"))</f>
        <v/>
      </c>
      <c r="N566" s="67" t="str">
        <f aca="false">IF(A566="","",IF(L566&lt;&gt;"Verified","Not verified",IF(COUNTIFS(in_CGID,C566,in_ClientID,E566,in_Svc,G566)&gt;0,"Yes","Not entered")))</f>
        <v/>
      </c>
    </row>
    <row r="567" customFormat="false" ht="15" hidden="false" customHeight="false" outlineLevel="0" collapsed="false">
      <c r="A567" s="64"/>
      <c r="B567" s="65"/>
      <c r="C567" s="64"/>
      <c r="D567" s="64"/>
      <c r="E567" s="64"/>
      <c r="F567" s="64"/>
      <c r="G567" s="64"/>
      <c r="H567" s="66"/>
      <c r="I567" s="66"/>
      <c r="J567" s="64"/>
      <c r="K567" s="64"/>
      <c r="L567" s="64"/>
      <c r="M567" s="67" t="str">
        <f aca="false">IF(A567="","",IF(AND(B567&gt;=WeekStart,B567&lt;=WeekEnd),"Yes","No"))</f>
        <v/>
      </c>
      <c r="N567" s="67" t="str">
        <f aca="false">IF(A567="","",IF(L567&lt;&gt;"Verified","Not verified",IF(COUNTIFS(in_CGID,C567,in_ClientID,E567,in_Svc,G567)&gt;0,"Yes","Not entered")))</f>
        <v/>
      </c>
    </row>
    <row r="568" customFormat="false" ht="15" hidden="false" customHeight="false" outlineLevel="0" collapsed="false">
      <c r="A568" s="64"/>
      <c r="B568" s="65"/>
      <c r="C568" s="64"/>
      <c r="D568" s="64"/>
      <c r="E568" s="64"/>
      <c r="F568" s="64"/>
      <c r="G568" s="64"/>
      <c r="H568" s="66"/>
      <c r="I568" s="66"/>
      <c r="J568" s="64"/>
      <c r="K568" s="64"/>
      <c r="L568" s="64"/>
      <c r="M568" s="67" t="str">
        <f aca="false">IF(A568="","",IF(AND(B568&gt;=WeekStart,B568&lt;=WeekEnd),"Yes","No"))</f>
        <v/>
      </c>
      <c r="N568" s="67" t="str">
        <f aca="false">IF(A568="","",IF(L568&lt;&gt;"Verified","Not verified",IF(COUNTIFS(in_CGID,C568,in_ClientID,E568,in_Svc,G568)&gt;0,"Yes","Not entered")))</f>
        <v/>
      </c>
    </row>
    <row r="569" customFormat="false" ht="15" hidden="false" customHeight="false" outlineLevel="0" collapsed="false">
      <c r="A569" s="64"/>
      <c r="B569" s="65"/>
      <c r="C569" s="64"/>
      <c r="D569" s="64"/>
      <c r="E569" s="64"/>
      <c r="F569" s="64"/>
      <c r="G569" s="64"/>
      <c r="H569" s="66"/>
      <c r="I569" s="66"/>
      <c r="J569" s="64"/>
      <c r="K569" s="64"/>
      <c r="L569" s="64"/>
      <c r="M569" s="67" t="str">
        <f aca="false">IF(A569="","",IF(AND(B569&gt;=WeekStart,B569&lt;=WeekEnd),"Yes","No"))</f>
        <v/>
      </c>
      <c r="N569" s="67" t="str">
        <f aca="false">IF(A569="","",IF(L569&lt;&gt;"Verified","Not verified",IF(COUNTIFS(in_CGID,C569,in_ClientID,E569,in_Svc,G569)&gt;0,"Yes","Not entered")))</f>
        <v/>
      </c>
    </row>
    <row r="570" customFormat="false" ht="15" hidden="false" customHeight="false" outlineLevel="0" collapsed="false">
      <c r="A570" s="64"/>
      <c r="B570" s="65"/>
      <c r="C570" s="64"/>
      <c r="D570" s="64"/>
      <c r="E570" s="64"/>
      <c r="F570" s="64"/>
      <c r="G570" s="64"/>
      <c r="H570" s="66"/>
      <c r="I570" s="66"/>
      <c r="J570" s="64"/>
      <c r="K570" s="64"/>
      <c r="L570" s="64"/>
      <c r="M570" s="67" t="str">
        <f aca="false">IF(A570="","",IF(AND(B570&gt;=WeekStart,B570&lt;=WeekEnd),"Yes","No"))</f>
        <v/>
      </c>
      <c r="N570" s="67" t="str">
        <f aca="false">IF(A570="","",IF(L570&lt;&gt;"Verified","Not verified",IF(COUNTIFS(in_CGID,C570,in_ClientID,E570,in_Svc,G570)&gt;0,"Yes","Not entered")))</f>
        <v/>
      </c>
    </row>
    <row r="571" customFormat="false" ht="15" hidden="false" customHeight="false" outlineLevel="0" collapsed="false">
      <c r="A571" s="64"/>
      <c r="B571" s="65"/>
      <c r="C571" s="64"/>
      <c r="D571" s="64"/>
      <c r="E571" s="64"/>
      <c r="F571" s="64"/>
      <c r="G571" s="64"/>
      <c r="H571" s="66"/>
      <c r="I571" s="66"/>
      <c r="J571" s="64"/>
      <c r="K571" s="64"/>
      <c r="L571" s="64"/>
      <c r="M571" s="67" t="str">
        <f aca="false">IF(A571="","",IF(AND(B571&gt;=WeekStart,B571&lt;=WeekEnd),"Yes","No"))</f>
        <v/>
      </c>
      <c r="N571" s="67" t="str">
        <f aca="false">IF(A571="","",IF(L571&lt;&gt;"Verified","Not verified",IF(COUNTIFS(in_CGID,C571,in_ClientID,E571,in_Svc,G571)&gt;0,"Yes","Not entered")))</f>
        <v/>
      </c>
    </row>
    <row r="572" customFormat="false" ht="15" hidden="false" customHeight="false" outlineLevel="0" collapsed="false">
      <c r="A572" s="64"/>
      <c r="B572" s="65"/>
      <c r="C572" s="64"/>
      <c r="D572" s="64"/>
      <c r="E572" s="64"/>
      <c r="F572" s="64"/>
      <c r="G572" s="64"/>
      <c r="H572" s="66"/>
      <c r="I572" s="66"/>
      <c r="J572" s="64"/>
      <c r="K572" s="64"/>
      <c r="L572" s="64"/>
      <c r="M572" s="67" t="str">
        <f aca="false">IF(A572="","",IF(AND(B572&gt;=WeekStart,B572&lt;=WeekEnd),"Yes","No"))</f>
        <v/>
      </c>
      <c r="N572" s="67" t="str">
        <f aca="false">IF(A572="","",IF(L572&lt;&gt;"Verified","Not verified",IF(COUNTIFS(in_CGID,C572,in_ClientID,E572,in_Svc,G572)&gt;0,"Yes","Not entered")))</f>
        <v/>
      </c>
    </row>
    <row r="573" customFormat="false" ht="15" hidden="false" customHeight="false" outlineLevel="0" collapsed="false">
      <c r="A573" s="64"/>
      <c r="B573" s="65"/>
      <c r="C573" s="64"/>
      <c r="D573" s="64"/>
      <c r="E573" s="64"/>
      <c r="F573" s="64"/>
      <c r="G573" s="64"/>
      <c r="H573" s="66"/>
      <c r="I573" s="66"/>
      <c r="J573" s="64"/>
      <c r="K573" s="64"/>
      <c r="L573" s="64"/>
      <c r="M573" s="67" t="str">
        <f aca="false">IF(A573="","",IF(AND(B573&gt;=WeekStart,B573&lt;=WeekEnd),"Yes","No"))</f>
        <v/>
      </c>
      <c r="N573" s="67" t="str">
        <f aca="false">IF(A573="","",IF(L573&lt;&gt;"Verified","Not verified",IF(COUNTIFS(in_CGID,C573,in_ClientID,E573,in_Svc,G573)&gt;0,"Yes","Not entered")))</f>
        <v/>
      </c>
    </row>
    <row r="574" customFormat="false" ht="15" hidden="false" customHeight="false" outlineLevel="0" collapsed="false">
      <c r="A574" s="64"/>
      <c r="B574" s="65"/>
      <c r="C574" s="64"/>
      <c r="D574" s="64"/>
      <c r="E574" s="64"/>
      <c r="F574" s="64"/>
      <c r="G574" s="64"/>
      <c r="H574" s="66"/>
      <c r="I574" s="66"/>
      <c r="J574" s="64"/>
      <c r="K574" s="64"/>
      <c r="L574" s="64"/>
      <c r="M574" s="67" t="str">
        <f aca="false">IF(A574="","",IF(AND(B574&gt;=WeekStart,B574&lt;=WeekEnd),"Yes","No"))</f>
        <v/>
      </c>
      <c r="N574" s="67" t="str">
        <f aca="false">IF(A574="","",IF(L574&lt;&gt;"Verified","Not verified",IF(COUNTIFS(in_CGID,C574,in_ClientID,E574,in_Svc,G574)&gt;0,"Yes","Not entered")))</f>
        <v/>
      </c>
    </row>
    <row r="575" customFormat="false" ht="15" hidden="false" customHeight="false" outlineLevel="0" collapsed="false">
      <c r="A575" s="64"/>
      <c r="B575" s="65"/>
      <c r="C575" s="64"/>
      <c r="D575" s="64"/>
      <c r="E575" s="64"/>
      <c r="F575" s="64"/>
      <c r="G575" s="64"/>
      <c r="H575" s="66"/>
      <c r="I575" s="66"/>
      <c r="J575" s="64"/>
      <c r="K575" s="64"/>
      <c r="L575" s="64"/>
      <c r="M575" s="67" t="str">
        <f aca="false">IF(A575="","",IF(AND(B575&gt;=WeekStart,B575&lt;=WeekEnd),"Yes","No"))</f>
        <v/>
      </c>
      <c r="N575" s="67" t="str">
        <f aca="false">IF(A575="","",IF(L575&lt;&gt;"Verified","Not verified",IF(COUNTIFS(in_CGID,C575,in_ClientID,E575,in_Svc,G575)&gt;0,"Yes","Not entered")))</f>
        <v/>
      </c>
    </row>
    <row r="576" customFormat="false" ht="15" hidden="false" customHeight="false" outlineLevel="0" collapsed="false">
      <c r="A576" s="64"/>
      <c r="B576" s="65"/>
      <c r="C576" s="64"/>
      <c r="D576" s="64"/>
      <c r="E576" s="64"/>
      <c r="F576" s="64"/>
      <c r="G576" s="64"/>
      <c r="H576" s="66"/>
      <c r="I576" s="66"/>
      <c r="J576" s="64"/>
      <c r="K576" s="64"/>
      <c r="L576" s="64"/>
      <c r="M576" s="67" t="str">
        <f aca="false">IF(A576="","",IF(AND(B576&gt;=WeekStart,B576&lt;=WeekEnd),"Yes","No"))</f>
        <v/>
      </c>
      <c r="N576" s="67" t="str">
        <f aca="false">IF(A576="","",IF(L576&lt;&gt;"Verified","Not verified",IF(COUNTIFS(in_CGID,C576,in_ClientID,E576,in_Svc,G576)&gt;0,"Yes","Not entered")))</f>
        <v/>
      </c>
    </row>
    <row r="577" customFormat="false" ht="15" hidden="false" customHeight="false" outlineLevel="0" collapsed="false">
      <c r="A577" s="64"/>
      <c r="B577" s="65"/>
      <c r="C577" s="64"/>
      <c r="D577" s="64"/>
      <c r="E577" s="64"/>
      <c r="F577" s="64"/>
      <c r="G577" s="64"/>
      <c r="H577" s="66"/>
      <c r="I577" s="66"/>
      <c r="J577" s="64"/>
      <c r="K577" s="64"/>
      <c r="L577" s="64"/>
      <c r="M577" s="67" t="str">
        <f aca="false">IF(A577="","",IF(AND(B577&gt;=WeekStart,B577&lt;=WeekEnd),"Yes","No"))</f>
        <v/>
      </c>
      <c r="N577" s="67" t="str">
        <f aca="false">IF(A577="","",IF(L577&lt;&gt;"Verified","Not verified",IF(COUNTIFS(in_CGID,C577,in_ClientID,E577,in_Svc,G577)&gt;0,"Yes","Not entered")))</f>
        <v/>
      </c>
    </row>
    <row r="578" customFormat="false" ht="15" hidden="false" customHeight="false" outlineLevel="0" collapsed="false">
      <c r="A578" s="64"/>
      <c r="B578" s="65"/>
      <c r="C578" s="64"/>
      <c r="D578" s="64"/>
      <c r="E578" s="64"/>
      <c r="F578" s="64"/>
      <c r="G578" s="64"/>
      <c r="H578" s="66"/>
      <c r="I578" s="66"/>
      <c r="J578" s="64"/>
      <c r="K578" s="64"/>
      <c r="L578" s="64"/>
      <c r="M578" s="67" t="str">
        <f aca="false">IF(A578="","",IF(AND(B578&gt;=WeekStart,B578&lt;=WeekEnd),"Yes","No"))</f>
        <v/>
      </c>
      <c r="N578" s="67" t="str">
        <f aca="false">IF(A578="","",IF(L578&lt;&gt;"Verified","Not verified",IF(COUNTIFS(in_CGID,C578,in_ClientID,E578,in_Svc,G578)&gt;0,"Yes","Not entered")))</f>
        <v/>
      </c>
    </row>
    <row r="579" customFormat="false" ht="15" hidden="false" customHeight="false" outlineLevel="0" collapsed="false">
      <c r="A579" s="64"/>
      <c r="B579" s="65"/>
      <c r="C579" s="64"/>
      <c r="D579" s="64"/>
      <c r="E579" s="64"/>
      <c r="F579" s="64"/>
      <c r="G579" s="64"/>
      <c r="H579" s="66"/>
      <c r="I579" s="66"/>
      <c r="J579" s="64"/>
      <c r="K579" s="64"/>
      <c r="L579" s="64"/>
      <c r="M579" s="67" t="str">
        <f aca="false">IF(A579="","",IF(AND(B579&gt;=WeekStart,B579&lt;=WeekEnd),"Yes","No"))</f>
        <v/>
      </c>
      <c r="N579" s="67" t="str">
        <f aca="false">IF(A579="","",IF(L579&lt;&gt;"Verified","Not verified",IF(COUNTIFS(in_CGID,C579,in_ClientID,E579,in_Svc,G579)&gt;0,"Yes","Not entered")))</f>
        <v/>
      </c>
    </row>
    <row r="580" customFormat="false" ht="15" hidden="false" customHeight="false" outlineLevel="0" collapsed="false">
      <c r="A580" s="64"/>
      <c r="B580" s="65"/>
      <c r="C580" s="64"/>
      <c r="D580" s="64"/>
      <c r="E580" s="64"/>
      <c r="F580" s="64"/>
      <c r="G580" s="64"/>
      <c r="H580" s="66"/>
      <c r="I580" s="66"/>
      <c r="J580" s="64"/>
      <c r="K580" s="64"/>
      <c r="L580" s="64"/>
      <c r="M580" s="67" t="str">
        <f aca="false">IF(A580="","",IF(AND(B580&gt;=WeekStart,B580&lt;=WeekEnd),"Yes","No"))</f>
        <v/>
      </c>
      <c r="N580" s="67" t="str">
        <f aca="false">IF(A580="","",IF(L580&lt;&gt;"Verified","Not verified",IF(COUNTIFS(in_CGID,C580,in_ClientID,E580,in_Svc,G580)&gt;0,"Yes","Not entered")))</f>
        <v/>
      </c>
    </row>
    <row r="581" customFormat="false" ht="15" hidden="false" customHeight="false" outlineLevel="0" collapsed="false">
      <c r="A581" s="64"/>
      <c r="B581" s="65"/>
      <c r="C581" s="64"/>
      <c r="D581" s="64"/>
      <c r="E581" s="64"/>
      <c r="F581" s="64"/>
      <c r="G581" s="64"/>
      <c r="H581" s="66"/>
      <c r="I581" s="66"/>
      <c r="J581" s="64"/>
      <c r="K581" s="64"/>
      <c r="L581" s="64"/>
      <c r="M581" s="67" t="str">
        <f aca="false">IF(A581="","",IF(AND(B581&gt;=WeekStart,B581&lt;=WeekEnd),"Yes","No"))</f>
        <v/>
      </c>
      <c r="N581" s="67" t="str">
        <f aca="false">IF(A581="","",IF(L581&lt;&gt;"Verified","Not verified",IF(COUNTIFS(in_CGID,C581,in_ClientID,E581,in_Svc,G581)&gt;0,"Yes","Not entered")))</f>
        <v/>
      </c>
    </row>
    <row r="582" customFormat="false" ht="15" hidden="false" customHeight="false" outlineLevel="0" collapsed="false">
      <c r="A582" s="64"/>
      <c r="B582" s="65"/>
      <c r="C582" s="64"/>
      <c r="D582" s="64"/>
      <c r="E582" s="64"/>
      <c r="F582" s="64"/>
      <c r="G582" s="64"/>
      <c r="H582" s="66"/>
      <c r="I582" s="66"/>
      <c r="J582" s="64"/>
      <c r="K582" s="64"/>
      <c r="L582" s="64"/>
      <c r="M582" s="67" t="str">
        <f aca="false">IF(A582="","",IF(AND(B582&gt;=WeekStart,B582&lt;=WeekEnd),"Yes","No"))</f>
        <v/>
      </c>
      <c r="N582" s="67" t="str">
        <f aca="false">IF(A582="","",IF(L582&lt;&gt;"Verified","Not verified",IF(COUNTIFS(in_CGID,C582,in_ClientID,E582,in_Svc,G582)&gt;0,"Yes","Not entered")))</f>
        <v/>
      </c>
    </row>
    <row r="583" customFormat="false" ht="15" hidden="false" customHeight="false" outlineLevel="0" collapsed="false">
      <c r="A583" s="64"/>
      <c r="B583" s="65"/>
      <c r="C583" s="64"/>
      <c r="D583" s="64"/>
      <c r="E583" s="64"/>
      <c r="F583" s="64"/>
      <c r="G583" s="64"/>
      <c r="H583" s="66"/>
      <c r="I583" s="66"/>
      <c r="J583" s="64"/>
      <c r="K583" s="64"/>
      <c r="L583" s="64"/>
      <c r="M583" s="67" t="str">
        <f aca="false">IF(A583="","",IF(AND(B583&gt;=WeekStart,B583&lt;=WeekEnd),"Yes","No"))</f>
        <v/>
      </c>
      <c r="N583" s="67" t="str">
        <f aca="false">IF(A583="","",IF(L583&lt;&gt;"Verified","Not verified",IF(COUNTIFS(in_CGID,C583,in_ClientID,E583,in_Svc,G583)&gt;0,"Yes","Not entered")))</f>
        <v/>
      </c>
    </row>
    <row r="584" customFormat="false" ht="15" hidden="false" customHeight="false" outlineLevel="0" collapsed="false">
      <c r="A584" s="64"/>
      <c r="B584" s="65"/>
      <c r="C584" s="64"/>
      <c r="D584" s="64"/>
      <c r="E584" s="64"/>
      <c r="F584" s="64"/>
      <c r="G584" s="64"/>
      <c r="H584" s="66"/>
      <c r="I584" s="66"/>
      <c r="J584" s="64"/>
      <c r="K584" s="64"/>
      <c r="L584" s="64"/>
      <c r="M584" s="67" t="str">
        <f aca="false">IF(A584="","",IF(AND(B584&gt;=WeekStart,B584&lt;=WeekEnd),"Yes","No"))</f>
        <v/>
      </c>
      <c r="N584" s="67" t="str">
        <f aca="false">IF(A584="","",IF(L584&lt;&gt;"Verified","Not verified",IF(COUNTIFS(in_CGID,C584,in_ClientID,E584,in_Svc,G584)&gt;0,"Yes","Not entered")))</f>
        <v/>
      </c>
    </row>
    <row r="585" customFormat="false" ht="15" hidden="false" customHeight="false" outlineLevel="0" collapsed="false">
      <c r="A585" s="64"/>
      <c r="B585" s="65"/>
      <c r="C585" s="64"/>
      <c r="D585" s="64"/>
      <c r="E585" s="64"/>
      <c r="F585" s="64"/>
      <c r="G585" s="64"/>
      <c r="H585" s="66"/>
      <c r="I585" s="66"/>
      <c r="J585" s="64"/>
      <c r="K585" s="64"/>
      <c r="L585" s="64"/>
      <c r="M585" s="67" t="str">
        <f aca="false">IF(A585="","",IF(AND(B585&gt;=WeekStart,B585&lt;=WeekEnd),"Yes","No"))</f>
        <v/>
      </c>
      <c r="N585" s="67" t="str">
        <f aca="false">IF(A585="","",IF(L585&lt;&gt;"Verified","Not verified",IF(COUNTIFS(in_CGID,C585,in_ClientID,E585,in_Svc,G585)&gt;0,"Yes","Not entered")))</f>
        <v/>
      </c>
    </row>
    <row r="586" customFormat="false" ht="15" hidden="false" customHeight="false" outlineLevel="0" collapsed="false">
      <c r="A586" s="64"/>
      <c r="B586" s="65"/>
      <c r="C586" s="64"/>
      <c r="D586" s="64"/>
      <c r="E586" s="64"/>
      <c r="F586" s="64"/>
      <c r="G586" s="64"/>
      <c r="H586" s="66"/>
      <c r="I586" s="66"/>
      <c r="J586" s="64"/>
      <c r="K586" s="64"/>
      <c r="L586" s="64"/>
      <c r="M586" s="67" t="str">
        <f aca="false">IF(A586="","",IF(AND(B586&gt;=WeekStart,B586&lt;=WeekEnd),"Yes","No"))</f>
        <v/>
      </c>
      <c r="N586" s="67" t="str">
        <f aca="false">IF(A586="","",IF(L586&lt;&gt;"Verified","Not verified",IF(COUNTIFS(in_CGID,C586,in_ClientID,E586,in_Svc,G586)&gt;0,"Yes","Not entered")))</f>
        <v/>
      </c>
    </row>
    <row r="587" customFormat="false" ht="15" hidden="false" customHeight="false" outlineLevel="0" collapsed="false">
      <c r="A587" s="64"/>
      <c r="B587" s="65"/>
      <c r="C587" s="64"/>
      <c r="D587" s="64"/>
      <c r="E587" s="64"/>
      <c r="F587" s="64"/>
      <c r="G587" s="64"/>
      <c r="H587" s="66"/>
      <c r="I587" s="66"/>
      <c r="J587" s="64"/>
      <c r="K587" s="64"/>
      <c r="L587" s="64"/>
      <c r="M587" s="67" t="str">
        <f aca="false">IF(A587="","",IF(AND(B587&gt;=WeekStart,B587&lt;=WeekEnd),"Yes","No"))</f>
        <v/>
      </c>
      <c r="N587" s="67" t="str">
        <f aca="false">IF(A587="","",IF(L587&lt;&gt;"Verified","Not verified",IF(COUNTIFS(in_CGID,C587,in_ClientID,E587,in_Svc,G587)&gt;0,"Yes","Not entered")))</f>
        <v/>
      </c>
    </row>
    <row r="588" customFormat="false" ht="15" hidden="false" customHeight="false" outlineLevel="0" collapsed="false">
      <c r="A588" s="64"/>
      <c r="B588" s="65"/>
      <c r="C588" s="64"/>
      <c r="D588" s="64"/>
      <c r="E588" s="64"/>
      <c r="F588" s="64"/>
      <c r="G588" s="64"/>
      <c r="H588" s="66"/>
      <c r="I588" s="66"/>
      <c r="J588" s="64"/>
      <c r="K588" s="64"/>
      <c r="L588" s="64"/>
      <c r="M588" s="67" t="str">
        <f aca="false">IF(A588="","",IF(AND(B588&gt;=WeekStart,B588&lt;=WeekEnd),"Yes","No"))</f>
        <v/>
      </c>
      <c r="N588" s="67" t="str">
        <f aca="false">IF(A588="","",IF(L588&lt;&gt;"Verified","Not verified",IF(COUNTIFS(in_CGID,C588,in_ClientID,E588,in_Svc,G588)&gt;0,"Yes","Not entered")))</f>
        <v/>
      </c>
    </row>
    <row r="589" customFormat="false" ht="15" hidden="false" customHeight="false" outlineLevel="0" collapsed="false">
      <c r="A589" s="64"/>
      <c r="B589" s="65"/>
      <c r="C589" s="64"/>
      <c r="D589" s="64"/>
      <c r="E589" s="64"/>
      <c r="F589" s="64"/>
      <c r="G589" s="64"/>
      <c r="H589" s="66"/>
      <c r="I589" s="66"/>
      <c r="J589" s="64"/>
      <c r="K589" s="64"/>
      <c r="L589" s="64"/>
      <c r="M589" s="67" t="str">
        <f aca="false">IF(A589="","",IF(AND(B589&gt;=WeekStart,B589&lt;=WeekEnd),"Yes","No"))</f>
        <v/>
      </c>
      <c r="N589" s="67" t="str">
        <f aca="false">IF(A589="","",IF(L589&lt;&gt;"Verified","Not verified",IF(COUNTIFS(in_CGID,C589,in_ClientID,E589,in_Svc,G589)&gt;0,"Yes","Not entered")))</f>
        <v/>
      </c>
    </row>
    <row r="590" customFormat="false" ht="15" hidden="false" customHeight="false" outlineLevel="0" collapsed="false">
      <c r="A590" s="64"/>
      <c r="B590" s="65"/>
      <c r="C590" s="64"/>
      <c r="D590" s="64"/>
      <c r="E590" s="64"/>
      <c r="F590" s="64"/>
      <c r="G590" s="64"/>
      <c r="H590" s="66"/>
      <c r="I590" s="66"/>
      <c r="J590" s="64"/>
      <c r="K590" s="64"/>
      <c r="L590" s="64"/>
      <c r="M590" s="67" t="str">
        <f aca="false">IF(A590="","",IF(AND(B590&gt;=WeekStart,B590&lt;=WeekEnd),"Yes","No"))</f>
        <v/>
      </c>
      <c r="N590" s="67" t="str">
        <f aca="false">IF(A590="","",IF(L590&lt;&gt;"Verified","Not verified",IF(COUNTIFS(in_CGID,C590,in_ClientID,E590,in_Svc,G590)&gt;0,"Yes","Not entered")))</f>
        <v/>
      </c>
    </row>
    <row r="591" customFormat="false" ht="15" hidden="false" customHeight="false" outlineLevel="0" collapsed="false">
      <c r="A591" s="64"/>
      <c r="B591" s="65"/>
      <c r="C591" s="64"/>
      <c r="D591" s="64"/>
      <c r="E591" s="64"/>
      <c r="F591" s="64"/>
      <c r="G591" s="64"/>
      <c r="H591" s="66"/>
      <c r="I591" s="66"/>
      <c r="J591" s="64"/>
      <c r="K591" s="64"/>
      <c r="L591" s="64"/>
      <c r="M591" s="67" t="str">
        <f aca="false">IF(A591="","",IF(AND(B591&gt;=WeekStart,B591&lt;=WeekEnd),"Yes","No"))</f>
        <v/>
      </c>
      <c r="N591" s="67" t="str">
        <f aca="false">IF(A591="","",IF(L591&lt;&gt;"Verified","Not verified",IF(COUNTIFS(in_CGID,C591,in_ClientID,E591,in_Svc,G591)&gt;0,"Yes","Not entered")))</f>
        <v/>
      </c>
    </row>
    <row r="592" customFormat="false" ht="15" hidden="false" customHeight="false" outlineLevel="0" collapsed="false">
      <c r="A592" s="64"/>
      <c r="B592" s="65"/>
      <c r="C592" s="64"/>
      <c r="D592" s="64"/>
      <c r="E592" s="64"/>
      <c r="F592" s="64"/>
      <c r="G592" s="64"/>
      <c r="H592" s="66"/>
      <c r="I592" s="66"/>
      <c r="J592" s="64"/>
      <c r="K592" s="64"/>
      <c r="L592" s="64"/>
      <c r="M592" s="67" t="str">
        <f aca="false">IF(A592="","",IF(AND(B592&gt;=WeekStart,B592&lt;=WeekEnd),"Yes","No"))</f>
        <v/>
      </c>
      <c r="N592" s="67" t="str">
        <f aca="false">IF(A592="","",IF(L592&lt;&gt;"Verified","Not verified",IF(COUNTIFS(in_CGID,C592,in_ClientID,E592,in_Svc,G592)&gt;0,"Yes","Not entered")))</f>
        <v/>
      </c>
    </row>
    <row r="593" customFormat="false" ht="15" hidden="false" customHeight="false" outlineLevel="0" collapsed="false">
      <c r="A593" s="64"/>
      <c r="B593" s="65"/>
      <c r="C593" s="64"/>
      <c r="D593" s="64"/>
      <c r="E593" s="64"/>
      <c r="F593" s="64"/>
      <c r="G593" s="64"/>
      <c r="H593" s="66"/>
      <c r="I593" s="66"/>
      <c r="J593" s="64"/>
      <c r="K593" s="64"/>
      <c r="L593" s="64"/>
      <c r="M593" s="67" t="str">
        <f aca="false">IF(A593="","",IF(AND(B593&gt;=WeekStart,B593&lt;=WeekEnd),"Yes","No"))</f>
        <v/>
      </c>
      <c r="N593" s="67" t="str">
        <f aca="false">IF(A593="","",IF(L593&lt;&gt;"Verified","Not verified",IF(COUNTIFS(in_CGID,C593,in_ClientID,E593,in_Svc,G593)&gt;0,"Yes","Not entered")))</f>
        <v/>
      </c>
    </row>
    <row r="594" customFormat="false" ht="15" hidden="false" customHeight="false" outlineLevel="0" collapsed="false">
      <c r="A594" s="64"/>
      <c r="B594" s="65"/>
      <c r="C594" s="64"/>
      <c r="D594" s="64"/>
      <c r="E594" s="64"/>
      <c r="F594" s="64"/>
      <c r="G594" s="64"/>
      <c r="H594" s="66"/>
      <c r="I594" s="66"/>
      <c r="J594" s="64"/>
      <c r="K594" s="64"/>
      <c r="L594" s="64"/>
      <c r="M594" s="67" t="str">
        <f aca="false">IF(A594="","",IF(AND(B594&gt;=WeekStart,B594&lt;=WeekEnd),"Yes","No"))</f>
        <v/>
      </c>
      <c r="N594" s="67" t="str">
        <f aca="false">IF(A594="","",IF(L594&lt;&gt;"Verified","Not verified",IF(COUNTIFS(in_CGID,C594,in_ClientID,E594,in_Svc,G594)&gt;0,"Yes","Not entered")))</f>
        <v/>
      </c>
    </row>
    <row r="595" customFormat="false" ht="15" hidden="false" customHeight="false" outlineLevel="0" collapsed="false">
      <c r="A595" s="64"/>
      <c r="B595" s="65"/>
      <c r="C595" s="64"/>
      <c r="D595" s="64"/>
      <c r="E595" s="64"/>
      <c r="F595" s="64"/>
      <c r="G595" s="64"/>
      <c r="H595" s="66"/>
      <c r="I595" s="66"/>
      <c r="J595" s="64"/>
      <c r="K595" s="64"/>
      <c r="L595" s="64"/>
      <c r="M595" s="67" t="str">
        <f aca="false">IF(A595="","",IF(AND(B595&gt;=WeekStart,B595&lt;=WeekEnd),"Yes","No"))</f>
        <v/>
      </c>
      <c r="N595" s="67" t="str">
        <f aca="false">IF(A595="","",IF(L595&lt;&gt;"Verified","Not verified",IF(COUNTIFS(in_CGID,C595,in_ClientID,E595,in_Svc,G595)&gt;0,"Yes","Not entered")))</f>
        <v/>
      </c>
    </row>
    <row r="596" customFormat="false" ht="15" hidden="false" customHeight="false" outlineLevel="0" collapsed="false">
      <c r="A596" s="64"/>
      <c r="B596" s="65"/>
      <c r="C596" s="64"/>
      <c r="D596" s="64"/>
      <c r="E596" s="64"/>
      <c r="F596" s="64"/>
      <c r="G596" s="64"/>
      <c r="H596" s="66"/>
      <c r="I596" s="66"/>
      <c r="J596" s="64"/>
      <c r="K596" s="64"/>
      <c r="L596" s="64"/>
      <c r="M596" s="67" t="str">
        <f aca="false">IF(A596="","",IF(AND(B596&gt;=WeekStart,B596&lt;=WeekEnd),"Yes","No"))</f>
        <v/>
      </c>
      <c r="N596" s="67" t="str">
        <f aca="false">IF(A596="","",IF(L596&lt;&gt;"Verified","Not verified",IF(COUNTIFS(in_CGID,C596,in_ClientID,E596,in_Svc,G596)&gt;0,"Yes","Not entered")))</f>
        <v/>
      </c>
    </row>
    <row r="597" customFormat="false" ht="15" hidden="false" customHeight="false" outlineLevel="0" collapsed="false">
      <c r="A597" s="64"/>
      <c r="B597" s="65"/>
      <c r="C597" s="64"/>
      <c r="D597" s="64"/>
      <c r="E597" s="64"/>
      <c r="F597" s="64"/>
      <c r="G597" s="64"/>
      <c r="H597" s="66"/>
      <c r="I597" s="66"/>
      <c r="J597" s="64"/>
      <c r="K597" s="64"/>
      <c r="L597" s="64"/>
      <c r="M597" s="67" t="str">
        <f aca="false">IF(A597="","",IF(AND(B597&gt;=WeekStart,B597&lt;=WeekEnd),"Yes","No"))</f>
        <v/>
      </c>
      <c r="N597" s="67" t="str">
        <f aca="false">IF(A597="","",IF(L597&lt;&gt;"Verified","Not verified",IF(COUNTIFS(in_CGID,C597,in_ClientID,E597,in_Svc,G597)&gt;0,"Yes","Not entered")))</f>
        <v/>
      </c>
    </row>
    <row r="598" customFormat="false" ht="15" hidden="false" customHeight="false" outlineLevel="0" collapsed="false">
      <c r="A598" s="64"/>
      <c r="B598" s="65"/>
      <c r="C598" s="64"/>
      <c r="D598" s="64"/>
      <c r="E598" s="64"/>
      <c r="F598" s="64"/>
      <c r="G598" s="64"/>
      <c r="H598" s="66"/>
      <c r="I598" s="66"/>
      <c r="J598" s="64"/>
      <c r="K598" s="64"/>
      <c r="L598" s="64"/>
      <c r="M598" s="67" t="str">
        <f aca="false">IF(A598="","",IF(AND(B598&gt;=WeekStart,B598&lt;=WeekEnd),"Yes","No"))</f>
        <v/>
      </c>
      <c r="N598" s="67" t="str">
        <f aca="false">IF(A598="","",IF(L598&lt;&gt;"Verified","Not verified",IF(COUNTIFS(in_CGID,C598,in_ClientID,E598,in_Svc,G598)&gt;0,"Yes","Not entered")))</f>
        <v/>
      </c>
    </row>
    <row r="599" customFormat="false" ht="15" hidden="false" customHeight="false" outlineLevel="0" collapsed="false">
      <c r="A599" s="64"/>
      <c r="B599" s="65"/>
      <c r="C599" s="64"/>
      <c r="D599" s="64"/>
      <c r="E599" s="64"/>
      <c r="F599" s="64"/>
      <c r="G599" s="64"/>
      <c r="H599" s="66"/>
      <c r="I599" s="66"/>
      <c r="J599" s="64"/>
      <c r="K599" s="64"/>
      <c r="L599" s="64"/>
      <c r="M599" s="67" t="str">
        <f aca="false">IF(A599="","",IF(AND(B599&gt;=WeekStart,B599&lt;=WeekEnd),"Yes","No"))</f>
        <v/>
      </c>
      <c r="N599" s="67" t="str">
        <f aca="false">IF(A599="","",IF(L599&lt;&gt;"Verified","Not verified",IF(COUNTIFS(in_CGID,C599,in_ClientID,E599,in_Svc,G599)&gt;0,"Yes","Not entered")))</f>
        <v/>
      </c>
    </row>
    <row r="600" customFormat="false" ht="15" hidden="false" customHeight="false" outlineLevel="0" collapsed="false">
      <c r="A600" s="64"/>
      <c r="B600" s="65"/>
      <c r="C600" s="64"/>
      <c r="D600" s="64"/>
      <c r="E600" s="64"/>
      <c r="F600" s="64"/>
      <c r="G600" s="64"/>
      <c r="H600" s="66"/>
      <c r="I600" s="66"/>
      <c r="J600" s="64"/>
      <c r="K600" s="64"/>
      <c r="L600" s="64"/>
      <c r="M600" s="67" t="str">
        <f aca="false">IF(A600="","",IF(AND(B600&gt;=WeekStart,B600&lt;=WeekEnd),"Yes","No"))</f>
        <v/>
      </c>
      <c r="N600" s="67" t="str">
        <f aca="false">IF(A600="","",IF(L600&lt;&gt;"Verified","Not verified",IF(COUNTIFS(in_CGID,C600,in_ClientID,E600,in_Svc,G600)&gt;0,"Yes","Not entered")))</f>
        <v/>
      </c>
    </row>
    <row r="601" customFormat="false" ht="15" hidden="false" customHeight="false" outlineLevel="0" collapsed="false">
      <c r="A601" s="64"/>
      <c r="B601" s="65"/>
      <c r="C601" s="64"/>
      <c r="D601" s="64"/>
      <c r="E601" s="64"/>
      <c r="F601" s="64"/>
      <c r="G601" s="64"/>
      <c r="H601" s="66"/>
      <c r="I601" s="66"/>
      <c r="J601" s="64"/>
      <c r="K601" s="64"/>
      <c r="L601" s="64"/>
      <c r="M601" s="67" t="str">
        <f aca="false">IF(A601="","",IF(AND(B601&gt;=WeekStart,B601&lt;=WeekEnd),"Yes","No"))</f>
        <v/>
      </c>
      <c r="N601" s="67" t="str">
        <f aca="false">IF(A601="","",IF(L601&lt;&gt;"Verified","Not verified",IF(COUNTIFS(in_CGID,C601,in_ClientID,E601,in_Svc,G601)&gt;0,"Yes","Not entered")))</f>
        <v/>
      </c>
    </row>
    <row r="602" customFormat="false" ht="15" hidden="false" customHeight="false" outlineLevel="0" collapsed="false">
      <c r="A602" s="64"/>
      <c r="B602" s="65"/>
      <c r="C602" s="64"/>
      <c r="D602" s="64"/>
      <c r="E602" s="64"/>
      <c r="F602" s="64"/>
      <c r="G602" s="64"/>
      <c r="H602" s="66"/>
      <c r="I602" s="66"/>
      <c r="J602" s="64"/>
      <c r="K602" s="64"/>
      <c r="L602" s="64"/>
      <c r="M602" s="67" t="str">
        <f aca="false">IF(A602="","",IF(AND(B602&gt;=WeekStart,B602&lt;=WeekEnd),"Yes","No"))</f>
        <v/>
      </c>
      <c r="N602" s="67" t="str">
        <f aca="false">IF(A602="","",IF(L602&lt;&gt;"Verified","Not verified",IF(COUNTIFS(in_CGID,C602,in_ClientID,E602,in_Svc,G602)&gt;0,"Yes","Not entered")))</f>
        <v/>
      </c>
    </row>
    <row r="603" customFormat="false" ht="15" hidden="false" customHeight="false" outlineLevel="0" collapsed="false">
      <c r="A603" s="64"/>
      <c r="B603" s="65"/>
      <c r="C603" s="64"/>
      <c r="D603" s="64"/>
      <c r="E603" s="64"/>
      <c r="F603" s="64"/>
      <c r="G603" s="64"/>
      <c r="H603" s="66"/>
      <c r="I603" s="66"/>
      <c r="J603" s="64"/>
      <c r="K603" s="64"/>
      <c r="L603" s="64"/>
      <c r="M603" s="67" t="str">
        <f aca="false">IF(A603="","",IF(AND(B603&gt;=WeekStart,B603&lt;=WeekEnd),"Yes","No"))</f>
        <v/>
      </c>
      <c r="N603" s="67" t="str">
        <f aca="false">IF(A603="","",IF(L603&lt;&gt;"Verified","Not verified",IF(COUNTIFS(in_CGID,C603,in_ClientID,E603,in_Svc,G603)&gt;0,"Yes","Not entered")))</f>
        <v/>
      </c>
    </row>
    <row r="604" customFormat="false" ht="15" hidden="false" customHeight="false" outlineLevel="0" collapsed="false">
      <c r="A604" s="64"/>
      <c r="B604" s="65"/>
      <c r="C604" s="64"/>
      <c r="D604" s="64"/>
      <c r="E604" s="64"/>
      <c r="F604" s="64"/>
      <c r="G604" s="64"/>
      <c r="H604" s="66"/>
      <c r="I604" s="66"/>
      <c r="J604" s="64"/>
      <c r="K604" s="64"/>
      <c r="L604" s="64"/>
      <c r="M604" s="67" t="str">
        <f aca="false">IF(A604="","",IF(AND(B604&gt;=WeekStart,B604&lt;=WeekEnd),"Yes","No"))</f>
        <v/>
      </c>
      <c r="N604" s="67" t="str">
        <f aca="false">IF(A604="","",IF(L604&lt;&gt;"Verified","Not verified",IF(COUNTIFS(in_CGID,C604,in_ClientID,E604,in_Svc,G604)&gt;0,"Yes","Not entered")))</f>
        <v/>
      </c>
    </row>
    <row r="605" customFormat="false" ht="15" hidden="false" customHeight="false" outlineLevel="0" collapsed="false">
      <c r="A605" s="64"/>
      <c r="B605" s="65"/>
      <c r="C605" s="64"/>
      <c r="D605" s="64"/>
      <c r="E605" s="64"/>
      <c r="F605" s="64"/>
      <c r="G605" s="64"/>
      <c r="H605" s="66"/>
      <c r="I605" s="66"/>
      <c r="J605" s="64"/>
      <c r="K605" s="64"/>
      <c r="L605" s="64"/>
      <c r="M605" s="67" t="str">
        <f aca="false">IF(A605="","",IF(AND(B605&gt;=WeekStart,B605&lt;=WeekEnd),"Yes","No"))</f>
        <v/>
      </c>
      <c r="N605" s="67" t="str">
        <f aca="false">IF(A605="","",IF(L605&lt;&gt;"Verified","Not verified",IF(COUNTIFS(in_CGID,C605,in_ClientID,E605,in_Svc,G605)&gt;0,"Yes","Not entered")))</f>
        <v/>
      </c>
    </row>
    <row r="606" customFormat="false" ht="15" hidden="false" customHeight="false" outlineLevel="0" collapsed="false">
      <c r="A606" s="64"/>
      <c r="B606" s="65"/>
      <c r="C606" s="64"/>
      <c r="D606" s="64"/>
      <c r="E606" s="64"/>
      <c r="F606" s="64"/>
      <c r="G606" s="64"/>
      <c r="H606" s="66"/>
      <c r="I606" s="66"/>
      <c r="J606" s="64"/>
      <c r="K606" s="64"/>
      <c r="L606" s="64"/>
      <c r="M606" s="67" t="str">
        <f aca="false">IF(A606="","",IF(AND(B606&gt;=WeekStart,B606&lt;=WeekEnd),"Yes","No"))</f>
        <v/>
      </c>
      <c r="N606" s="67" t="str">
        <f aca="false">IF(A606="","",IF(L606&lt;&gt;"Verified","Not verified",IF(COUNTIFS(in_CGID,C606,in_ClientID,E606,in_Svc,G606)&gt;0,"Yes","Not entered")))</f>
        <v/>
      </c>
    </row>
    <row r="607" customFormat="false" ht="15" hidden="false" customHeight="false" outlineLevel="0" collapsed="false">
      <c r="A607" s="64"/>
      <c r="B607" s="65"/>
      <c r="C607" s="64"/>
      <c r="D607" s="64"/>
      <c r="E607" s="64"/>
      <c r="F607" s="64"/>
      <c r="G607" s="64"/>
      <c r="H607" s="66"/>
      <c r="I607" s="66"/>
      <c r="J607" s="64"/>
      <c r="K607" s="64"/>
      <c r="L607" s="64"/>
      <c r="M607" s="67" t="str">
        <f aca="false">IF(A607="","",IF(AND(B607&gt;=WeekStart,B607&lt;=WeekEnd),"Yes","No"))</f>
        <v/>
      </c>
      <c r="N607" s="67" t="str">
        <f aca="false">IF(A607="","",IF(L607&lt;&gt;"Verified","Not verified",IF(COUNTIFS(in_CGID,C607,in_ClientID,E607,in_Svc,G607)&gt;0,"Yes","Not entered")))</f>
        <v/>
      </c>
    </row>
    <row r="608" customFormat="false" ht="15" hidden="false" customHeight="false" outlineLevel="0" collapsed="false">
      <c r="A608" s="64"/>
      <c r="B608" s="65"/>
      <c r="C608" s="64"/>
      <c r="D608" s="64"/>
      <c r="E608" s="64"/>
      <c r="F608" s="64"/>
      <c r="G608" s="64"/>
      <c r="H608" s="66"/>
      <c r="I608" s="66"/>
      <c r="J608" s="64"/>
      <c r="K608" s="64"/>
      <c r="L608" s="64"/>
      <c r="M608" s="67" t="str">
        <f aca="false">IF(A608="","",IF(AND(B608&gt;=WeekStart,B608&lt;=WeekEnd),"Yes","No"))</f>
        <v/>
      </c>
      <c r="N608" s="67" t="str">
        <f aca="false">IF(A608="","",IF(L608&lt;&gt;"Verified","Not verified",IF(COUNTIFS(in_CGID,C608,in_ClientID,E608,in_Svc,G608)&gt;0,"Yes","Not entered")))</f>
        <v/>
      </c>
    </row>
    <row r="609" customFormat="false" ht="15" hidden="false" customHeight="false" outlineLevel="0" collapsed="false">
      <c r="A609" s="64"/>
      <c r="B609" s="65"/>
      <c r="C609" s="64"/>
      <c r="D609" s="64"/>
      <c r="E609" s="64"/>
      <c r="F609" s="64"/>
      <c r="G609" s="64"/>
      <c r="H609" s="66"/>
      <c r="I609" s="66"/>
      <c r="J609" s="64"/>
      <c r="K609" s="64"/>
      <c r="L609" s="64"/>
      <c r="M609" s="67" t="str">
        <f aca="false">IF(A609="","",IF(AND(B609&gt;=WeekStart,B609&lt;=WeekEnd),"Yes","No"))</f>
        <v/>
      </c>
      <c r="N609" s="67" t="str">
        <f aca="false">IF(A609="","",IF(L609&lt;&gt;"Verified","Not verified",IF(COUNTIFS(in_CGID,C609,in_ClientID,E609,in_Svc,G609)&gt;0,"Yes","Not entered")))</f>
        <v/>
      </c>
    </row>
    <row r="610" customFormat="false" ht="15" hidden="false" customHeight="false" outlineLevel="0" collapsed="false">
      <c r="A610" s="64"/>
      <c r="B610" s="65"/>
      <c r="C610" s="64"/>
      <c r="D610" s="64"/>
      <c r="E610" s="64"/>
      <c r="F610" s="64"/>
      <c r="G610" s="64"/>
      <c r="H610" s="66"/>
      <c r="I610" s="66"/>
      <c r="J610" s="64"/>
      <c r="K610" s="64"/>
      <c r="L610" s="64"/>
      <c r="M610" s="67" t="str">
        <f aca="false">IF(A610="","",IF(AND(B610&gt;=WeekStart,B610&lt;=WeekEnd),"Yes","No"))</f>
        <v/>
      </c>
      <c r="N610" s="67" t="str">
        <f aca="false">IF(A610="","",IF(L610&lt;&gt;"Verified","Not verified",IF(COUNTIFS(in_CGID,C610,in_ClientID,E610,in_Svc,G610)&gt;0,"Yes","Not entered")))</f>
        <v/>
      </c>
    </row>
    <row r="611" customFormat="false" ht="15" hidden="false" customHeight="false" outlineLevel="0" collapsed="false">
      <c r="A611" s="64"/>
      <c r="B611" s="65"/>
      <c r="C611" s="64"/>
      <c r="D611" s="64"/>
      <c r="E611" s="64"/>
      <c r="F611" s="64"/>
      <c r="G611" s="64"/>
      <c r="H611" s="66"/>
      <c r="I611" s="66"/>
      <c r="J611" s="64"/>
      <c r="K611" s="64"/>
      <c r="L611" s="64"/>
      <c r="M611" s="67" t="str">
        <f aca="false">IF(A611="","",IF(AND(B611&gt;=WeekStart,B611&lt;=WeekEnd),"Yes","No"))</f>
        <v/>
      </c>
      <c r="N611" s="67" t="str">
        <f aca="false">IF(A611="","",IF(L611&lt;&gt;"Verified","Not verified",IF(COUNTIFS(in_CGID,C611,in_ClientID,E611,in_Svc,G611)&gt;0,"Yes","Not entered")))</f>
        <v/>
      </c>
    </row>
    <row r="612" customFormat="false" ht="15" hidden="false" customHeight="false" outlineLevel="0" collapsed="false">
      <c r="A612" s="64"/>
      <c r="B612" s="65"/>
      <c r="C612" s="64"/>
      <c r="D612" s="64"/>
      <c r="E612" s="64"/>
      <c r="F612" s="64"/>
      <c r="G612" s="64"/>
      <c r="H612" s="66"/>
      <c r="I612" s="66"/>
      <c r="J612" s="64"/>
      <c r="K612" s="64"/>
      <c r="L612" s="64"/>
      <c r="M612" s="67" t="str">
        <f aca="false">IF(A612="","",IF(AND(B612&gt;=WeekStart,B612&lt;=WeekEnd),"Yes","No"))</f>
        <v/>
      </c>
      <c r="N612" s="67" t="str">
        <f aca="false">IF(A612="","",IF(L612&lt;&gt;"Verified","Not verified",IF(COUNTIFS(in_CGID,C612,in_ClientID,E612,in_Svc,G612)&gt;0,"Yes","Not entered")))</f>
        <v/>
      </c>
    </row>
    <row r="613" customFormat="false" ht="15" hidden="false" customHeight="false" outlineLevel="0" collapsed="false">
      <c r="A613" s="64"/>
      <c r="B613" s="65"/>
      <c r="C613" s="64"/>
      <c r="D613" s="64"/>
      <c r="E613" s="64"/>
      <c r="F613" s="64"/>
      <c r="G613" s="64"/>
      <c r="H613" s="66"/>
      <c r="I613" s="66"/>
      <c r="J613" s="64"/>
      <c r="K613" s="64"/>
      <c r="L613" s="64"/>
      <c r="M613" s="67" t="str">
        <f aca="false">IF(A613="","",IF(AND(B613&gt;=WeekStart,B613&lt;=WeekEnd),"Yes","No"))</f>
        <v/>
      </c>
      <c r="N613" s="67" t="str">
        <f aca="false">IF(A613="","",IF(L613&lt;&gt;"Verified","Not verified",IF(COUNTIFS(in_CGID,C613,in_ClientID,E613,in_Svc,G613)&gt;0,"Yes","Not entered")))</f>
        <v/>
      </c>
    </row>
    <row r="614" customFormat="false" ht="15" hidden="false" customHeight="false" outlineLevel="0" collapsed="false">
      <c r="A614" s="64"/>
      <c r="B614" s="65"/>
      <c r="C614" s="64"/>
      <c r="D614" s="64"/>
      <c r="E614" s="64"/>
      <c r="F614" s="64"/>
      <c r="G614" s="64"/>
      <c r="H614" s="66"/>
      <c r="I614" s="66"/>
      <c r="J614" s="64"/>
      <c r="K614" s="64"/>
      <c r="L614" s="64"/>
      <c r="M614" s="67" t="str">
        <f aca="false">IF(A614="","",IF(AND(B614&gt;=WeekStart,B614&lt;=WeekEnd),"Yes","No"))</f>
        <v/>
      </c>
      <c r="N614" s="67" t="str">
        <f aca="false">IF(A614="","",IF(L614&lt;&gt;"Verified","Not verified",IF(COUNTIFS(in_CGID,C614,in_ClientID,E614,in_Svc,G614)&gt;0,"Yes","Not entered")))</f>
        <v/>
      </c>
    </row>
    <row r="615" customFormat="false" ht="15" hidden="false" customHeight="false" outlineLevel="0" collapsed="false">
      <c r="A615" s="64"/>
      <c r="B615" s="65"/>
      <c r="C615" s="64"/>
      <c r="D615" s="64"/>
      <c r="E615" s="64"/>
      <c r="F615" s="64"/>
      <c r="G615" s="64"/>
      <c r="H615" s="66"/>
      <c r="I615" s="66"/>
      <c r="J615" s="64"/>
      <c r="K615" s="64"/>
      <c r="L615" s="64"/>
      <c r="M615" s="67" t="str">
        <f aca="false">IF(A615="","",IF(AND(B615&gt;=WeekStart,B615&lt;=WeekEnd),"Yes","No"))</f>
        <v/>
      </c>
      <c r="N615" s="67" t="str">
        <f aca="false">IF(A615="","",IF(L615&lt;&gt;"Verified","Not verified",IF(COUNTIFS(in_CGID,C615,in_ClientID,E615,in_Svc,G615)&gt;0,"Yes","Not entered")))</f>
        <v/>
      </c>
    </row>
    <row r="616" customFormat="false" ht="15" hidden="false" customHeight="false" outlineLevel="0" collapsed="false">
      <c r="A616" s="64"/>
      <c r="B616" s="65"/>
      <c r="C616" s="64"/>
      <c r="D616" s="64"/>
      <c r="E616" s="64"/>
      <c r="F616" s="64"/>
      <c r="G616" s="64"/>
      <c r="H616" s="66"/>
      <c r="I616" s="66"/>
      <c r="J616" s="64"/>
      <c r="K616" s="64"/>
      <c r="L616" s="64"/>
      <c r="M616" s="67" t="str">
        <f aca="false">IF(A616="","",IF(AND(B616&gt;=WeekStart,B616&lt;=WeekEnd),"Yes","No"))</f>
        <v/>
      </c>
      <c r="N616" s="67" t="str">
        <f aca="false">IF(A616="","",IF(L616&lt;&gt;"Verified","Not verified",IF(COUNTIFS(in_CGID,C616,in_ClientID,E616,in_Svc,G616)&gt;0,"Yes","Not entered")))</f>
        <v/>
      </c>
    </row>
    <row r="617" customFormat="false" ht="15" hidden="false" customHeight="false" outlineLevel="0" collapsed="false">
      <c r="A617" s="64"/>
      <c r="B617" s="65"/>
      <c r="C617" s="64"/>
      <c r="D617" s="64"/>
      <c r="E617" s="64"/>
      <c r="F617" s="64"/>
      <c r="G617" s="64"/>
      <c r="H617" s="66"/>
      <c r="I617" s="66"/>
      <c r="J617" s="64"/>
      <c r="K617" s="64"/>
      <c r="L617" s="64"/>
      <c r="M617" s="67" t="str">
        <f aca="false">IF(A617="","",IF(AND(B617&gt;=WeekStart,B617&lt;=WeekEnd),"Yes","No"))</f>
        <v/>
      </c>
      <c r="N617" s="67" t="str">
        <f aca="false">IF(A617="","",IF(L617&lt;&gt;"Verified","Not verified",IF(COUNTIFS(in_CGID,C617,in_ClientID,E617,in_Svc,G617)&gt;0,"Yes","Not entered")))</f>
        <v/>
      </c>
    </row>
    <row r="618" customFormat="false" ht="15" hidden="false" customHeight="false" outlineLevel="0" collapsed="false">
      <c r="A618" s="64"/>
      <c r="B618" s="65"/>
      <c r="C618" s="64"/>
      <c r="D618" s="64"/>
      <c r="E618" s="64"/>
      <c r="F618" s="64"/>
      <c r="G618" s="64"/>
      <c r="H618" s="66"/>
      <c r="I618" s="66"/>
      <c r="J618" s="64"/>
      <c r="K618" s="64"/>
      <c r="L618" s="64"/>
      <c r="M618" s="67" t="str">
        <f aca="false">IF(A618="","",IF(AND(B618&gt;=WeekStart,B618&lt;=WeekEnd),"Yes","No"))</f>
        <v/>
      </c>
      <c r="N618" s="67" t="str">
        <f aca="false">IF(A618="","",IF(L618&lt;&gt;"Verified","Not verified",IF(COUNTIFS(in_CGID,C618,in_ClientID,E618,in_Svc,G618)&gt;0,"Yes","Not entered")))</f>
        <v/>
      </c>
    </row>
    <row r="619" customFormat="false" ht="15" hidden="false" customHeight="false" outlineLevel="0" collapsed="false">
      <c r="A619" s="64"/>
      <c r="B619" s="65"/>
      <c r="C619" s="64"/>
      <c r="D619" s="64"/>
      <c r="E619" s="64"/>
      <c r="F619" s="64"/>
      <c r="G619" s="64"/>
      <c r="H619" s="66"/>
      <c r="I619" s="66"/>
      <c r="J619" s="64"/>
      <c r="K619" s="64"/>
      <c r="L619" s="64"/>
      <c r="M619" s="67" t="str">
        <f aca="false">IF(A619="","",IF(AND(B619&gt;=WeekStart,B619&lt;=WeekEnd),"Yes","No"))</f>
        <v/>
      </c>
      <c r="N619" s="67" t="str">
        <f aca="false">IF(A619="","",IF(L619&lt;&gt;"Verified","Not verified",IF(COUNTIFS(in_CGID,C619,in_ClientID,E619,in_Svc,G619)&gt;0,"Yes","Not entered")))</f>
        <v/>
      </c>
    </row>
    <row r="620" customFormat="false" ht="15" hidden="false" customHeight="false" outlineLevel="0" collapsed="false">
      <c r="A620" s="64"/>
      <c r="B620" s="65"/>
      <c r="C620" s="64"/>
      <c r="D620" s="64"/>
      <c r="E620" s="64"/>
      <c r="F620" s="64"/>
      <c r="G620" s="64"/>
      <c r="H620" s="66"/>
      <c r="I620" s="66"/>
      <c r="J620" s="64"/>
      <c r="K620" s="64"/>
      <c r="L620" s="64"/>
      <c r="M620" s="67" t="str">
        <f aca="false">IF(A620="","",IF(AND(B620&gt;=WeekStart,B620&lt;=WeekEnd),"Yes","No"))</f>
        <v/>
      </c>
      <c r="N620" s="67" t="str">
        <f aca="false">IF(A620="","",IF(L620&lt;&gt;"Verified","Not verified",IF(COUNTIFS(in_CGID,C620,in_ClientID,E620,in_Svc,G620)&gt;0,"Yes","Not entered")))</f>
        <v/>
      </c>
    </row>
    <row r="621" customFormat="false" ht="15" hidden="false" customHeight="false" outlineLevel="0" collapsed="false">
      <c r="A621" s="64"/>
      <c r="B621" s="65"/>
      <c r="C621" s="64"/>
      <c r="D621" s="64"/>
      <c r="E621" s="64"/>
      <c r="F621" s="64"/>
      <c r="G621" s="64"/>
      <c r="H621" s="66"/>
      <c r="I621" s="66"/>
      <c r="J621" s="64"/>
      <c r="K621" s="64"/>
      <c r="L621" s="64"/>
      <c r="M621" s="67" t="str">
        <f aca="false">IF(A621="","",IF(AND(B621&gt;=WeekStart,B621&lt;=WeekEnd),"Yes","No"))</f>
        <v/>
      </c>
      <c r="N621" s="67" t="str">
        <f aca="false">IF(A621="","",IF(L621&lt;&gt;"Verified","Not verified",IF(COUNTIFS(in_CGID,C621,in_ClientID,E621,in_Svc,G621)&gt;0,"Yes","Not entered")))</f>
        <v/>
      </c>
    </row>
    <row r="622" customFormat="false" ht="15" hidden="false" customHeight="false" outlineLevel="0" collapsed="false">
      <c r="A622" s="64"/>
      <c r="B622" s="65"/>
      <c r="C622" s="64"/>
      <c r="D622" s="64"/>
      <c r="E622" s="64"/>
      <c r="F622" s="64"/>
      <c r="G622" s="64"/>
      <c r="H622" s="66"/>
      <c r="I622" s="66"/>
      <c r="J622" s="64"/>
      <c r="K622" s="64"/>
      <c r="L622" s="64"/>
      <c r="M622" s="67" t="str">
        <f aca="false">IF(A622="","",IF(AND(B622&gt;=WeekStart,B622&lt;=WeekEnd),"Yes","No"))</f>
        <v/>
      </c>
      <c r="N622" s="67" t="str">
        <f aca="false">IF(A622="","",IF(L622&lt;&gt;"Verified","Not verified",IF(COUNTIFS(in_CGID,C622,in_ClientID,E622,in_Svc,G622)&gt;0,"Yes","Not entered")))</f>
        <v/>
      </c>
    </row>
    <row r="623" customFormat="false" ht="15" hidden="false" customHeight="false" outlineLevel="0" collapsed="false">
      <c r="A623" s="64"/>
      <c r="B623" s="65"/>
      <c r="C623" s="64"/>
      <c r="D623" s="64"/>
      <c r="E623" s="64"/>
      <c r="F623" s="64"/>
      <c r="G623" s="64"/>
      <c r="H623" s="66"/>
      <c r="I623" s="66"/>
      <c r="J623" s="64"/>
      <c r="K623" s="64"/>
      <c r="L623" s="64"/>
      <c r="M623" s="67" t="str">
        <f aca="false">IF(A623="","",IF(AND(B623&gt;=WeekStart,B623&lt;=WeekEnd),"Yes","No"))</f>
        <v/>
      </c>
      <c r="N623" s="67" t="str">
        <f aca="false">IF(A623="","",IF(L623&lt;&gt;"Verified","Not verified",IF(COUNTIFS(in_CGID,C623,in_ClientID,E623,in_Svc,G623)&gt;0,"Yes","Not entered")))</f>
        <v/>
      </c>
    </row>
    <row r="624" customFormat="false" ht="15" hidden="false" customHeight="false" outlineLevel="0" collapsed="false">
      <c r="A624" s="64"/>
      <c r="B624" s="65"/>
      <c r="C624" s="64"/>
      <c r="D624" s="64"/>
      <c r="E624" s="64"/>
      <c r="F624" s="64"/>
      <c r="G624" s="64"/>
      <c r="H624" s="66"/>
      <c r="I624" s="66"/>
      <c r="J624" s="64"/>
      <c r="K624" s="64"/>
      <c r="L624" s="64"/>
      <c r="M624" s="67" t="str">
        <f aca="false">IF(A624="","",IF(AND(B624&gt;=WeekStart,B624&lt;=WeekEnd),"Yes","No"))</f>
        <v/>
      </c>
      <c r="N624" s="67" t="str">
        <f aca="false">IF(A624="","",IF(L624&lt;&gt;"Verified","Not verified",IF(COUNTIFS(in_CGID,C624,in_ClientID,E624,in_Svc,G624)&gt;0,"Yes","Not entered")))</f>
        <v/>
      </c>
    </row>
    <row r="625" customFormat="false" ht="15" hidden="false" customHeight="false" outlineLevel="0" collapsed="false">
      <c r="A625" s="64"/>
      <c r="B625" s="65"/>
      <c r="C625" s="64"/>
      <c r="D625" s="64"/>
      <c r="E625" s="64"/>
      <c r="F625" s="64"/>
      <c r="G625" s="64"/>
      <c r="H625" s="66"/>
      <c r="I625" s="66"/>
      <c r="J625" s="64"/>
      <c r="K625" s="64"/>
      <c r="L625" s="64"/>
      <c r="M625" s="67" t="str">
        <f aca="false">IF(A625="","",IF(AND(B625&gt;=WeekStart,B625&lt;=WeekEnd),"Yes","No"))</f>
        <v/>
      </c>
      <c r="N625" s="67" t="str">
        <f aca="false">IF(A625="","",IF(L625&lt;&gt;"Verified","Not verified",IF(COUNTIFS(in_CGID,C625,in_ClientID,E625,in_Svc,G625)&gt;0,"Yes","Not entered")))</f>
        <v/>
      </c>
    </row>
    <row r="626" customFormat="false" ht="15" hidden="false" customHeight="false" outlineLevel="0" collapsed="false">
      <c r="A626" s="64"/>
      <c r="B626" s="65"/>
      <c r="C626" s="64"/>
      <c r="D626" s="64"/>
      <c r="E626" s="64"/>
      <c r="F626" s="64"/>
      <c r="G626" s="64"/>
      <c r="H626" s="66"/>
      <c r="I626" s="66"/>
      <c r="J626" s="64"/>
      <c r="K626" s="64"/>
      <c r="L626" s="64"/>
      <c r="M626" s="67" t="str">
        <f aca="false">IF(A626="","",IF(AND(B626&gt;=WeekStart,B626&lt;=WeekEnd),"Yes","No"))</f>
        <v/>
      </c>
      <c r="N626" s="67" t="str">
        <f aca="false">IF(A626="","",IF(L626&lt;&gt;"Verified","Not verified",IF(COUNTIFS(in_CGID,C626,in_ClientID,E626,in_Svc,G626)&gt;0,"Yes","Not entered")))</f>
        <v/>
      </c>
    </row>
    <row r="627" customFormat="false" ht="15" hidden="false" customHeight="false" outlineLevel="0" collapsed="false">
      <c r="A627" s="64"/>
      <c r="B627" s="65"/>
      <c r="C627" s="64"/>
      <c r="D627" s="64"/>
      <c r="E627" s="64"/>
      <c r="F627" s="64"/>
      <c r="G627" s="64"/>
      <c r="H627" s="66"/>
      <c r="I627" s="66"/>
      <c r="J627" s="64"/>
      <c r="K627" s="64"/>
      <c r="L627" s="64"/>
      <c r="M627" s="67" t="str">
        <f aca="false">IF(A627="","",IF(AND(B627&gt;=WeekStart,B627&lt;=WeekEnd),"Yes","No"))</f>
        <v/>
      </c>
      <c r="N627" s="67" t="str">
        <f aca="false">IF(A627="","",IF(L627&lt;&gt;"Verified","Not verified",IF(COUNTIFS(in_CGID,C627,in_ClientID,E627,in_Svc,G627)&gt;0,"Yes","Not entered")))</f>
        <v/>
      </c>
    </row>
    <row r="628" customFormat="false" ht="15" hidden="false" customHeight="false" outlineLevel="0" collapsed="false">
      <c r="A628" s="64"/>
      <c r="B628" s="65"/>
      <c r="C628" s="64"/>
      <c r="D628" s="64"/>
      <c r="E628" s="64"/>
      <c r="F628" s="64"/>
      <c r="G628" s="64"/>
      <c r="H628" s="66"/>
      <c r="I628" s="66"/>
      <c r="J628" s="64"/>
      <c r="K628" s="64"/>
      <c r="L628" s="64"/>
      <c r="M628" s="67" t="str">
        <f aca="false">IF(A628="","",IF(AND(B628&gt;=WeekStart,B628&lt;=WeekEnd),"Yes","No"))</f>
        <v/>
      </c>
      <c r="N628" s="67" t="str">
        <f aca="false">IF(A628="","",IF(L628&lt;&gt;"Verified","Not verified",IF(COUNTIFS(in_CGID,C628,in_ClientID,E628,in_Svc,G628)&gt;0,"Yes","Not entered")))</f>
        <v/>
      </c>
    </row>
    <row r="629" customFormat="false" ht="15" hidden="false" customHeight="false" outlineLevel="0" collapsed="false">
      <c r="A629" s="64"/>
      <c r="B629" s="65"/>
      <c r="C629" s="64"/>
      <c r="D629" s="64"/>
      <c r="E629" s="64"/>
      <c r="F629" s="64"/>
      <c r="G629" s="64"/>
      <c r="H629" s="66"/>
      <c r="I629" s="66"/>
      <c r="J629" s="64"/>
      <c r="K629" s="64"/>
      <c r="L629" s="64"/>
      <c r="M629" s="67" t="str">
        <f aca="false">IF(A629="","",IF(AND(B629&gt;=WeekStart,B629&lt;=WeekEnd),"Yes","No"))</f>
        <v/>
      </c>
      <c r="N629" s="67" t="str">
        <f aca="false">IF(A629="","",IF(L629&lt;&gt;"Verified","Not verified",IF(COUNTIFS(in_CGID,C629,in_ClientID,E629,in_Svc,G629)&gt;0,"Yes","Not entered")))</f>
        <v/>
      </c>
    </row>
    <row r="630" customFormat="false" ht="15" hidden="false" customHeight="false" outlineLevel="0" collapsed="false">
      <c r="A630" s="64"/>
      <c r="B630" s="65"/>
      <c r="C630" s="64"/>
      <c r="D630" s="64"/>
      <c r="E630" s="64"/>
      <c r="F630" s="64"/>
      <c r="G630" s="64"/>
      <c r="H630" s="66"/>
      <c r="I630" s="66"/>
      <c r="J630" s="64"/>
      <c r="K630" s="64"/>
      <c r="L630" s="64"/>
      <c r="M630" s="67" t="str">
        <f aca="false">IF(A630="","",IF(AND(B630&gt;=WeekStart,B630&lt;=WeekEnd),"Yes","No"))</f>
        <v/>
      </c>
      <c r="N630" s="67" t="str">
        <f aca="false">IF(A630="","",IF(L630&lt;&gt;"Verified","Not verified",IF(COUNTIFS(in_CGID,C630,in_ClientID,E630,in_Svc,G630)&gt;0,"Yes","Not entered")))</f>
        <v/>
      </c>
    </row>
    <row r="631" customFormat="false" ht="15" hidden="false" customHeight="false" outlineLevel="0" collapsed="false">
      <c r="A631" s="64"/>
      <c r="B631" s="65"/>
      <c r="C631" s="64"/>
      <c r="D631" s="64"/>
      <c r="E631" s="64"/>
      <c r="F631" s="64"/>
      <c r="G631" s="64"/>
      <c r="H631" s="66"/>
      <c r="I631" s="66"/>
      <c r="J631" s="64"/>
      <c r="K631" s="64"/>
      <c r="L631" s="64"/>
      <c r="M631" s="67" t="str">
        <f aca="false">IF(A631="","",IF(AND(B631&gt;=WeekStart,B631&lt;=WeekEnd),"Yes","No"))</f>
        <v/>
      </c>
      <c r="N631" s="67" t="str">
        <f aca="false">IF(A631="","",IF(L631&lt;&gt;"Verified","Not verified",IF(COUNTIFS(in_CGID,C631,in_ClientID,E631,in_Svc,G631)&gt;0,"Yes","Not entered")))</f>
        <v/>
      </c>
    </row>
    <row r="632" customFormat="false" ht="15" hidden="false" customHeight="false" outlineLevel="0" collapsed="false">
      <c r="A632" s="64"/>
      <c r="B632" s="65"/>
      <c r="C632" s="64"/>
      <c r="D632" s="64"/>
      <c r="E632" s="64"/>
      <c r="F632" s="64"/>
      <c r="G632" s="64"/>
      <c r="H632" s="66"/>
      <c r="I632" s="66"/>
      <c r="J632" s="64"/>
      <c r="K632" s="64"/>
      <c r="L632" s="64"/>
      <c r="M632" s="67" t="str">
        <f aca="false">IF(A632="","",IF(AND(B632&gt;=WeekStart,B632&lt;=WeekEnd),"Yes","No"))</f>
        <v/>
      </c>
      <c r="N632" s="67" t="str">
        <f aca="false">IF(A632="","",IF(L632&lt;&gt;"Verified","Not verified",IF(COUNTIFS(in_CGID,C632,in_ClientID,E632,in_Svc,G632)&gt;0,"Yes","Not entered")))</f>
        <v/>
      </c>
    </row>
    <row r="633" customFormat="false" ht="15" hidden="false" customHeight="false" outlineLevel="0" collapsed="false">
      <c r="A633" s="64"/>
      <c r="B633" s="65"/>
      <c r="C633" s="64"/>
      <c r="D633" s="64"/>
      <c r="E633" s="64"/>
      <c r="F633" s="64"/>
      <c r="G633" s="64"/>
      <c r="H633" s="66"/>
      <c r="I633" s="66"/>
      <c r="J633" s="64"/>
      <c r="K633" s="64"/>
      <c r="L633" s="64"/>
      <c r="M633" s="67" t="str">
        <f aca="false">IF(A633="","",IF(AND(B633&gt;=WeekStart,B633&lt;=WeekEnd),"Yes","No"))</f>
        <v/>
      </c>
      <c r="N633" s="67" t="str">
        <f aca="false">IF(A633="","",IF(L633&lt;&gt;"Verified","Not verified",IF(COUNTIFS(in_CGID,C633,in_ClientID,E633,in_Svc,G633)&gt;0,"Yes","Not entered")))</f>
        <v/>
      </c>
    </row>
    <row r="634" customFormat="false" ht="15" hidden="false" customHeight="false" outlineLevel="0" collapsed="false">
      <c r="A634" s="64"/>
      <c r="B634" s="65"/>
      <c r="C634" s="64"/>
      <c r="D634" s="64"/>
      <c r="E634" s="64"/>
      <c r="F634" s="64"/>
      <c r="G634" s="64"/>
      <c r="H634" s="66"/>
      <c r="I634" s="66"/>
      <c r="J634" s="64"/>
      <c r="K634" s="64"/>
      <c r="L634" s="64"/>
      <c r="M634" s="67" t="str">
        <f aca="false">IF(A634="","",IF(AND(B634&gt;=WeekStart,B634&lt;=WeekEnd),"Yes","No"))</f>
        <v/>
      </c>
      <c r="N634" s="67" t="str">
        <f aca="false">IF(A634="","",IF(L634&lt;&gt;"Verified","Not verified",IF(COUNTIFS(in_CGID,C634,in_ClientID,E634,in_Svc,G634)&gt;0,"Yes","Not entered")))</f>
        <v/>
      </c>
    </row>
    <row r="635" customFormat="false" ht="15" hidden="false" customHeight="false" outlineLevel="0" collapsed="false">
      <c r="A635" s="64"/>
      <c r="B635" s="65"/>
      <c r="C635" s="64"/>
      <c r="D635" s="64"/>
      <c r="E635" s="64"/>
      <c r="F635" s="64"/>
      <c r="G635" s="64"/>
      <c r="H635" s="66"/>
      <c r="I635" s="66"/>
      <c r="J635" s="64"/>
      <c r="K635" s="64"/>
      <c r="L635" s="64"/>
      <c r="M635" s="67" t="str">
        <f aca="false">IF(A635="","",IF(AND(B635&gt;=WeekStart,B635&lt;=WeekEnd),"Yes","No"))</f>
        <v/>
      </c>
      <c r="N635" s="67" t="str">
        <f aca="false">IF(A635="","",IF(L635&lt;&gt;"Verified","Not verified",IF(COUNTIFS(in_CGID,C635,in_ClientID,E635,in_Svc,G635)&gt;0,"Yes","Not entered")))</f>
        <v/>
      </c>
    </row>
    <row r="636" customFormat="false" ht="15" hidden="false" customHeight="false" outlineLevel="0" collapsed="false">
      <c r="A636" s="64"/>
      <c r="B636" s="65"/>
      <c r="C636" s="64"/>
      <c r="D636" s="64"/>
      <c r="E636" s="64"/>
      <c r="F636" s="64"/>
      <c r="G636" s="64"/>
      <c r="H636" s="66"/>
      <c r="I636" s="66"/>
      <c r="J636" s="64"/>
      <c r="K636" s="64"/>
      <c r="L636" s="64"/>
      <c r="M636" s="67" t="str">
        <f aca="false">IF(A636="","",IF(AND(B636&gt;=WeekStart,B636&lt;=WeekEnd),"Yes","No"))</f>
        <v/>
      </c>
      <c r="N636" s="67" t="str">
        <f aca="false">IF(A636="","",IF(L636&lt;&gt;"Verified","Not verified",IF(COUNTIFS(in_CGID,C636,in_ClientID,E636,in_Svc,G636)&gt;0,"Yes","Not entered")))</f>
        <v/>
      </c>
    </row>
    <row r="637" customFormat="false" ht="15" hidden="false" customHeight="false" outlineLevel="0" collapsed="false">
      <c r="A637" s="64"/>
      <c r="B637" s="65"/>
      <c r="C637" s="64"/>
      <c r="D637" s="64"/>
      <c r="E637" s="64"/>
      <c r="F637" s="64"/>
      <c r="G637" s="64"/>
      <c r="H637" s="66"/>
      <c r="I637" s="66"/>
      <c r="J637" s="64"/>
      <c r="K637" s="64"/>
      <c r="L637" s="64"/>
      <c r="M637" s="67" t="str">
        <f aca="false">IF(A637="","",IF(AND(B637&gt;=WeekStart,B637&lt;=WeekEnd),"Yes","No"))</f>
        <v/>
      </c>
      <c r="N637" s="67" t="str">
        <f aca="false">IF(A637="","",IF(L637&lt;&gt;"Verified","Not verified",IF(COUNTIFS(in_CGID,C637,in_ClientID,E637,in_Svc,G637)&gt;0,"Yes","Not entered")))</f>
        <v/>
      </c>
    </row>
    <row r="638" customFormat="false" ht="15" hidden="false" customHeight="false" outlineLevel="0" collapsed="false">
      <c r="A638" s="64"/>
      <c r="B638" s="65"/>
      <c r="C638" s="64"/>
      <c r="D638" s="64"/>
      <c r="E638" s="64"/>
      <c r="F638" s="64"/>
      <c r="G638" s="64"/>
      <c r="H638" s="66"/>
      <c r="I638" s="66"/>
      <c r="J638" s="64"/>
      <c r="K638" s="64"/>
      <c r="L638" s="64"/>
      <c r="M638" s="67" t="str">
        <f aca="false">IF(A638="","",IF(AND(B638&gt;=WeekStart,B638&lt;=WeekEnd),"Yes","No"))</f>
        <v/>
      </c>
      <c r="N638" s="67" t="str">
        <f aca="false">IF(A638="","",IF(L638&lt;&gt;"Verified","Not verified",IF(COUNTIFS(in_CGID,C638,in_ClientID,E638,in_Svc,G638)&gt;0,"Yes","Not entered")))</f>
        <v/>
      </c>
    </row>
    <row r="639" customFormat="false" ht="15" hidden="false" customHeight="false" outlineLevel="0" collapsed="false">
      <c r="A639" s="64"/>
      <c r="B639" s="65"/>
      <c r="C639" s="64"/>
      <c r="D639" s="64"/>
      <c r="E639" s="64"/>
      <c r="F639" s="64"/>
      <c r="G639" s="64"/>
      <c r="H639" s="66"/>
      <c r="I639" s="66"/>
      <c r="J639" s="64"/>
      <c r="K639" s="64"/>
      <c r="L639" s="64"/>
      <c r="M639" s="67" t="str">
        <f aca="false">IF(A639="","",IF(AND(B639&gt;=WeekStart,B639&lt;=WeekEnd),"Yes","No"))</f>
        <v/>
      </c>
      <c r="N639" s="67" t="str">
        <f aca="false">IF(A639="","",IF(L639&lt;&gt;"Verified","Not verified",IF(COUNTIFS(in_CGID,C639,in_ClientID,E639,in_Svc,G639)&gt;0,"Yes","Not entered")))</f>
        <v/>
      </c>
    </row>
    <row r="640" customFormat="false" ht="15" hidden="false" customHeight="false" outlineLevel="0" collapsed="false">
      <c r="A640" s="64"/>
      <c r="B640" s="65"/>
      <c r="C640" s="64"/>
      <c r="D640" s="64"/>
      <c r="E640" s="64"/>
      <c r="F640" s="64"/>
      <c r="G640" s="64"/>
      <c r="H640" s="66"/>
      <c r="I640" s="66"/>
      <c r="J640" s="64"/>
      <c r="K640" s="64"/>
      <c r="L640" s="64"/>
      <c r="M640" s="67" t="str">
        <f aca="false">IF(A640="","",IF(AND(B640&gt;=WeekStart,B640&lt;=WeekEnd),"Yes","No"))</f>
        <v/>
      </c>
      <c r="N640" s="67" t="str">
        <f aca="false">IF(A640="","",IF(L640&lt;&gt;"Verified","Not verified",IF(COUNTIFS(in_CGID,C640,in_ClientID,E640,in_Svc,G640)&gt;0,"Yes","Not entered")))</f>
        <v/>
      </c>
    </row>
    <row r="641" customFormat="false" ht="15" hidden="false" customHeight="false" outlineLevel="0" collapsed="false">
      <c r="A641" s="64"/>
      <c r="B641" s="65"/>
      <c r="C641" s="64"/>
      <c r="D641" s="64"/>
      <c r="E641" s="64"/>
      <c r="F641" s="64"/>
      <c r="G641" s="64"/>
      <c r="H641" s="66"/>
      <c r="I641" s="66"/>
      <c r="J641" s="64"/>
      <c r="K641" s="64"/>
      <c r="L641" s="64"/>
      <c r="M641" s="67" t="str">
        <f aca="false">IF(A641="","",IF(AND(B641&gt;=WeekStart,B641&lt;=WeekEnd),"Yes","No"))</f>
        <v/>
      </c>
      <c r="N641" s="67" t="str">
        <f aca="false">IF(A641="","",IF(L641&lt;&gt;"Verified","Not verified",IF(COUNTIFS(in_CGID,C641,in_ClientID,E641,in_Svc,G641)&gt;0,"Yes","Not entered")))</f>
        <v/>
      </c>
    </row>
    <row r="642" customFormat="false" ht="15" hidden="false" customHeight="false" outlineLevel="0" collapsed="false">
      <c r="A642" s="64"/>
      <c r="B642" s="65"/>
      <c r="C642" s="64"/>
      <c r="D642" s="64"/>
      <c r="E642" s="64"/>
      <c r="F642" s="64"/>
      <c r="G642" s="64"/>
      <c r="H642" s="66"/>
      <c r="I642" s="66"/>
      <c r="J642" s="64"/>
      <c r="K642" s="64"/>
      <c r="L642" s="64"/>
      <c r="M642" s="67" t="str">
        <f aca="false">IF(A642="","",IF(AND(B642&gt;=WeekStart,B642&lt;=WeekEnd),"Yes","No"))</f>
        <v/>
      </c>
      <c r="N642" s="67" t="str">
        <f aca="false">IF(A642="","",IF(L642&lt;&gt;"Verified","Not verified",IF(COUNTIFS(in_CGID,C642,in_ClientID,E642,in_Svc,G642)&gt;0,"Yes","Not entered")))</f>
        <v/>
      </c>
    </row>
    <row r="643" customFormat="false" ht="15" hidden="false" customHeight="false" outlineLevel="0" collapsed="false">
      <c r="A643" s="64"/>
      <c r="B643" s="65"/>
      <c r="C643" s="64"/>
      <c r="D643" s="64"/>
      <c r="E643" s="64"/>
      <c r="F643" s="64"/>
      <c r="G643" s="64"/>
      <c r="H643" s="66"/>
      <c r="I643" s="66"/>
      <c r="J643" s="64"/>
      <c r="K643" s="64"/>
      <c r="L643" s="64"/>
      <c r="M643" s="67" t="str">
        <f aca="false">IF(A643="","",IF(AND(B643&gt;=WeekStart,B643&lt;=WeekEnd),"Yes","No"))</f>
        <v/>
      </c>
      <c r="N643" s="67" t="str">
        <f aca="false">IF(A643="","",IF(L643&lt;&gt;"Verified","Not verified",IF(COUNTIFS(in_CGID,C643,in_ClientID,E643,in_Svc,G643)&gt;0,"Yes","Not entered")))</f>
        <v/>
      </c>
    </row>
    <row r="644" customFormat="false" ht="15" hidden="false" customHeight="false" outlineLevel="0" collapsed="false">
      <c r="A644" s="64"/>
      <c r="B644" s="65"/>
      <c r="C644" s="64"/>
      <c r="D644" s="64"/>
      <c r="E644" s="64"/>
      <c r="F644" s="64"/>
      <c r="G644" s="64"/>
      <c r="H644" s="66"/>
      <c r="I644" s="66"/>
      <c r="J644" s="64"/>
      <c r="K644" s="64"/>
      <c r="L644" s="64"/>
      <c r="M644" s="67" t="str">
        <f aca="false">IF(A644="","",IF(AND(B644&gt;=WeekStart,B644&lt;=WeekEnd),"Yes","No"))</f>
        <v/>
      </c>
      <c r="N644" s="67" t="str">
        <f aca="false">IF(A644="","",IF(L644&lt;&gt;"Verified","Not verified",IF(COUNTIFS(in_CGID,C644,in_ClientID,E644,in_Svc,G644)&gt;0,"Yes","Not entered")))</f>
        <v/>
      </c>
    </row>
    <row r="645" customFormat="false" ht="15" hidden="false" customHeight="false" outlineLevel="0" collapsed="false">
      <c r="A645" s="64"/>
      <c r="B645" s="65"/>
      <c r="C645" s="64"/>
      <c r="D645" s="64"/>
      <c r="E645" s="64"/>
      <c r="F645" s="64"/>
      <c r="G645" s="64"/>
      <c r="H645" s="66"/>
      <c r="I645" s="66"/>
      <c r="J645" s="64"/>
      <c r="K645" s="64"/>
      <c r="L645" s="64"/>
      <c r="M645" s="67" t="str">
        <f aca="false">IF(A645="","",IF(AND(B645&gt;=WeekStart,B645&lt;=WeekEnd),"Yes","No"))</f>
        <v/>
      </c>
      <c r="N645" s="67" t="str">
        <f aca="false">IF(A645="","",IF(L645&lt;&gt;"Verified","Not verified",IF(COUNTIFS(in_CGID,C645,in_ClientID,E645,in_Svc,G645)&gt;0,"Yes","Not entered")))</f>
        <v/>
      </c>
    </row>
    <row r="646" customFormat="false" ht="15" hidden="false" customHeight="false" outlineLevel="0" collapsed="false">
      <c r="A646" s="64"/>
      <c r="B646" s="65"/>
      <c r="C646" s="64"/>
      <c r="D646" s="64"/>
      <c r="E646" s="64"/>
      <c r="F646" s="64"/>
      <c r="G646" s="64"/>
      <c r="H646" s="66"/>
      <c r="I646" s="66"/>
      <c r="J646" s="64"/>
      <c r="K646" s="64"/>
      <c r="L646" s="64"/>
      <c r="M646" s="67" t="str">
        <f aca="false">IF(A646="","",IF(AND(B646&gt;=WeekStart,B646&lt;=WeekEnd),"Yes","No"))</f>
        <v/>
      </c>
      <c r="N646" s="67" t="str">
        <f aca="false">IF(A646="","",IF(L646&lt;&gt;"Verified","Not verified",IF(COUNTIFS(in_CGID,C646,in_ClientID,E646,in_Svc,G646)&gt;0,"Yes","Not entered")))</f>
        <v/>
      </c>
    </row>
    <row r="647" customFormat="false" ht="15" hidden="false" customHeight="false" outlineLevel="0" collapsed="false">
      <c r="A647" s="64"/>
      <c r="B647" s="65"/>
      <c r="C647" s="64"/>
      <c r="D647" s="64"/>
      <c r="E647" s="64"/>
      <c r="F647" s="64"/>
      <c r="G647" s="64"/>
      <c r="H647" s="66"/>
      <c r="I647" s="66"/>
      <c r="J647" s="64"/>
      <c r="K647" s="64"/>
      <c r="L647" s="64"/>
      <c r="M647" s="67" t="str">
        <f aca="false">IF(A647="","",IF(AND(B647&gt;=WeekStart,B647&lt;=WeekEnd),"Yes","No"))</f>
        <v/>
      </c>
      <c r="N647" s="67" t="str">
        <f aca="false">IF(A647="","",IF(L647&lt;&gt;"Verified","Not verified",IF(COUNTIFS(in_CGID,C647,in_ClientID,E647,in_Svc,G647)&gt;0,"Yes","Not entered")))</f>
        <v/>
      </c>
    </row>
    <row r="648" customFormat="false" ht="15" hidden="false" customHeight="false" outlineLevel="0" collapsed="false">
      <c r="A648" s="64"/>
      <c r="B648" s="65"/>
      <c r="C648" s="64"/>
      <c r="D648" s="64"/>
      <c r="E648" s="64"/>
      <c r="F648" s="64"/>
      <c r="G648" s="64"/>
      <c r="H648" s="66"/>
      <c r="I648" s="66"/>
      <c r="J648" s="64"/>
      <c r="K648" s="64"/>
      <c r="L648" s="64"/>
      <c r="M648" s="67" t="str">
        <f aca="false">IF(A648="","",IF(AND(B648&gt;=WeekStart,B648&lt;=WeekEnd),"Yes","No"))</f>
        <v/>
      </c>
      <c r="N648" s="67" t="str">
        <f aca="false">IF(A648="","",IF(L648&lt;&gt;"Verified","Not verified",IF(COUNTIFS(in_CGID,C648,in_ClientID,E648,in_Svc,G648)&gt;0,"Yes","Not entered")))</f>
        <v/>
      </c>
    </row>
    <row r="649" customFormat="false" ht="15" hidden="false" customHeight="false" outlineLevel="0" collapsed="false">
      <c r="A649" s="64"/>
      <c r="B649" s="65"/>
      <c r="C649" s="64"/>
      <c r="D649" s="64"/>
      <c r="E649" s="64"/>
      <c r="F649" s="64"/>
      <c r="G649" s="64"/>
      <c r="H649" s="66"/>
      <c r="I649" s="66"/>
      <c r="J649" s="64"/>
      <c r="K649" s="64"/>
      <c r="L649" s="64"/>
      <c r="M649" s="67" t="str">
        <f aca="false">IF(A649="","",IF(AND(B649&gt;=WeekStart,B649&lt;=WeekEnd),"Yes","No"))</f>
        <v/>
      </c>
      <c r="N649" s="67" t="str">
        <f aca="false">IF(A649="","",IF(L649&lt;&gt;"Verified","Not verified",IF(COUNTIFS(in_CGID,C649,in_ClientID,E649,in_Svc,G649)&gt;0,"Yes","Not entered")))</f>
        <v/>
      </c>
    </row>
    <row r="650" customFormat="false" ht="15" hidden="false" customHeight="false" outlineLevel="0" collapsed="false">
      <c r="A650" s="64"/>
      <c r="B650" s="65"/>
      <c r="C650" s="64"/>
      <c r="D650" s="64"/>
      <c r="E650" s="64"/>
      <c r="F650" s="64"/>
      <c r="G650" s="64"/>
      <c r="H650" s="66"/>
      <c r="I650" s="66"/>
      <c r="J650" s="64"/>
      <c r="K650" s="64"/>
      <c r="L650" s="64"/>
      <c r="M650" s="67" t="str">
        <f aca="false">IF(A650="","",IF(AND(B650&gt;=WeekStart,B650&lt;=WeekEnd),"Yes","No"))</f>
        <v/>
      </c>
      <c r="N650" s="67" t="str">
        <f aca="false">IF(A650="","",IF(L650&lt;&gt;"Verified","Not verified",IF(COUNTIFS(in_CGID,C650,in_ClientID,E650,in_Svc,G650)&gt;0,"Yes","Not entered")))</f>
        <v/>
      </c>
    </row>
    <row r="651" customFormat="false" ht="15" hidden="false" customHeight="false" outlineLevel="0" collapsed="false">
      <c r="A651" s="64"/>
      <c r="B651" s="65"/>
      <c r="C651" s="64"/>
      <c r="D651" s="64"/>
      <c r="E651" s="64"/>
      <c r="F651" s="64"/>
      <c r="G651" s="64"/>
      <c r="H651" s="66"/>
      <c r="I651" s="66"/>
      <c r="J651" s="64"/>
      <c r="K651" s="64"/>
      <c r="L651" s="64"/>
      <c r="M651" s="67" t="str">
        <f aca="false">IF(A651="","",IF(AND(B651&gt;=WeekStart,B651&lt;=WeekEnd),"Yes","No"))</f>
        <v/>
      </c>
      <c r="N651" s="67" t="str">
        <f aca="false">IF(A651="","",IF(L651&lt;&gt;"Verified","Not verified",IF(COUNTIFS(in_CGID,C651,in_ClientID,E651,in_Svc,G651)&gt;0,"Yes","Not entered")))</f>
        <v/>
      </c>
    </row>
    <row r="652" customFormat="false" ht="15" hidden="false" customHeight="false" outlineLevel="0" collapsed="false">
      <c r="A652" s="64"/>
      <c r="B652" s="65"/>
      <c r="C652" s="64"/>
      <c r="D652" s="64"/>
      <c r="E652" s="64"/>
      <c r="F652" s="64"/>
      <c r="G652" s="64"/>
      <c r="H652" s="66"/>
      <c r="I652" s="66"/>
      <c r="J652" s="64"/>
      <c r="K652" s="64"/>
      <c r="L652" s="64"/>
      <c r="M652" s="67" t="str">
        <f aca="false">IF(A652="","",IF(AND(B652&gt;=WeekStart,B652&lt;=WeekEnd),"Yes","No"))</f>
        <v/>
      </c>
      <c r="N652" s="67" t="str">
        <f aca="false">IF(A652="","",IF(L652&lt;&gt;"Verified","Not verified",IF(COUNTIFS(in_CGID,C652,in_ClientID,E652,in_Svc,G652)&gt;0,"Yes","Not entered")))</f>
        <v/>
      </c>
    </row>
    <row r="653" customFormat="false" ht="15" hidden="false" customHeight="false" outlineLevel="0" collapsed="false">
      <c r="A653" s="64"/>
      <c r="B653" s="65"/>
      <c r="C653" s="64"/>
      <c r="D653" s="64"/>
      <c r="E653" s="64"/>
      <c r="F653" s="64"/>
      <c r="G653" s="64"/>
      <c r="H653" s="66"/>
      <c r="I653" s="66"/>
      <c r="J653" s="64"/>
      <c r="K653" s="64"/>
      <c r="L653" s="64"/>
      <c r="M653" s="67" t="str">
        <f aca="false">IF(A653="","",IF(AND(B653&gt;=WeekStart,B653&lt;=WeekEnd),"Yes","No"))</f>
        <v/>
      </c>
      <c r="N653" s="67" t="str">
        <f aca="false">IF(A653="","",IF(L653&lt;&gt;"Verified","Not verified",IF(COUNTIFS(in_CGID,C653,in_ClientID,E653,in_Svc,G653)&gt;0,"Yes","Not entered")))</f>
        <v/>
      </c>
    </row>
    <row r="654" customFormat="false" ht="15" hidden="false" customHeight="false" outlineLevel="0" collapsed="false">
      <c r="A654" s="64"/>
      <c r="B654" s="65"/>
      <c r="C654" s="64"/>
      <c r="D654" s="64"/>
      <c r="E654" s="64"/>
      <c r="F654" s="64"/>
      <c r="G654" s="64"/>
      <c r="H654" s="66"/>
      <c r="I654" s="66"/>
      <c r="J654" s="64"/>
      <c r="K654" s="64"/>
      <c r="L654" s="64"/>
      <c r="M654" s="67" t="str">
        <f aca="false">IF(A654="","",IF(AND(B654&gt;=WeekStart,B654&lt;=WeekEnd),"Yes","No"))</f>
        <v/>
      </c>
      <c r="N654" s="67" t="str">
        <f aca="false">IF(A654="","",IF(L654&lt;&gt;"Verified","Not verified",IF(COUNTIFS(in_CGID,C654,in_ClientID,E654,in_Svc,G654)&gt;0,"Yes","Not entered")))</f>
        <v/>
      </c>
    </row>
    <row r="655" customFormat="false" ht="15" hidden="false" customHeight="false" outlineLevel="0" collapsed="false">
      <c r="A655" s="64"/>
      <c r="B655" s="65"/>
      <c r="C655" s="64"/>
      <c r="D655" s="64"/>
      <c r="E655" s="64"/>
      <c r="F655" s="64"/>
      <c r="G655" s="64"/>
      <c r="H655" s="66"/>
      <c r="I655" s="66"/>
      <c r="J655" s="64"/>
      <c r="K655" s="64"/>
      <c r="L655" s="64"/>
      <c r="M655" s="67" t="str">
        <f aca="false">IF(A655="","",IF(AND(B655&gt;=WeekStart,B655&lt;=WeekEnd),"Yes","No"))</f>
        <v/>
      </c>
      <c r="N655" s="67" t="str">
        <f aca="false">IF(A655="","",IF(L655&lt;&gt;"Verified","Not verified",IF(COUNTIFS(in_CGID,C655,in_ClientID,E655,in_Svc,G655)&gt;0,"Yes","Not entered")))</f>
        <v/>
      </c>
    </row>
    <row r="656" customFormat="false" ht="15" hidden="false" customHeight="false" outlineLevel="0" collapsed="false">
      <c r="A656" s="64"/>
      <c r="B656" s="65"/>
      <c r="C656" s="64"/>
      <c r="D656" s="64"/>
      <c r="E656" s="64"/>
      <c r="F656" s="64"/>
      <c r="G656" s="64"/>
      <c r="H656" s="66"/>
      <c r="I656" s="66"/>
      <c r="J656" s="64"/>
      <c r="K656" s="64"/>
      <c r="L656" s="64"/>
      <c r="M656" s="67" t="str">
        <f aca="false">IF(A656="","",IF(AND(B656&gt;=WeekStart,B656&lt;=WeekEnd),"Yes","No"))</f>
        <v/>
      </c>
      <c r="N656" s="67" t="str">
        <f aca="false">IF(A656="","",IF(L656&lt;&gt;"Verified","Not verified",IF(COUNTIFS(in_CGID,C656,in_ClientID,E656,in_Svc,G656)&gt;0,"Yes","Not entered")))</f>
        <v/>
      </c>
    </row>
    <row r="657" customFormat="false" ht="15" hidden="false" customHeight="false" outlineLevel="0" collapsed="false">
      <c r="A657" s="64"/>
      <c r="B657" s="65"/>
      <c r="C657" s="64"/>
      <c r="D657" s="64"/>
      <c r="E657" s="64"/>
      <c r="F657" s="64"/>
      <c r="G657" s="64"/>
      <c r="H657" s="66"/>
      <c r="I657" s="66"/>
      <c r="J657" s="64"/>
      <c r="K657" s="64"/>
      <c r="L657" s="64"/>
      <c r="M657" s="67" t="str">
        <f aca="false">IF(A657="","",IF(AND(B657&gt;=WeekStart,B657&lt;=WeekEnd),"Yes","No"))</f>
        <v/>
      </c>
      <c r="N657" s="67" t="str">
        <f aca="false">IF(A657="","",IF(L657&lt;&gt;"Verified","Not verified",IF(COUNTIFS(in_CGID,C657,in_ClientID,E657,in_Svc,G657)&gt;0,"Yes","Not entered")))</f>
        <v/>
      </c>
    </row>
    <row r="658" customFormat="false" ht="15" hidden="false" customHeight="false" outlineLevel="0" collapsed="false">
      <c r="A658" s="64"/>
      <c r="B658" s="65"/>
      <c r="C658" s="64"/>
      <c r="D658" s="64"/>
      <c r="E658" s="64"/>
      <c r="F658" s="64"/>
      <c r="G658" s="64"/>
      <c r="H658" s="66"/>
      <c r="I658" s="66"/>
      <c r="J658" s="64"/>
      <c r="K658" s="64"/>
      <c r="L658" s="64"/>
      <c r="M658" s="67" t="str">
        <f aca="false">IF(A658="","",IF(AND(B658&gt;=WeekStart,B658&lt;=WeekEnd),"Yes","No"))</f>
        <v/>
      </c>
      <c r="N658" s="67" t="str">
        <f aca="false">IF(A658="","",IF(L658&lt;&gt;"Verified","Not verified",IF(COUNTIFS(in_CGID,C658,in_ClientID,E658,in_Svc,G658)&gt;0,"Yes","Not entered")))</f>
        <v/>
      </c>
    </row>
    <row r="659" customFormat="false" ht="15" hidden="false" customHeight="false" outlineLevel="0" collapsed="false">
      <c r="A659" s="64"/>
      <c r="B659" s="65"/>
      <c r="C659" s="64"/>
      <c r="D659" s="64"/>
      <c r="E659" s="64"/>
      <c r="F659" s="64"/>
      <c r="G659" s="64"/>
      <c r="H659" s="66"/>
      <c r="I659" s="66"/>
      <c r="J659" s="64"/>
      <c r="K659" s="64"/>
      <c r="L659" s="64"/>
      <c r="M659" s="67" t="str">
        <f aca="false">IF(A659="","",IF(AND(B659&gt;=WeekStart,B659&lt;=WeekEnd),"Yes","No"))</f>
        <v/>
      </c>
      <c r="N659" s="67" t="str">
        <f aca="false">IF(A659="","",IF(L659&lt;&gt;"Verified","Not verified",IF(COUNTIFS(in_CGID,C659,in_ClientID,E659,in_Svc,G659)&gt;0,"Yes","Not entered")))</f>
        <v/>
      </c>
    </row>
    <row r="660" customFormat="false" ht="15" hidden="false" customHeight="false" outlineLevel="0" collapsed="false">
      <c r="A660" s="64"/>
      <c r="B660" s="65"/>
      <c r="C660" s="64"/>
      <c r="D660" s="64"/>
      <c r="E660" s="64"/>
      <c r="F660" s="64"/>
      <c r="G660" s="64"/>
      <c r="H660" s="66"/>
      <c r="I660" s="66"/>
      <c r="J660" s="64"/>
      <c r="K660" s="64"/>
      <c r="L660" s="64"/>
      <c r="M660" s="67" t="str">
        <f aca="false">IF(A660="","",IF(AND(B660&gt;=WeekStart,B660&lt;=WeekEnd),"Yes","No"))</f>
        <v/>
      </c>
      <c r="N660" s="67" t="str">
        <f aca="false">IF(A660="","",IF(L660&lt;&gt;"Verified","Not verified",IF(COUNTIFS(in_CGID,C660,in_ClientID,E660,in_Svc,G660)&gt;0,"Yes","Not entered")))</f>
        <v/>
      </c>
    </row>
    <row r="661" customFormat="false" ht="15" hidden="false" customHeight="false" outlineLevel="0" collapsed="false">
      <c r="A661" s="64"/>
      <c r="B661" s="65"/>
      <c r="C661" s="64"/>
      <c r="D661" s="64"/>
      <c r="E661" s="64"/>
      <c r="F661" s="64"/>
      <c r="G661" s="64"/>
      <c r="H661" s="66"/>
      <c r="I661" s="66"/>
      <c r="J661" s="64"/>
      <c r="K661" s="64"/>
      <c r="L661" s="64"/>
      <c r="M661" s="67" t="str">
        <f aca="false">IF(A661="","",IF(AND(B661&gt;=WeekStart,B661&lt;=WeekEnd),"Yes","No"))</f>
        <v/>
      </c>
      <c r="N661" s="67" t="str">
        <f aca="false">IF(A661="","",IF(L661&lt;&gt;"Verified","Not verified",IF(COUNTIFS(in_CGID,C661,in_ClientID,E661,in_Svc,G661)&gt;0,"Yes","Not entered")))</f>
        <v/>
      </c>
    </row>
    <row r="662" customFormat="false" ht="15" hidden="false" customHeight="false" outlineLevel="0" collapsed="false">
      <c r="A662" s="64"/>
      <c r="B662" s="65"/>
      <c r="C662" s="64"/>
      <c r="D662" s="64"/>
      <c r="E662" s="64"/>
      <c r="F662" s="64"/>
      <c r="G662" s="64"/>
      <c r="H662" s="66"/>
      <c r="I662" s="66"/>
      <c r="J662" s="64"/>
      <c r="K662" s="64"/>
      <c r="L662" s="64"/>
      <c r="M662" s="67" t="str">
        <f aca="false">IF(A662="","",IF(AND(B662&gt;=WeekStart,B662&lt;=WeekEnd),"Yes","No"))</f>
        <v/>
      </c>
      <c r="N662" s="67" t="str">
        <f aca="false">IF(A662="","",IF(L662&lt;&gt;"Verified","Not verified",IF(COUNTIFS(in_CGID,C662,in_ClientID,E662,in_Svc,G662)&gt;0,"Yes","Not entered")))</f>
        <v/>
      </c>
    </row>
    <row r="663" customFormat="false" ht="15" hidden="false" customHeight="false" outlineLevel="0" collapsed="false">
      <c r="A663" s="64"/>
      <c r="B663" s="65"/>
      <c r="C663" s="64"/>
      <c r="D663" s="64"/>
      <c r="E663" s="64"/>
      <c r="F663" s="64"/>
      <c r="G663" s="64"/>
      <c r="H663" s="66"/>
      <c r="I663" s="66"/>
      <c r="J663" s="64"/>
      <c r="K663" s="64"/>
      <c r="L663" s="64"/>
      <c r="M663" s="67" t="str">
        <f aca="false">IF(A663="","",IF(AND(B663&gt;=WeekStart,B663&lt;=WeekEnd),"Yes","No"))</f>
        <v/>
      </c>
      <c r="N663" s="67" t="str">
        <f aca="false">IF(A663="","",IF(L663&lt;&gt;"Verified","Not verified",IF(COUNTIFS(in_CGID,C663,in_ClientID,E663,in_Svc,G663)&gt;0,"Yes","Not entered")))</f>
        <v/>
      </c>
    </row>
    <row r="664" customFormat="false" ht="15" hidden="false" customHeight="false" outlineLevel="0" collapsed="false">
      <c r="A664" s="64"/>
      <c r="B664" s="65"/>
      <c r="C664" s="64"/>
      <c r="D664" s="64"/>
      <c r="E664" s="64"/>
      <c r="F664" s="64"/>
      <c r="G664" s="64"/>
      <c r="H664" s="66"/>
      <c r="I664" s="66"/>
      <c r="J664" s="64"/>
      <c r="K664" s="64"/>
      <c r="L664" s="64"/>
      <c r="M664" s="67" t="str">
        <f aca="false">IF(A664="","",IF(AND(B664&gt;=WeekStart,B664&lt;=WeekEnd),"Yes","No"))</f>
        <v/>
      </c>
      <c r="N664" s="67" t="str">
        <f aca="false">IF(A664="","",IF(L664&lt;&gt;"Verified","Not verified",IF(COUNTIFS(in_CGID,C664,in_ClientID,E664,in_Svc,G664)&gt;0,"Yes","Not entered")))</f>
        <v/>
      </c>
    </row>
    <row r="665" customFormat="false" ht="15" hidden="false" customHeight="false" outlineLevel="0" collapsed="false">
      <c r="A665" s="64"/>
      <c r="B665" s="65"/>
      <c r="C665" s="64"/>
      <c r="D665" s="64"/>
      <c r="E665" s="64"/>
      <c r="F665" s="64"/>
      <c r="G665" s="64"/>
      <c r="H665" s="66"/>
      <c r="I665" s="66"/>
      <c r="J665" s="64"/>
      <c r="K665" s="64"/>
      <c r="L665" s="64"/>
      <c r="M665" s="67" t="str">
        <f aca="false">IF(A665="","",IF(AND(B665&gt;=WeekStart,B665&lt;=WeekEnd),"Yes","No"))</f>
        <v/>
      </c>
      <c r="N665" s="67" t="str">
        <f aca="false">IF(A665="","",IF(L665&lt;&gt;"Verified","Not verified",IF(COUNTIFS(in_CGID,C665,in_ClientID,E665,in_Svc,G665)&gt;0,"Yes","Not entered")))</f>
        <v/>
      </c>
    </row>
    <row r="666" customFormat="false" ht="15" hidden="false" customHeight="false" outlineLevel="0" collapsed="false">
      <c r="A666" s="64"/>
      <c r="B666" s="65"/>
      <c r="C666" s="64"/>
      <c r="D666" s="64"/>
      <c r="E666" s="64"/>
      <c r="F666" s="64"/>
      <c r="G666" s="64"/>
      <c r="H666" s="66"/>
      <c r="I666" s="66"/>
      <c r="J666" s="64"/>
      <c r="K666" s="64"/>
      <c r="L666" s="64"/>
      <c r="M666" s="67" t="str">
        <f aca="false">IF(A666="","",IF(AND(B666&gt;=WeekStart,B666&lt;=WeekEnd),"Yes","No"))</f>
        <v/>
      </c>
      <c r="N666" s="67" t="str">
        <f aca="false">IF(A666="","",IF(L666&lt;&gt;"Verified","Not verified",IF(COUNTIFS(in_CGID,C666,in_ClientID,E666,in_Svc,G666)&gt;0,"Yes","Not entered")))</f>
        <v/>
      </c>
    </row>
    <row r="667" customFormat="false" ht="15" hidden="false" customHeight="false" outlineLevel="0" collapsed="false">
      <c r="A667" s="64"/>
      <c r="B667" s="65"/>
      <c r="C667" s="64"/>
      <c r="D667" s="64"/>
      <c r="E667" s="64"/>
      <c r="F667" s="64"/>
      <c r="G667" s="64"/>
      <c r="H667" s="66"/>
      <c r="I667" s="66"/>
      <c r="J667" s="64"/>
      <c r="K667" s="64"/>
      <c r="L667" s="64"/>
      <c r="M667" s="67" t="str">
        <f aca="false">IF(A667="","",IF(AND(B667&gt;=WeekStart,B667&lt;=WeekEnd),"Yes","No"))</f>
        <v/>
      </c>
      <c r="N667" s="67" t="str">
        <f aca="false">IF(A667="","",IF(L667&lt;&gt;"Verified","Not verified",IF(COUNTIFS(in_CGID,C667,in_ClientID,E667,in_Svc,G667)&gt;0,"Yes","Not entered")))</f>
        <v/>
      </c>
    </row>
    <row r="668" customFormat="false" ht="15" hidden="false" customHeight="false" outlineLevel="0" collapsed="false">
      <c r="A668" s="64"/>
      <c r="B668" s="65"/>
      <c r="C668" s="64"/>
      <c r="D668" s="64"/>
      <c r="E668" s="64"/>
      <c r="F668" s="64"/>
      <c r="G668" s="64"/>
      <c r="H668" s="66"/>
      <c r="I668" s="66"/>
      <c r="J668" s="64"/>
      <c r="K668" s="64"/>
      <c r="L668" s="64"/>
      <c r="M668" s="67" t="str">
        <f aca="false">IF(A668="","",IF(AND(B668&gt;=WeekStart,B668&lt;=WeekEnd),"Yes","No"))</f>
        <v/>
      </c>
      <c r="N668" s="67" t="str">
        <f aca="false">IF(A668="","",IF(L668&lt;&gt;"Verified","Not verified",IF(COUNTIFS(in_CGID,C668,in_ClientID,E668,in_Svc,G668)&gt;0,"Yes","Not entered")))</f>
        <v/>
      </c>
    </row>
    <row r="669" customFormat="false" ht="15" hidden="false" customHeight="false" outlineLevel="0" collapsed="false">
      <c r="A669" s="64"/>
      <c r="B669" s="65"/>
      <c r="C669" s="64"/>
      <c r="D669" s="64"/>
      <c r="E669" s="64"/>
      <c r="F669" s="64"/>
      <c r="G669" s="64"/>
      <c r="H669" s="66"/>
      <c r="I669" s="66"/>
      <c r="J669" s="64"/>
      <c r="K669" s="64"/>
      <c r="L669" s="64"/>
      <c r="M669" s="67" t="str">
        <f aca="false">IF(A669="","",IF(AND(B669&gt;=WeekStart,B669&lt;=WeekEnd),"Yes","No"))</f>
        <v/>
      </c>
      <c r="N669" s="67" t="str">
        <f aca="false">IF(A669="","",IF(L669&lt;&gt;"Verified","Not verified",IF(COUNTIFS(in_CGID,C669,in_ClientID,E669,in_Svc,G669)&gt;0,"Yes","Not entered")))</f>
        <v/>
      </c>
    </row>
    <row r="670" customFormat="false" ht="15" hidden="false" customHeight="false" outlineLevel="0" collapsed="false">
      <c r="A670" s="64"/>
      <c r="B670" s="65"/>
      <c r="C670" s="64"/>
      <c r="D670" s="64"/>
      <c r="E670" s="64"/>
      <c r="F670" s="64"/>
      <c r="G670" s="64"/>
      <c r="H670" s="66"/>
      <c r="I670" s="66"/>
      <c r="J670" s="64"/>
      <c r="K670" s="64"/>
      <c r="L670" s="64"/>
      <c r="M670" s="67" t="str">
        <f aca="false">IF(A670="","",IF(AND(B670&gt;=WeekStart,B670&lt;=WeekEnd),"Yes","No"))</f>
        <v/>
      </c>
      <c r="N670" s="67" t="str">
        <f aca="false">IF(A670="","",IF(L670&lt;&gt;"Verified","Not verified",IF(COUNTIFS(in_CGID,C670,in_ClientID,E670,in_Svc,G670)&gt;0,"Yes","Not entered")))</f>
        <v/>
      </c>
    </row>
    <row r="671" customFormat="false" ht="15" hidden="false" customHeight="false" outlineLevel="0" collapsed="false">
      <c r="A671" s="64"/>
      <c r="B671" s="65"/>
      <c r="C671" s="64"/>
      <c r="D671" s="64"/>
      <c r="E671" s="64"/>
      <c r="F671" s="64"/>
      <c r="G671" s="64"/>
      <c r="H671" s="66"/>
      <c r="I671" s="66"/>
      <c r="J671" s="64"/>
      <c r="K671" s="64"/>
      <c r="L671" s="64"/>
      <c r="M671" s="67" t="str">
        <f aca="false">IF(A671="","",IF(AND(B671&gt;=WeekStart,B671&lt;=WeekEnd),"Yes","No"))</f>
        <v/>
      </c>
      <c r="N671" s="67" t="str">
        <f aca="false">IF(A671="","",IF(L671&lt;&gt;"Verified","Not verified",IF(COUNTIFS(in_CGID,C671,in_ClientID,E671,in_Svc,G671)&gt;0,"Yes","Not entered")))</f>
        <v/>
      </c>
    </row>
    <row r="672" customFormat="false" ht="15" hidden="false" customHeight="false" outlineLevel="0" collapsed="false">
      <c r="A672" s="64"/>
      <c r="B672" s="65"/>
      <c r="C672" s="64"/>
      <c r="D672" s="64"/>
      <c r="E672" s="64"/>
      <c r="F672" s="64"/>
      <c r="G672" s="64"/>
      <c r="H672" s="66"/>
      <c r="I672" s="66"/>
      <c r="J672" s="64"/>
      <c r="K672" s="64"/>
      <c r="L672" s="64"/>
      <c r="M672" s="67" t="str">
        <f aca="false">IF(A672="","",IF(AND(B672&gt;=WeekStart,B672&lt;=WeekEnd),"Yes","No"))</f>
        <v/>
      </c>
      <c r="N672" s="67" t="str">
        <f aca="false">IF(A672="","",IF(L672&lt;&gt;"Verified","Not verified",IF(COUNTIFS(in_CGID,C672,in_ClientID,E672,in_Svc,G672)&gt;0,"Yes","Not entered")))</f>
        <v/>
      </c>
    </row>
    <row r="673" customFormat="false" ht="15" hidden="false" customHeight="false" outlineLevel="0" collapsed="false">
      <c r="A673" s="64"/>
      <c r="B673" s="65"/>
      <c r="C673" s="64"/>
      <c r="D673" s="64"/>
      <c r="E673" s="64"/>
      <c r="F673" s="64"/>
      <c r="G673" s="64"/>
      <c r="H673" s="66"/>
      <c r="I673" s="66"/>
      <c r="J673" s="64"/>
      <c r="K673" s="64"/>
      <c r="L673" s="64"/>
      <c r="M673" s="67" t="str">
        <f aca="false">IF(A673="","",IF(AND(B673&gt;=WeekStart,B673&lt;=WeekEnd),"Yes","No"))</f>
        <v/>
      </c>
      <c r="N673" s="67" t="str">
        <f aca="false">IF(A673="","",IF(L673&lt;&gt;"Verified","Not verified",IF(COUNTIFS(in_CGID,C673,in_ClientID,E673,in_Svc,G673)&gt;0,"Yes","Not entered")))</f>
        <v/>
      </c>
    </row>
    <row r="674" customFormat="false" ht="15" hidden="false" customHeight="false" outlineLevel="0" collapsed="false">
      <c r="A674" s="64"/>
      <c r="B674" s="65"/>
      <c r="C674" s="64"/>
      <c r="D674" s="64"/>
      <c r="E674" s="64"/>
      <c r="F674" s="64"/>
      <c r="G674" s="64"/>
      <c r="H674" s="66"/>
      <c r="I674" s="66"/>
      <c r="J674" s="64"/>
      <c r="K674" s="64"/>
      <c r="L674" s="64"/>
      <c r="M674" s="67" t="str">
        <f aca="false">IF(A674="","",IF(AND(B674&gt;=WeekStart,B674&lt;=WeekEnd),"Yes","No"))</f>
        <v/>
      </c>
      <c r="N674" s="67" t="str">
        <f aca="false">IF(A674="","",IF(L674&lt;&gt;"Verified","Not verified",IF(COUNTIFS(in_CGID,C674,in_ClientID,E674,in_Svc,G674)&gt;0,"Yes","Not entered")))</f>
        <v/>
      </c>
    </row>
    <row r="675" customFormat="false" ht="15" hidden="false" customHeight="false" outlineLevel="0" collapsed="false">
      <c r="A675" s="64"/>
      <c r="B675" s="65"/>
      <c r="C675" s="64"/>
      <c r="D675" s="64"/>
      <c r="E675" s="64"/>
      <c r="F675" s="64"/>
      <c r="G675" s="64"/>
      <c r="H675" s="66"/>
      <c r="I675" s="66"/>
      <c r="J675" s="64"/>
      <c r="K675" s="64"/>
      <c r="L675" s="64"/>
      <c r="M675" s="67" t="str">
        <f aca="false">IF(A675="","",IF(AND(B675&gt;=WeekStart,B675&lt;=WeekEnd),"Yes","No"))</f>
        <v/>
      </c>
      <c r="N675" s="67" t="str">
        <f aca="false">IF(A675="","",IF(L675&lt;&gt;"Verified","Not verified",IF(COUNTIFS(in_CGID,C675,in_ClientID,E675,in_Svc,G675)&gt;0,"Yes","Not entered")))</f>
        <v/>
      </c>
    </row>
    <row r="676" customFormat="false" ht="15" hidden="false" customHeight="false" outlineLevel="0" collapsed="false">
      <c r="A676" s="64"/>
      <c r="B676" s="65"/>
      <c r="C676" s="64"/>
      <c r="D676" s="64"/>
      <c r="E676" s="64"/>
      <c r="F676" s="64"/>
      <c r="G676" s="64"/>
      <c r="H676" s="66"/>
      <c r="I676" s="66"/>
      <c r="J676" s="64"/>
      <c r="K676" s="64"/>
      <c r="L676" s="64"/>
      <c r="M676" s="67" t="str">
        <f aca="false">IF(A676="","",IF(AND(B676&gt;=WeekStart,B676&lt;=WeekEnd),"Yes","No"))</f>
        <v/>
      </c>
      <c r="N676" s="67" t="str">
        <f aca="false">IF(A676="","",IF(L676&lt;&gt;"Verified","Not verified",IF(COUNTIFS(in_CGID,C676,in_ClientID,E676,in_Svc,G676)&gt;0,"Yes","Not entered")))</f>
        <v/>
      </c>
    </row>
    <row r="677" customFormat="false" ht="15" hidden="false" customHeight="false" outlineLevel="0" collapsed="false">
      <c r="A677" s="64"/>
      <c r="B677" s="65"/>
      <c r="C677" s="64"/>
      <c r="D677" s="64"/>
      <c r="E677" s="64"/>
      <c r="F677" s="64"/>
      <c r="G677" s="64"/>
      <c r="H677" s="66"/>
      <c r="I677" s="66"/>
      <c r="J677" s="64"/>
      <c r="K677" s="64"/>
      <c r="L677" s="64"/>
      <c r="M677" s="67" t="str">
        <f aca="false">IF(A677="","",IF(AND(B677&gt;=WeekStart,B677&lt;=WeekEnd),"Yes","No"))</f>
        <v/>
      </c>
      <c r="N677" s="67" t="str">
        <f aca="false">IF(A677="","",IF(L677&lt;&gt;"Verified","Not verified",IF(COUNTIFS(in_CGID,C677,in_ClientID,E677,in_Svc,G677)&gt;0,"Yes","Not entered")))</f>
        <v/>
      </c>
    </row>
    <row r="678" customFormat="false" ht="15" hidden="false" customHeight="false" outlineLevel="0" collapsed="false">
      <c r="A678" s="64"/>
      <c r="B678" s="65"/>
      <c r="C678" s="64"/>
      <c r="D678" s="64"/>
      <c r="E678" s="64"/>
      <c r="F678" s="64"/>
      <c r="G678" s="64"/>
      <c r="H678" s="66"/>
      <c r="I678" s="66"/>
      <c r="J678" s="64"/>
      <c r="K678" s="64"/>
      <c r="L678" s="64"/>
      <c r="M678" s="67" t="str">
        <f aca="false">IF(A678="","",IF(AND(B678&gt;=WeekStart,B678&lt;=WeekEnd),"Yes","No"))</f>
        <v/>
      </c>
      <c r="N678" s="67" t="str">
        <f aca="false">IF(A678="","",IF(L678&lt;&gt;"Verified","Not verified",IF(COUNTIFS(in_CGID,C678,in_ClientID,E678,in_Svc,G678)&gt;0,"Yes","Not entered")))</f>
        <v/>
      </c>
    </row>
    <row r="679" customFormat="false" ht="15" hidden="false" customHeight="false" outlineLevel="0" collapsed="false">
      <c r="A679" s="64"/>
      <c r="B679" s="65"/>
      <c r="C679" s="64"/>
      <c r="D679" s="64"/>
      <c r="E679" s="64"/>
      <c r="F679" s="64"/>
      <c r="G679" s="64"/>
      <c r="H679" s="66"/>
      <c r="I679" s="66"/>
      <c r="J679" s="64"/>
      <c r="K679" s="64"/>
      <c r="L679" s="64"/>
      <c r="M679" s="67" t="str">
        <f aca="false">IF(A679="","",IF(AND(B679&gt;=WeekStart,B679&lt;=WeekEnd),"Yes","No"))</f>
        <v/>
      </c>
      <c r="N679" s="67" t="str">
        <f aca="false">IF(A679="","",IF(L679&lt;&gt;"Verified","Not verified",IF(COUNTIFS(in_CGID,C679,in_ClientID,E679,in_Svc,G679)&gt;0,"Yes","Not entered")))</f>
        <v/>
      </c>
    </row>
    <row r="680" customFormat="false" ht="15" hidden="false" customHeight="false" outlineLevel="0" collapsed="false">
      <c r="A680" s="64"/>
      <c r="B680" s="65"/>
      <c r="C680" s="64"/>
      <c r="D680" s="64"/>
      <c r="E680" s="64"/>
      <c r="F680" s="64"/>
      <c r="G680" s="64"/>
      <c r="H680" s="66"/>
      <c r="I680" s="66"/>
      <c r="J680" s="64"/>
      <c r="K680" s="64"/>
      <c r="L680" s="64"/>
      <c r="M680" s="67" t="str">
        <f aca="false">IF(A680="","",IF(AND(B680&gt;=WeekStart,B680&lt;=WeekEnd),"Yes","No"))</f>
        <v/>
      </c>
      <c r="N680" s="67" t="str">
        <f aca="false">IF(A680="","",IF(L680&lt;&gt;"Verified","Not verified",IF(COUNTIFS(in_CGID,C680,in_ClientID,E680,in_Svc,G680)&gt;0,"Yes","Not entered")))</f>
        <v/>
      </c>
    </row>
    <row r="681" customFormat="false" ht="15" hidden="false" customHeight="false" outlineLevel="0" collapsed="false">
      <c r="A681" s="64"/>
      <c r="B681" s="65"/>
      <c r="C681" s="64"/>
      <c r="D681" s="64"/>
      <c r="E681" s="64"/>
      <c r="F681" s="64"/>
      <c r="G681" s="64"/>
      <c r="H681" s="66"/>
      <c r="I681" s="66"/>
      <c r="J681" s="64"/>
      <c r="K681" s="64"/>
      <c r="L681" s="64"/>
      <c r="M681" s="67" t="str">
        <f aca="false">IF(A681="","",IF(AND(B681&gt;=WeekStart,B681&lt;=WeekEnd),"Yes","No"))</f>
        <v/>
      </c>
      <c r="N681" s="67" t="str">
        <f aca="false">IF(A681="","",IF(L681&lt;&gt;"Verified","Not verified",IF(COUNTIFS(in_CGID,C681,in_ClientID,E681,in_Svc,G681)&gt;0,"Yes","Not entered")))</f>
        <v/>
      </c>
    </row>
    <row r="682" customFormat="false" ht="15" hidden="false" customHeight="false" outlineLevel="0" collapsed="false">
      <c r="A682" s="64"/>
      <c r="B682" s="65"/>
      <c r="C682" s="64"/>
      <c r="D682" s="64"/>
      <c r="E682" s="64"/>
      <c r="F682" s="64"/>
      <c r="G682" s="64"/>
      <c r="H682" s="66"/>
      <c r="I682" s="66"/>
      <c r="J682" s="64"/>
      <c r="K682" s="64"/>
      <c r="L682" s="64"/>
      <c r="M682" s="67" t="str">
        <f aca="false">IF(A682="","",IF(AND(B682&gt;=WeekStart,B682&lt;=WeekEnd),"Yes","No"))</f>
        <v/>
      </c>
      <c r="N682" s="67" t="str">
        <f aca="false">IF(A682="","",IF(L682&lt;&gt;"Verified","Not verified",IF(COUNTIFS(in_CGID,C682,in_ClientID,E682,in_Svc,G682)&gt;0,"Yes","Not entered")))</f>
        <v/>
      </c>
    </row>
    <row r="683" customFormat="false" ht="15" hidden="false" customHeight="false" outlineLevel="0" collapsed="false">
      <c r="A683" s="64"/>
      <c r="B683" s="65"/>
      <c r="C683" s="64"/>
      <c r="D683" s="64"/>
      <c r="E683" s="64"/>
      <c r="F683" s="64"/>
      <c r="G683" s="64"/>
      <c r="H683" s="66"/>
      <c r="I683" s="66"/>
      <c r="J683" s="64"/>
      <c r="K683" s="64"/>
      <c r="L683" s="64"/>
      <c r="M683" s="67" t="str">
        <f aca="false">IF(A683="","",IF(AND(B683&gt;=WeekStart,B683&lt;=WeekEnd),"Yes","No"))</f>
        <v/>
      </c>
      <c r="N683" s="67" t="str">
        <f aca="false">IF(A683="","",IF(L683&lt;&gt;"Verified","Not verified",IF(COUNTIFS(in_CGID,C683,in_ClientID,E683,in_Svc,G683)&gt;0,"Yes","Not entered")))</f>
        <v/>
      </c>
    </row>
    <row r="684" customFormat="false" ht="15" hidden="false" customHeight="false" outlineLevel="0" collapsed="false">
      <c r="A684" s="64"/>
      <c r="B684" s="65"/>
      <c r="C684" s="64"/>
      <c r="D684" s="64"/>
      <c r="E684" s="64"/>
      <c r="F684" s="64"/>
      <c r="G684" s="64"/>
      <c r="H684" s="66"/>
      <c r="I684" s="66"/>
      <c r="J684" s="64"/>
      <c r="K684" s="64"/>
      <c r="L684" s="64"/>
      <c r="M684" s="67" t="str">
        <f aca="false">IF(A684="","",IF(AND(B684&gt;=WeekStart,B684&lt;=WeekEnd),"Yes","No"))</f>
        <v/>
      </c>
      <c r="N684" s="67" t="str">
        <f aca="false">IF(A684="","",IF(L684&lt;&gt;"Verified","Not verified",IF(COUNTIFS(in_CGID,C684,in_ClientID,E684,in_Svc,G684)&gt;0,"Yes","Not entered")))</f>
        <v/>
      </c>
    </row>
    <row r="685" customFormat="false" ht="15" hidden="false" customHeight="false" outlineLevel="0" collapsed="false">
      <c r="A685" s="64"/>
      <c r="B685" s="65"/>
      <c r="C685" s="64"/>
      <c r="D685" s="64"/>
      <c r="E685" s="64"/>
      <c r="F685" s="64"/>
      <c r="G685" s="64"/>
      <c r="H685" s="66"/>
      <c r="I685" s="66"/>
      <c r="J685" s="64"/>
      <c r="K685" s="64"/>
      <c r="L685" s="64"/>
      <c r="M685" s="67" t="str">
        <f aca="false">IF(A685="","",IF(AND(B685&gt;=WeekStart,B685&lt;=WeekEnd),"Yes","No"))</f>
        <v/>
      </c>
      <c r="N685" s="67" t="str">
        <f aca="false">IF(A685="","",IF(L685&lt;&gt;"Verified","Not verified",IF(COUNTIFS(in_CGID,C685,in_ClientID,E685,in_Svc,G685)&gt;0,"Yes","Not entered")))</f>
        <v/>
      </c>
    </row>
    <row r="686" customFormat="false" ht="15" hidden="false" customHeight="false" outlineLevel="0" collapsed="false">
      <c r="A686" s="64"/>
      <c r="B686" s="65"/>
      <c r="C686" s="64"/>
      <c r="D686" s="64"/>
      <c r="E686" s="64"/>
      <c r="F686" s="64"/>
      <c r="G686" s="64"/>
      <c r="H686" s="66"/>
      <c r="I686" s="66"/>
      <c r="J686" s="64"/>
      <c r="K686" s="64"/>
      <c r="L686" s="64"/>
      <c r="M686" s="67" t="str">
        <f aca="false">IF(A686="","",IF(AND(B686&gt;=WeekStart,B686&lt;=WeekEnd),"Yes","No"))</f>
        <v/>
      </c>
      <c r="N686" s="67" t="str">
        <f aca="false">IF(A686="","",IF(L686&lt;&gt;"Verified","Not verified",IF(COUNTIFS(in_CGID,C686,in_ClientID,E686,in_Svc,G686)&gt;0,"Yes","Not entered")))</f>
        <v/>
      </c>
    </row>
    <row r="687" customFormat="false" ht="15" hidden="false" customHeight="false" outlineLevel="0" collapsed="false">
      <c r="A687" s="64"/>
      <c r="B687" s="65"/>
      <c r="C687" s="64"/>
      <c r="D687" s="64"/>
      <c r="E687" s="64"/>
      <c r="F687" s="64"/>
      <c r="G687" s="64"/>
      <c r="H687" s="66"/>
      <c r="I687" s="66"/>
      <c r="J687" s="64"/>
      <c r="K687" s="64"/>
      <c r="L687" s="64"/>
      <c r="M687" s="67" t="str">
        <f aca="false">IF(A687="","",IF(AND(B687&gt;=WeekStart,B687&lt;=WeekEnd),"Yes","No"))</f>
        <v/>
      </c>
      <c r="N687" s="67" t="str">
        <f aca="false">IF(A687="","",IF(L687&lt;&gt;"Verified","Not verified",IF(COUNTIFS(in_CGID,C687,in_ClientID,E687,in_Svc,G687)&gt;0,"Yes","Not entered")))</f>
        <v/>
      </c>
    </row>
    <row r="688" customFormat="false" ht="15" hidden="false" customHeight="false" outlineLevel="0" collapsed="false">
      <c r="A688" s="64"/>
      <c r="B688" s="65"/>
      <c r="C688" s="64"/>
      <c r="D688" s="64"/>
      <c r="E688" s="64"/>
      <c r="F688" s="64"/>
      <c r="G688" s="64"/>
      <c r="H688" s="66"/>
      <c r="I688" s="66"/>
      <c r="J688" s="64"/>
      <c r="K688" s="64"/>
      <c r="L688" s="64"/>
      <c r="M688" s="67" t="str">
        <f aca="false">IF(A688="","",IF(AND(B688&gt;=WeekStart,B688&lt;=WeekEnd),"Yes","No"))</f>
        <v/>
      </c>
      <c r="N688" s="67" t="str">
        <f aca="false">IF(A688="","",IF(L688&lt;&gt;"Verified","Not verified",IF(COUNTIFS(in_CGID,C688,in_ClientID,E688,in_Svc,G688)&gt;0,"Yes","Not entered")))</f>
        <v/>
      </c>
    </row>
    <row r="689" customFormat="false" ht="15" hidden="false" customHeight="false" outlineLevel="0" collapsed="false">
      <c r="A689" s="64"/>
      <c r="B689" s="65"/>
      <c r="C689" s="64"/>
      <c r="D689" s="64"/>
      <c r="E689" s="64"/>
      <c r="F689" s="64"/>
      <c r="G689" s="64"/>
      <c r="H689" s="66"/>
      <c r="I689" s="66"/>
      <c r="J689" s="64"/>
      <c r="K689" s="64"/>
      <c r="L689" s="64"/>
      <c r="M689" s="67" t="str">
        <f aca="false">IF(A689="","",IF(AND(B689&gt;=WeekStart,B689&lt;=WeekEnd),"Yes","No"))</f>
        <v/>
      </c>
      <c r="N689" s="67" t="str">
        <f aca="false">IF(A689="","",IF(L689&lt;&gt;"Verified","Not verified",IF(COUNTIFS(in_CGID,C689,in_ClientID,E689,in_Svc,G689)&gt;0,"Yes","Not entered")))</f>
        <v/>
      </c>
    </row>
    <row r="690" customFormat="false" ht="15" hidden="false" customHeight="false" outlineLevel="0" collapsed="false">
      <c r="A690" s="64"/>
      <c r="B690" s="65"/>
      <c r="C690" s="64"/>
      <c r="D690" s="64"/>
      <c r="E690" s="64"/>
      <c r="F690" s="64"/>
      <c r="G690" s="64"/>
      <c r="H690" s="66"/>
      <c r="I690" s="66"/>
      <c r="J690" s="64"/>
      <c r="K690" s="64"/>
      <c r="L690" s="64"/>
      <c r="M690" s="67" t="str">
        <f aca="false">IF(A690="","",IF(AND(B690&gt;=WeekStart,B690&lt;=WeekEnd),"Yes","No"))</f>
        <v/>
      </c>
      <c r="N690" s="67" t="str">
        <f aca="false">IF(A690="","",IF(L690&lt;&gt;"Verified","Not verified",IF(COUNTIFS(in_CGID,C690,in_ClientID,E690,in_Svc,G690)&gt;0,"Yes","Not entered")))</f>
        <v/>
      </c>
    </row>
    <row r="691" customFormat="false" ht="15" hidden="false" customHeight="false" outlineLevel="0" collapsed="false">
      <c r="A691" s="64"/>
      <c r="B691" s="65"/>
      <c r="C691" s="64"/>
      <c r="D691" s="64"/>
      <c r="E691" s="64"/>
      <c r="F691" s="64"/>
      <c r="G691" s="64"/>
      <c r="H691" s="66"/>
      <c r="I691" s="66"/>
      <c r="J691" s="64"/>
      <c r="K691" s="64"/>
      <c r="L691" s="64"/>
      <c r="M691" s="67" t="str">
        <f aca="false">IF(A691="","",IF(AND(B691&gt;=WeekStart,B691&lt;=WeekEnd),"Yes","No"))</f>
        <v/>
      </c>
      <c r="N691" s="67" t="str">
        <f aca="false">IF(A691="","",IF(L691&lt;&gt;"Verified","Not verified",IF(COUNTIFS(in_CGID,C691,in_ClientID,E691,in_Svc,G691)&gt;0,"Yes","Not entered")))</f>
        <v/>
      </c>
    </row>
    <row r="692" customFormat="false" ht="15" hidden="false" customHeight="false" outlineLevel="0" collapsed="false">
      <c r="A692" s="64"/>
      <c r="B692" s="65"/>
      <c r="C692" s="64"/>
      <c r="D692" s="64"/>
      <c r="E692" s="64"/>
      <c r="F692" s="64"/>
      <c r="G692" s="64"/>
      <c r="H692" s="66"/>
      <c r="I692" s="66"/>
      <c r="J692" s="64"/>
      <c r="K692" s="64"/>
      <c r="L692" s="64"/>
      <c r="M692" s="67" t="str">
        <f aca="false">IF(A692="","",IF(AND(B692&gt;=WeekStart,B692&lt;=WeekEnd),"Yes","No"))</f>
        <v/>
      </c>
      <c r="N692" s="67" t="str">
        <f aca="false">IF(A692="","",IF(L692&lt;&gt;"Verified","Not verified",IF(COUNTIFS(in_CGID,C692,in_ClientID,E692,in_Svc,G692)&gt;0,"Yes","Not entered")))</f>
        <v/>
      </c>
    </row>
    <row r="693" customFormat="false" ht="15" hidden="false" customHeight="false" outlineLevel="0" collapsed="false">
      <c r="A693" s="64"/>
      <c r="B693" s="65"/>
      <c r="C693" s="64"/>
      <c r="D693" s="64"/>
      <c r="E693" s="64"/>
      <c r="F693" s="64"/>
      <c r="G693" s="64"/>
      <c r="H693" s="66"/>
      <c r="I693" s="66"/>
      <c r="J693" s="64"/>
      <c r="K693" s="64"/>
      <c r="L693" s="64"/>
      <c r="M693" s="67" t="str">
        <f aca="false">IF(A693="","",IF(AND(B693&gt;=WeekStart,B693&lt;=WeekEnd),"Yes","No"))</f>
        <v/>
      </c>
      <c r="N693" s="67" t="str">
        <f aca="false">IF(A693="","",IF(L693&lt;&gt;"Verified","Not verified",IF(COUNTIFS(in_CGID,C693,in_ClientID,E693,in_Svc,G693)&gt;0,"Yes","Not entered")))</f>
        <v/>
      </c>
    </row>
    <row r="694" customFormat="false" ht="15" hidden="false" customHeight="false" outlineLevel="0" collapsed="false">
      <c r="A694" s="64"/>
      <c r="B694" s="65"/>
      <c r="C694" s="64"/>
      <c r="D694" s="64"/>
      <c r="E694" s="64"/>
      <c r="F694" s="64"/>
      <c r="G694" s="64"/>
      <c r="H694" s="66"/>
      <c r="I694" s="66"/>
      <c r="J694" s="64"/>
      <c r="K694" s="64"/>
      <c r="L694" s="64"/>
      <c r="M694" s="67" t="str">
        <f aca="false">IF(A694="","",IF(AND(B694&gt;=WeekStart,B694&lt;=WeekEnd),"Yes","No"))</f>
        <v/>
      </c>
      <c r="N694" s="67" t="str">
        <f aca="false">IF(A694="","",IF(L694&lt;&gt;"Verified","Not verified",IF(COUNTIFS(in_CGID,C694,in_ClientID,E694,in_Svc,G694)&gt;0,"Yes","Not entered")))</f>
        <v/>
      </c>
    </row>
    <row r="695" customFormat="false" ht="15" hidden="false" customHeight="false" outlineLevel="0" collapsed="false">
      <c r="A695" s="64"/>
      <c r="B695" s="65"/>
      <c r="C695" s="64"/>
      <c r="D695" s="64"/>
      <c r="E695" s="64"/>
      <c r="F695" s="64"/>
      <c r="G695" s="64"/>
      <c r="H695" s="66"/>
      <c r="I695" s="66"/>
      <c r="J695" s="64"/>
      <c r="K695" s="64"/>
      <c r="L695" s="64"/>
      <c r="M695" s="67" t="str">
        <f aca="false">IF(A695="","",IF(AND(B695&gt;=WeekStart,B695&lt;=WeekEnd),"Yes","No"))</f>
        <v/>
      </c>
      <c r="N695" s="67" t="str">
        <f aca="false">IF(A695="","",IF(L695&lt;&gt;"Verified","Not verified",IF(COUNTIFS(in_CGID,C695,in_ClientID,E695,in_Svc,G695)&gt;0,"Yes","Not entered")))</f>
        <v/>
      </c>
    </row>
    <row r="696" customFormat="false" ht="15" hidden="false" customHeight="false" outlineLevel="0" collapsed="false">
      <c r="A696" s="64"/>
      <c r="B696" s="65"/>
      <c r="C696" s="64"/>
      <c r="D696" s="64"/>
      <c r="E696" s="64"/>
      <c r="F696" s="64"/>
      <c r="G696" s="64"/>
      <c r="H696" s="66"/>
      <c r="I696" s="66"/>
      <c r="J696" s="64"/>
      <c r="K696" s="64"/>
      <c r="L696" s="64"/>
      <c r="M696" s="67" t="str">
        <f aca="false">IF(A696="","",IF(AND(B696&gt;=WeekStart,B696&lt;=WeekEnd),"Yes","No"))</f>
        <v/>
      </c>
      <c r="N696" s="67" t="str">
        <f aca="false">IF(A696="","",IF(L696&lt;&gt;"Verified","Not verified",IF(COUNTIFS(in_CGID,C696,in_ClientID,E696,in_Svc,G696)&gt;0,"Yes","Not entered")))</f>
        <v/>
      </c>
    </row>
    <row r="697" customFormat="false" ht="15" hidden="false" customHeight="false" outlineLevel="0" collapsed="false">
      <c r="A697" s="64"/>
      <c r="B697" s="65"/>
      <c r="C697" s="64"/>
      <c r="D697" s="64"/>
      <c r="E697" s="64"/>
      <c r="F697" s="64"/>
      <c r="G697" s="64"/>
      <c r="H697" s="66"/>
      <c r="I697" s="66"/>
      <c r="J697" s="64"/>
      <c r="K697" s="64"/>
      <c r="L697" s="64"/>
      <c r="M697" s="67" t="str">
        <f aca="false">IF(A697="","",IF(AND(B697&gt;=WeekStart,B697&lt;=WeekEnd),"Yes","No"))</f>
        <v/>
      </c>
      <c r="N697" s="67" t="str">
        <f aca="false">IF(A697="","",IF(L697&lt;&gt;"Verified","Not verified",IF(COUNTIFS(in_CGID,C697,in_ClientID,E697,in_Svc,G697)&gt;0,"Yes","Not entered")))</f>
        <v/>
      </c>
    </row>
    <row r="698" customFormat="false" ht="15" hidden="false" customHeight="false" outlineLevel="0" collapsed="false">
      <c r="A698" s="64"/>
      <c r="B698" s="65"/>
      <c r="C698" s="64"/>
      <c r="D698" s="64"/>
      <c r="E698" s="64"/>
      <c r="F698" s="64"/>
      <c r="G698" s="64"/>
      <c r="H698" s="66"/>
      <c r="I698" s="66"/>
      <c r="J698" s="64"/>
      <c r="K698" s="64"/>
      <c r="L698" s="64"/>
      <c r="M698" s="67" t="str">
        <f aca="false">IF(A698="","",IF(AND(B698&gt;=WeekStart,B698&lt;=WeekEnd),"Yes","No"))</f>
        <v/>
      </c>
      <c r="N698" s="67" t="str">
        <f aca="false">IF(A698="","",IF(L698&lt;&gt;"Verified","Not verified",IF(COUNTIFS(in_CGID,C698,in_ClientID,E698,in_Svc,G698)&gt;0,"Yes","Not entered")))</f>
        <v/>
      </c>
    </row>
    <row r="699" customFormat="false" ht="15" hidden="false" customHeight="false" outlineLevel="0" collapsed="false">
      <c r="A699" s="64"/>
      <c r="B699" s="65"/>
      <c r="C699" s="64"/>
      <c r="D699" s="64"/>
      <c r="E699" s="64"/>
      <c r="F699" s="64"/>
      <c r="G699" s="64"/>
      <c r="H699" s="66"/>
      <c r="I699" s="66"/>
      <c r="J699" s="64"/>
      <c r="K699" s="64"/>
      <c r="L699" s="64"/>
      <c r="M699" s="67" t="str">
        <f aca="false">IF(A699="","",IF(AND(B699&gt;=WeekStart,B699&lt;=WeekEnd),"Yes","No"))</f>
        <v/>
      </c>
      <c r="N699" s="67" t="str">
        <f aca="false">IF(A699="","",IF(L699&lt;&gt;"Verified","Not verified",IF(COUNTIFS(in_CGID,C699,in_ClientID,E699,in_Svc,G699)&gt;0,"Yes","Not entered")))</f>
        <v/>
      </c>
    </row>
    <row r="700" customFormat="false" ht="15" hidden="false" customHeight="false" outlineLevel="0" collapsed="false">
      <c r="A700" s="64"/>
      <c r="B700" s="65"/>
      <c r="C700" s="64"/>
      <c r="D700" s="64"/>
      <c r="E700" s="64"/>
      <c r="F700" s="64"/>
      <c r="G700" s="64"/>
      <c r="H700" s="66"/>
      <c r="I700" s="66"/>
      <c r="J700" s="64"/>
      <c r="K700" s="64"/>
      <c r="L700" s="64"/>
      <c r="M700" s="67" t="str">
        <f aca="false">IF(A700="","",IF(AND(B700&gt;=WeekStart,B700&lt;=WeekEnd),"Yes","No"))</f>
        <v/>
      </c>
      <c r="N700" s="67" t="str">
        <f aca="false">IF(A700="","",IF(L700&lt;&gt;"Verified","Not verified",IF(COUNTIFS(in_CGID,C700,in_ClientID,E700,in_Svc,G700)&gt;0,"Yes","Not entered")))</f>
        <v/>
      </c>
    </row>
    <row r="701" customFormat="false" ht="15" hidden="false" customHeight="false" outlineLevel="0" collapsed="false">
      <c r="A701" s="64"/>
      <c r="B701" s="65"/>
      <c r="C701" s="64"/>
      <c r="D701" s="64"/>
      <c r="E701" s="64"/>
      <c r="F701" s="64"/>
      <c r="G701" s="64"/>
      <c r="H701" s="66"/>
      <c r="I701" s="66"/>
      <c r="J701" s="64"/>
      <c r="K701" s="64"/>
      <c r="L701" s="64"/>
      <c r="M701" s="67" t="str">
        <f aca="false">IF(A701="","",IF(AND(B701&gt;=WeekStart,B701&lt;=WeekEnd),"Yes","No"))</f>
        <v/>
      </c>
      <c r="N701" s="67" t="str">
        <f aca="false">IF(A701="","",IF(L701&lt;&gt;"Verified","Not verified",IF(COUNTIFS(in_CGID,C701,in_ClientID,E701,in_Svc,G701)&gt;0,"Yes","Not entered")))</f>
        <v/>
      </c>
    </row>
    <row r="702" customFormat="false" ht="15" hidden="false" customHeight="false" outlineLevel="0" collapsed="false">
      <c r="A702" s="64"/>
      <c r="B702" s="65"/>
      <c r="C702" s="64"/>
      <c r="D702" s="64"/>
      <c r="E702" s="64"/>
      <c r="F702" s="64"/>
      <c r="G702" s="64"/>
      <c r="H702" s="66"/>
      <c r="I702" s="66"/>
      <c r="J702" s="64"/>
      <c r="K702" s="64"/>
      <c r="L702" s="64"/>
      <c r="M702" s="67" t="str">
        <f aca="false">IF(A702="","",IF(AND(B702&gt;=WeekStart,B702&lt;=WeekEnd),"Yes","No"))</f>
        <v/>
      </c>
      <c r="N702" s="67" t="str">
        <f aca="false">IF(A702="","",IF(L702&lt;&gt;"Verified","Not verified",IF(COUNTIFS(in_CGID,C702,in_ClientID,E702,in_Svc,G702)&gt;0,"Yes","Not entered")))</f>
        <v/>
      </c>
    </row>
    <row r="703" customFormat="false" ht="15" hidden="false" customHeight="false" outlineLevel="0" collapsed="false">
      <c r="A703" s="64"/>
      <c r="B703" s="65"/>
      <c r="C703" s="64"/>
      <c r="D703" s="64"/>
      <c r="E703" s="64"/>
      <c r="F703" s="64"/>
      <c r="G703" s="64"/>
      <c r="H703" s="66"/>
      <c r="I703" s="66"/>
      <c r="J703" s="64"/>
      <c r="K703" s="64"/>
      <c r="L703" s="64"/>
      <c r="M703" s="67" t="str">
        <f aca="false">IF(A703="","",IF(AND(B703&gt;=WeekStart,B703&lt;=WeekEnd),"Yes","No"))</f>
        <v/>
      </c>
      <c r="N703" s="67" t="str">
        <f aca="false">IF(A703="","",IF(L703&lt;&gt;"Verified","Not verified",IF(COUNTIFS(in_CGID,C703,in_ClientID,E703,in_Svc,G703)&gt;0,"Yes","Not entered")))</f>
        <v/>
      </c>
    </row>
    <row r="704" customFormat="false" ht="15" hidden="false" customHeight="false" outlineLevel="0" collapsed="false">
      <c r="A704" s="64"/>
      <c r="B704" s="65"/>
      <c r="C704" s="64"/>
      <c r="D704" s="64"/>
      <c r="E704" s="64"/>
      <c r="F704" s="64"/>
      <c r="G704" s="64"/>
      <c r="H704" s="66"/>
      <c r="I704" s="66"/>
      <c r="J704" s="64"/>
      <c r="K704" s="64"/>
      <c r="L704" s="64"/>
      <c r="M704" s="67" t="str">
        <f aca="false">IF(A704="","",IF(AND(B704&gt;=WeekStart,B704&lt;=WeekEnd),"Yes","No"))</f>
        <v/>
      </c>
      <c r="N704" s="67" t="str">
        <f aca="false">IF(A704="","",IF(L704&lt;&gt;"Verified","Not verified",IF(COUNTIFS(in_CGID,C704,in_ClientID,E704,in_Svc,G704)&gt;0,"Yes","Not entered")))</f>
        <v/>
      </c>
    </row>
    <row r="705" customFormat="false" ht="15" hidden="false" customHeight="false" outlineLevel="0" collapsed="false">
      <c r="A705" s="64"/>
      <c r="B705" s="65"/>
      <c r="C705" s="64"/>
      <c r="D705" s="64"/>
      <c r="E705" s="64"/>
      <c r="F705" s="64"/>
      <c r="G705" s="64"/>
      <c r="H705" s="66"/>
      <c r="I705" s="66"/>
      <c r="J705" s="64"/>
      <c r="K705" s="64"/>
      <c r="L705" s="64"/>
      <c r="M705" s="67" t="str">
        <f aca="false">IF(A705="","",IF(AND(B705&gt;=WeekStart,B705&lt;=WeekEnd),"Yes","No"))</f>
        <v/>
      </c>
      <c r="N705" s="67" t="str">
        <f aca="false">IF(A705="","",IF(L705&lt;&gt;"Verified","Not verified",IF(COUNTIFS(in_CGID,C705,in_ClientID,E705,in_Svc,G705)&gt;0,"Yes","Not entered")))</f>
        <v/>
      </c>
    </row>
    <row r="706" customFormat="false" ht="15" hidden="false" customHeight="false" outlineLevel="0" collapsed="false">
      <c r="A706" s="64"/>
      <c r="B706" s="65"/>
      <c r="C706" s="64"/>
      <c r="D706" s="64"/>
      <c r="E706" s="64"/>
      <c r="F706" s="64"/>
      <c r="G706" s="64"/>
      <c r="H706" s="66"/>
      <c r="I706" s="66"/>
      <c r="J706" s="64"/>
      <c r="K706" s="64"/>
      <c r="L706" s="64"/>
      <c r="M706" s="67" t="str">
        <f aca="false">IF(A706="","",IF(AND(B706&gt;=WeekStart,B706&lt;=WeekEnd),"Yes","No"))</f>
        <v/>
      </c>
      <c r="N706" s="67" t="str">
        <f aca="false">IF(A706="","",IF(L706&lt;&gt;"Verified","Not verified",IF(COUNTIFS(in_CGID,C706,in_ClientID,E706,in_Svc,G706)&gt;0,"Yes","Not entered")))</f>
        <v/>
      </c>
    </row>
    <row r="707" customFormat="false" ht="15" hidden="false" customHeight="false" outlineLevel="0" collapsed="false">
      <c r="A707" s="64"/>
      <c r="B707" s="65"/>
      <c r="C707" s="64"/>
      <c r="D707" s="64"/>
      <c r="E707" s="64"/>
      <c r="F707" s="64"/>
      <c r="G707" s="64"/>
      <c r="H707" s="66"/>
      <c r="I707" s="66"/>
      <c r="J707" s="64"/>
      <c r="K707" s="64"/>
      <c r="L707" s="64"/>
      <c r="M707" s="67" t="str">
        <f aca="false">IF(A707="","",IF(AND(B707&gt;=WeekStart,B707&lt;=WeekEnd),"Yes","No"))</f>
        <v/>
      </c>
      <c r="N707" s="67" t="str">
        <f aca="false">IF(A707="","",IF(L707&lt;&gt;"Verified","Not verified",IF(COUNTIFS(in_CGID,C707,in_ClientID,E707,in_Svc,G707)&gt;0,"Yes","Not entered")))</f>
        <v/>
      </c>
    </row>
    <row r="708" customFormat="false" ht="15" hidden="false" customHeight="false" outlineLevel="0" collapsed="false">
      <c r="A708" s="64"/>
      <c r="B708" s="65"/>
      <c r="C708" s="64"/>
      <c r="D708" s="64"/>
      <c r="E708" s="64"/>
      <c r="F708" s="64"/>
      <c r="G708" s="64"/>
      <c r="H708" s="66"/>
      <c r="I708" s="66"/>
      <c r="J708" s="64"/>
      <c r="K708" s="64"/>
      <c r="L708" s="64"/>
      <c r="M708" s="67" t="str">
        <f aca="false">IF(A708="","",IF(AND(B708&gt;=WeekStart,B708&lt;=WeekEnd),"Yes","No"))</f>
        <v/>
      </c>
      <c r="N708" s="67" t="str">
        <f aca="false">IF(A708="","",IF(L708&lt;&gt;"Verified","Not verified",IF(COUNTIFS(in_CGID,C708,in_ClientID,E708,in_Svc,G708)&gt;0,"Yes","Not entered")))</f>
        <v/>
      </c>
    </row>
    <row r="709" customFormat="false" ht="15" hidden="false" customHeight="false" outlineLevel="0" collapsed="false">
      <c r="A709" s="64"/>
      <c r="B709" s="65"/>
      <c r="C709" s="64"/>
      <c r="D709" s="64"/>
      <c r="E709" s="64"/>
      <c r="F709" s="64"/>
      <c r="G709" s="64"/>
      <c r="H709" s="66"/>
      <c r="I709" s="66"/>
      <c r="J709" s="64"/>
      <c r="K709" s="64"/>
      <c r="L709" s="64"/>
      <c r="M709" s="67" t="str">
        <f aca="false">IF(A709="","",IF(AND(B709&gt;=WeekStart,B709&lt;=WeekEnd),"Yes","No"))</f>
        <v/>
      </c>
      <c r="N709" s="67" t="str">
        <f aca="false">IF(A709="","",IF(L709&lt;&gt;"Verified","Not verified",IF(COUNTIFS(in_CGID,C709,in_ClientID,E709,in_Svc,G709)&gt;0,"Yes","Not entered")))</f>
        <v/>
      </c>
    </row>
    <row r="710" customFormat="false" ht="15" hidden="false" customHeight="false" outlineLevel="0" collapsed="false">
      <c r="A710" s="64"/>
      <c r="B710" s="65"/>
      <c r="C710" s="64"/>
      <c r="D710" s="64"/>
      <c r="E710" s="64"/>
      <c r="F710" s="64"/>
      <c r="G710" s="64"/>
      <c r="H710" s="66"/>
      <c r="I710" s="66"/>
      <c r="J710" s="64"/>
      <c r="K710" s="64"/>
      <c r="L710" s="64"/>
      <c r="M710" s="67" t="str">
        <f aca="false">IF(A710="","",IF(AND(B710&gt;=WeekStart,B710&lt;=WeekEnd),"Yes","No"))</f>
        <v/>
      </c>
      <c r="N710" s="67" t="str">
        <f aca="false">IF(A710="","",IF(L710&lt;&gt;"Verified","Not verified",IF(COUNTIFS(in_CGID,C710,in_ClientID,E710,in_Svc,G710)&gt;0,"Yes","Not entered")))</f>
        <v/>
      </c>
    </row>
    <row r="711" customFormat="false" ht="15" hidden="false" customHeight="false" outlineLevel="0" collapsed="false">
      <c r="A711" s="64"/>
      <c r="B711" s="65"/>
      <c r="C711" s="64"/>
      <c r="D711" s="64"/>
      <c r="E711" s="64"/>
      <c r="F711" s="64"/>
      <c r="G711" s="64"/>
      <c r="H711" s="66"/>
      <c r="I711" s="66"/>
      <c r="J711" s="64"/>
      <c r="K711" s="64"/>
      <c r="L711" s="64"/>
      <c r="M711" s="67" t="str">
        <f aca="false">IF(A711="","",IF(AND(B711&gt;=WeekStart,B711&lt;=WeekEnd),"Yes","No"))</f>
        <v/>
      </c>
      <c r="N711" s="67" t="str">
        <f aca="false">IF(A711="","",IF(L711&lt;&gt;"Verified","Not verified",IF(COUNTIFS(in_CGID,C711,in_ClientID,E711,in_Svc,G711)&gt;0,"Yes","Not entered")))</f>
        <v/>
      </c>
    </row>
    <row r="712" customFormat="false" ht="15" hidden="false" customHeight="false" outlineLevel="0" collapsed="false">
      <c r="A712" s="64"/>
      <c r="B712" s="65"/>
      <c r="C712" s="64"/>
      <c r="D712" s="64"/>
      <c r="E712" s="64"/>
      <c r="F712" s="64"/>
      <c r="G712" s="64"/>
      <c r="H712" s="66"/>
      <c r="I712" s="66"/>
      <c r="J712" s="64"/>
      <c r="K712" s="64"/>
      <c r="L712" s="64"/>
      <c r="M712" s="67" t="str">
        <f aca="false">IF(A712="","",IF(AND(B712&gt;=WeekStart,B712&lt;=WeekEnd),"Yes","No"))</f>
        <v/>
      </c>
      <c r="N712" s="67" t="str">
        <f aca="false">IF(A712="","",IF(L712&lt;&gt;"Verified","Not verified",IF(COUNTIFS(in_CGID,C712,in_ClientID,E712,in_Svc,G712)&gt;0,"Yes","Not entered")))</f>
        <v/>
      </c>
    </row>
    <row r="713" customFormat="false" ht="15" hidden="false" customHeight="false" outlineLevel="0" collapsed="false">
      <c r="A713" s="64"/>
      <c r="B713" s="65"/>
      <c r="C713" s="64"/>
      <c r="D713" s="64"/>
      <c r="E713" s="64"/>
      <c r="F713" s="64"/>
      <c r="G713" s="64"/>
      <c r="H713" s="66"/>
      <c r="I713" s="66"/>
      <c r="J713" s="64"/>
      <c r="K713" s="64"/>
      <c r="L713" s="64"/>
      <c r="M713" s="67" t="str">
        <f aca="false">IF(A713="","",IF(AND(B713&gt;=WeekStart,B713&lt;=WeekEnd),"Yes","No"))</f>
        <v/>
      </c>
      <c r="N713" s="67" t="str">
        <f aca="false">IF(A713="","",IF(L713&lt;&gt;"Verified","Not verified",IF(COUNTIFS(in_CGID,C713,in_ClientID,E713,in_Svc,G713)&gt;0,"Yes","Not entered")))</f>
        <v/>
      </c>
    </row>
    <row r="714" customFormat="false" ht="15" hidden="false" customHeight="false" outlineLevel="0" collapsed="false">
      <c r="A714" s="64"/>
      <c r="B714" s="65"/>
      <c r="C714" s="64"/>
      <c r="D714" s="64"/>
      <c r="E714" s="64"/>
      <c r="F714" s="64"/>
      <c r="G714" s="64"/>
      <c r="H714" s="66"/>
      <c r="I714" s="66"/>
      <c r="J714" s="64"/>
      <c r="K714" s="64"/>
      <c r="L714" s="64"/>
      <c r="M714" s="67" t="str">
        <f aca="false">IF(A714="","",IF(AND(B714&gt;=WeekStart,B714&lt;=WeekEnd),"Yes","No"))</f>
        <v/>
      </c>
      <c r="N714" s="67" t="str">
        <f aca="false">IF(A714="","",IF(L714&lt;&gt;"Verified","Not verified",IF(COUNTIFS(in_CGID,C714,in_ClientID,E714,in_Svc,G714)&gt;0,"Yes","Not entered")))</f>
        <v/>
      </c>
    </row>
    <row r="715" customFormat="false" ht="15" hidden="false" customHeight="false" outlineLevel="0" collapsed="false">
      <c r="A715" s="64"/>
      <c r="B715" s="65"/>
      <c r="C715" s="64"/>
      <c r="D715" s="64"/>
      <c r="E715" s="64"/>
      <c r="F715" s="64"/>
      <c r="G715" s="64"/>
      <c r="H715" s="66"/>
      <c r="I715" s="66"/>
      <c r="J715" s="64"/>
      <c r="K715" s="64"/>
      <c r="L715" s="64"/>
      <c r="M715" s="67" t="str">
        <f aca="false">IF(A715="","",IF(AND(B715&gt;=WeekStart,B715&lt;=WeekEnd),"Yes","No"))</f>
        <v/>
      </c>
      <c r="N715" s="67" t="str">
        <f aca="false">IF(A715="","",IF(L715&lt;&gt;"Verified","Not verified",IF(COUNTIFS(in_CGID,C715,in_ClientID,E715,in_Svc,G715)&gt;0,"Yes","Not entered")))</f>
        <v/>
      </c>
    </row>
    <row r="716" customFormat="false" ht="15" hidden="false" customHeight="false" outlineLevel="0" collapsed="false">
      <c r="A716" s="64"/>
      <c r="B716" s="65"/>
      <c r="C716" s="64"/>
      <c r="D716" s="64"/>
      <c r="E716" s="64"/>
      <c r="F716" s="64"/>
      <c r="G716" s="64"/>
      <c r="H716" s="66"/>
      <c r="I716" s="66"/>
      <c r="J716" s="64"/>
      <c r="K716" s="64"/>
      <c r="L716" s="64"/>
      <c r="M716" s="67" t="str">
        <f aca="false">IF(A716="","",IF(AND(B716&gt;=WeekStart,B716&lt;=WeekEnd),"Yes","No"))</f>
        <v/>
      </c>
      <c r="N716" s="67" t="str">
        <f aca="false">IF(A716="","",IF(L716&lt;&gt;"Verified","Not verified",IF(COUNTIFS(in_CGID,C716,in_ClientID,E716,in_Svc,G716)&gt;0,"Yes","Not entered")))</f>
        <v/>
      </c>
    </row>
    <row r="717" customFormat="false" ht="15" hidden="false" customHeight="false" outlineLevel="0" collapsed="false">
      <c r="A717" s="64"/>
      <c r="B717" s="65"/>
      <c r="C717" s="64"/>
      <c r="D717" s="64"/>
      <c r="E717" s="64"/>
      <c r="F717" s="64"/>
      <c r="G717" s="64"/>
      <c r="H717" s="66"/>
      <c r="I717" s="66"/>
      <c r="J717" s="64"/>
      <c r="K717" s="64"/>
      <c r="L717" s="64"/>
      <c r="M717" s="67" t="str">
        <f aca="false">IF(A717="","",IF(AND(B717&gt;=WeekStart,B717&lt;=WeekEnd),"Yes","No"))</f>
        <v/>
      </c>
      <c r="N717" s="67" t="str">
        <f aca="false">IF(A717="","",IF(L717&lt;&gt;"Verified","Not verified",IF(COUNTIFS(in_CGID,C717,in_ClientID,E717,in_Svc,G717)&gt;0,"Yes","Not entered")))</f>
        <v/>
      </c>
    </row>
    <row r="718" customFormat="false" ht="15" hidden="false" customHeight="false" outlineLevel="0" collapsed="false">
      <c r="A718" s="64"/>
      <c r="B718" s="65"/>
      <c r="C718" s="64"/>
      <c r="D718" s="64"/>
      <c r="E718" s="64"/>
      <c r="F718" s="64"/>
      <c r="G718" s="64"/>
      <c r="H718" s="66"/>
      <c r="I718" s="66"/>
      <c r="J718" s="64"/>
      <c r="K718" s="64"/>
      <c r="L718" s="64"/>
      <c r="M718" s="67" t="str">
        <f aca="false">IF(A718="","",IF(AND(B718&gt;=WeekStart,B718&lt;=WeekEnd),"Yes","No"))</f>
        <v/>
      </c>
      <c r="N718" s="67" t="str">
        <f aca="false">IF(A718="","",IF(L718&lt;&gt;"Verified","Not verified",IF(COUNTIFS(in_CGID,C718,in_ClientID,E718,in_Svc,G718)&gt;0,"Yes","Not entered")))</f>
        <v/>
      </c>
    </row>
    <row r="719" customFormat="false" ht="15" hidden="false" customHeight="false" outlineLevel="0" collapsed="false">
      <c r="A719" s="64"/>
      <c r="B719" s="65"/>
      <c r="C719" s="64"/>
      <c r="D719" s="64"/>
      <c r="E719" s="64"/>
      <c r="F719" s="64"/>
      <c r="G719" s="64"/>
      <c r="H719" s="66"/>
      <c r="I719" s="66"/>
      <c r="J719" s="64"/>
      <c r="K719" s="64"/>
      <c r="L719" s="64"/>
      <c r="M719" s="67" t="str">
        <f aca="false">IF(A719="","",IF(AND(B719&gt;=WeekStart,B719&lt;=WeekEnd),"Yes","No"))</f>
        <v/>
      </c>
      <c r="N719" s="67" t="str">
        <f aca="false">IF(A719="","",IF(L719&lt;&gt;"Verified","Not verified",IF(COUNTIFS(in_CGID,C719,in_ClientID,E719,in_Svc,G719)&gt;0,"Yes","Not entered")))</f>
        <v/>
      </c>
    </row>
    <row r="720" customFormat="false" ht="15" hidden="false" customHeight="false" outlineLevel="0" collapsed="false">
      <c r="A720" s="64"/>
      <c r="B720" s="65"/>
      <c r="C720" s="64"/>
      <c r="D720" s="64"/>
      <c r="E720" s="64"/>
      <c r="F720" s="64"/>
      <c r="G720" s="64"/>
      <c r="H720" s="66"/>
      <c r="I720" s="66"/>
      <c r="J720" s="64"/>
      <c r="K720" s="64"/>
      <c r="L720" s="64"/>
      <c r="M720" s="67" t="str">
        <f aca="false">IF(A720="","",IF(AND(B720&gt;=WeekStart,B720&lt;=WeekEnd),"Yes","No"))</f>
        <v/>
      </c>
      <c r="N720" s="67" t="str">
        <f aca="false">IF(A720="","",IF(L720&lt;&gt;"Verified","Not verified",IF(COUNTIFS(in_CGID,C720,in_ClientID,E720,in_Svc,G720)&gt;0,"Yes","Not entered")))</f>
        <v/>
      </c>
    </row>
    <row r="721" customFormat="false" ht="15" hidden="false" customHeight="false" outlineLevel="0" collapsed="false">
      <c r="A721" s="64"/>
      <c r="B721" s="65"/>
      <c r="C721" s="64"/>
      <c r="D721" s="64"/>
      <c r="E721" s="64"/>
      <c r="F721" s="64"/>
      <c r="G721" s="64"/>
      <c r="H721" s="66"/>
      <c r="I721" s="66"/>
      <c r="J721" s="64"/>
      <c r="K721" s="64"/>
      <c r="L721" s="64"/>
      <c r="M721" s="67" t="str">
        <f aca="false">IF(A721="","",IF(AND(B721&gt;=WeekStart,B721&lt;=WeekEnd),"Yes","No"))</f>
        <v/>
      </c>
      <c r="N721" s="67" t="str">
        <f aca="false">IF(A721="","",IF(L721&lt;&gt;"Verified","Not verified",IF(COUNTIFS(in_CGID,C721,in_ClientID,E721,in_Svc,G721)&gt;0,"Yes","Not entered")))</f>
        <v/>
      </c>
    </row>
    <row r="722" customFormat="false" ht="15" hidden="false" customHeight="false" outlineLevel="0" collapsed="false">
      <c r="A722" s="64"/>
      <c r="B722" s="65"/>
      <c r="C722" s="64"/>
      <c r="D722" s="64"/>
      <c r="E722" s="64"/>
      <c r="F722" s="64"/>
      <c r="G722" s="64"/>
      <c r="H722" s="66"/>
      <c r="I722" s="66"/>
      <c r="J722" s="64"/>
      <c r="K722" s="64"/>
      <c r="L722" s="64"/>
      <c r="M722" s="67" t="str">
        <f aca="false">IF(A722="","",IF(AND(B722&gt;=WeekStart,B722&lt;=WeekEnd),"Yes","No"))</f>
        <v/>
      </c>
      <c r="N722" s="67" t="str">
        <f aca="false">IF(A722="","",IF(L722&lt;&gt;"Verified","Not verified",IF(COUNTIFS(in_CGID,C722,in_ClientID,E722,in_Svc,G722)&gt;0,"Yes","Not entered")))</f>
        <v/>
      </c>
    </row>
    <row r="723" customFormat="false" ht="15" hidden="false" customHeight="false" outlineLevel="0" collapsed="false">
      <c r="A723" s="64"/>
      <c r="B723" s="65"/>
      <c r="C723" s="64"/>
      <c r="D723" s="64"/>
      <c r="E723" s="64"/>
      <c r="F723" s="64"/>
      <c r="G723" s="64"/>
      <c r="H723" s="66"/>
      <c r="I723" s="66"/>
      <c r="J723" s="64"/>
      <c r="K723" s="64"/>
      <c r="L723" s="64"/>
      <c r="M723" s="67" t="str">
        <f aca="false">IF(A723="","",IF(AND(B723&gt;=WeekStart,B723&lt;=WeekEnd),"Yes","No"))</f>
        <v/>
      </c>
      <c r="N723" s="67" t="str">
        <f aca="false">IF(A723="","",IF(L723&lt;&gt;"Verified","Not verified",IF(COUNTIFS(in_CGID,C723,in_ClientID,E723,in_Svc,G723)&gt;0,"Yes","Not entered")))</f>
        <v/>
      </c>
    </row>
    <row r="724" customFormat="false" ht="15" hidden="false" customHeight="false" outlineLevel="0" collapsed="false">
      <c r="A724" s="64"/>
      <c r="B724" s="65"/>
      <c r="C724" s="64"/>
      <c r="D724" s="64"/>
      <c r="E724" s="64"/>
      <c r="F724" s="64"/>
      <c r="G724" s="64"/>
      <c r="H724" s="66"/>
      <c r="I724" s="66"/>
      <c r="J724" s="64"/>
      <c r="K724" s="64"/>
      <c r="L724" s="64"/>
      <c r="M724" s="67" t="str">
        <f aca="false">IF(A724="","",IF(AND(B724&gt;=WeekStart,B724&lt;=WeekEnd),"Yes","No"))</f>
        <v/>
      </c>
      <c r="N724" s="67" t="str">
        <f aca="false">IF(A724="","",IF(L724&lt;&gt;"Verified","Not verified",IF(COUNTIFS(in_CGID,C724,in_ClientID,E724,in_Svc,G724)&gt;0,"Yes","Not entered")))</f>
        <v/>
      </c>
    </row>
    <row r="725" customFormat="false" ht="15" hidden="false" customHeight="false" outlineLevel="0" collapsed="false">
      <c r="A725" s="64"/>
      <c r="B725" s="65"/>
      <c r="C725" s="64"/>
      <c r="D725" s="64"/>
      <c r="E725" s="64"/>
      <c r="F725" s="64"/>
      <c r="G725" s="64"/>
      <c r="H725" s="66"/>
      <c r="I725" s="66"/>
      <c r="J725" s="64"/>
      <c r="K725" s="64"/>
      <c r="L725" s="64"/>
      <c r="M725" s="67" t="str">
        <f aca="false">IF(A725="","",IF(AND(B725&gt;=WeekStart,B725&lt;=WeekEnd),"Yes","No"))</f>
        <v/>
      </c>
      <c r="N725" s="67" t="str">
        <f aca="false">IF(A725="","",IF(L725&lt;&gt;"Verified","Not verified",IF(COUNTIFS(in_CGID,C725,in_ClientID,E725,in_Svc,G725)&gt;0,"Yes","Not entered")))</f>
        <v/>
      </c>
    </row>
    <row r="726" customFormat="false" ht="15" hidden="false" customHeight="false" outlineLevel="0" collapsed="false">
      <c r="A726" s="64"/>
      <c r="B726" s="65"/>
      <c r="C726" s="64"/>
      <c r="D726" s="64"/>
      <c r="E726" s="64"/>
      <c r="F726" s="64"/>
      <c r="G726" s="64"/>
      <c r="H726" s="66"/>
      <c r="I726" s="66"/>
      <c r="J726" s="64"/>
      <c r="K726" s="64"/>
      <c r="L726" s="64"/>
      <c r="M726" s="67" t="str">
        <f aca="false">IF(A726="","",IF(AND(B726&gt;=WeekStart,B726&lt;=WeekEnd),"Yes","No"))</f>
        <v/>
      </c>
      <c r="N726" s="67" t="str">
        <f aca="false">IF(A726="","",IF(L726&lt;&gt;"Verified","Not verified",IF(COUNTIFS(in_CGID,C726,in_ClientID,E726,in_Svc,G726)&gt;0,"Yes","Not entered")))</f>
        <v/>
      </c>
    </row>
    <row r="727" customFormat="false" ht="15" hidden="false" customHeight="false" outlineLevel="0" collapsed="false">
      <c r="A727" s="64"/>
      <c r="B727" s="65"/>
      <c r="C727" s="64"/>
      <c r="D727" s="64"/>
      <c r="E727" s="64"/>
      <c r="F727" s="64"/>
      <c r="G727" s="64"/>
      <c r="H727" s="66"/>
      <c r="I727" s="66"/>
      <c r="J727" s="64"/>
      <c r="K727" s="64"/>
      <c r="L727" s="64"/>
      <c r="M727" s="67" t="str">
        <f aca="false">IF(A727="","",IF(AND(B727&gt;=WeekStart,B727&lt;=WeekEnd),"Yes","No"))</f>
        <v/>
      </c>
      <c r="N727" s="67" t="str">
        <f aca="false">IF(A727="","",IF(L727&lt;&gt;"Verified","Not verified",IF(COUNTIFS(in_CGID,C727,in_ClientID,E727,in_Svc,G727)&gt;0,"Yes","Not entered")))</f>
        <v/>
      </c>
    </row>
    <row r="728" customFormat="false" ht="15" hidden="false" customHeight="false" outlineLevel="0" collapsed="false">
      <c r="A728" s="64"/>
      <c r="B728" s="65"/>
      <c r="C728" s="64"/>
      <c r="D728" s="64"/>
      <c r="E728" s="64"/>
      <c r="F728" s="64"/>
      <c r="G728" s="64"/>
      <c r="H728" s="66"/>
      <c r="I728" s="66"/>
      <c r="J728" s="64"/>
      <c r="K728" s="64"/>
      <c r="L728" s="64"/>
      <c r="M728" s="67" t="str">
        <f aca="false">IF(A728="","",IF(AND(B728&gt;=WeekStart,B728&lt;=WeekEnd),"Yes","No"))</f>
        <v/>
      </c>
      <c r="N728" s="67" t="str">
        <f aca="false">IF(A728="","",IF(L728&lt;&gt;"Verified","Not verified",IF(COUNTIFS(in_CGID,C728,in_ClientID,E728,in_Svc,G728)&gt;0,"Yes","Not entered")))</f>
        <v/>
      </c>
    </row>
    <row r="729" customFormat="false" ht="15" hidden="false" customHeight="false" outlineLevel="0" collapsed="false">
      <c r="A729" s="64"/>
      <c r="B729" s="65"/>
      <c r="C729" s="64"/>
      <c r="D729" s="64"/>
      <c r="E729" s="64"/>
      <c r="F729" s="64"/>
      <c r="G729" s="64"/>
      <c r="H729" s="66"/>
      <c r="I729" s="66"/>
      <c r="J729" s="64"/>
      <c r="K729" s="64"/>
      <c r="L729" s="64"/>
      <c r="M729" s="67" t="str">
        <f aca="false">IF(A729="","",IF(AND(B729&gt;=WeekStart,B729&lt;=WeekEnd),"Yes","No"))</f>
        <v/>
      </c>
      <c r="N729" s="67" t="str">
        <f aca="false">IF(A729="","",IF(L729&lt;&gt;"Verified","Not verified",IF(COUNTIFS(in_CGID,C729,in_ClientID,E729,in_Svc,G729)&gt;0,"Yes","Not entered")))</f>
        <v/>
      </c>
    </row>
    <row r="730" customFormat="false" ht="15" hidden="false" customHeight="false" outlineLevel="0" collapsed="false">
      <c r="A730" s="64"/>
      <c r="B730" s="65"/>
      <c r="C730" s="64"/>
      <c r="D730" s="64"/>
      <c r="E730" s="64"/>
      <c r="F730" s="64"/>
      <c r="G730" s="64"/>
      <c r="H730" s="66"/>
      <c r="I730" s="66"/>
      <c r="J730" s="64"/>
      <c r="K730" s="64"/>
      <c r="L730" s="64"/>
      <c r="M730" s="67" t="str">
        <f aca="false">IF(A730="","",IF(AND(B730&gt;=WeekStart,B730&lt;=WeekEnd),"Yes","No"))</f>
        <v/>
      </c>
      <c r="N730" s="67" t="str">
        <f aca="false">IF(A730="","",IF(L730&lt;&gt;"Verified","Not verified",IF(COUNTIFS(in_CGID,C730,in_ClientID,E730,in_Svc,G730)&gt;0,"Yes","Not entered")))</f>
        <v/>
      </c>
    </row>
    <row r="731" customFormat="false" ht="15" hidden="false" customHeight="false" outlineLevel="0" collapsed="false">
      <c r="A731" s="64"/>
      <c r="B731" s="65"/>
      <c r="C731" s="64"/>
      <c r="D731" s="64"/>
      <c r="E731" s="64"/>
      <c r="F731" s="64"/>
      <c r="G731" s="64"/>
      <c r="H731" s="66"/>
      <c r="I731" s="66"/>
      <c r="J731" s="64"/>
      <c r="K731" s="64"/>
      <c r="L731" s="64"/>
      <c r="M731" s="67" t="str">
        <f aca="false">IF(A731="","",IF(AND(B731&gt;=WeekStart,B731&lt;=WeekEnd),"Yes","No"))</f>
        <v/>
      </c>
      <c r="N731" s="67" t="str">
        <f aca="false">IF(A731="","",IF(L731&lt;&gt;"Verified","Not verified",IF(COUNTIFS(in_CGID,C731,in_ClientID,E731,in_Svc,G731)&gt;0,"Yes","Not entered")))</f>
        <v/>
      </c>
    </row>
    <row r="732" customFormat="false" ht="15" hidden="false" customHeight="false" outlineLevel="0" collapsed="false">
      <c r="A732" s="64"/>
      <c r="B732" s="65"/>
      <c r="C732" s="64"/>
      <c r="D732" s="64"/>
      <c r="E732" s="64"/>
      <c r="F732" s="64"/>
      <c r="G732" s="64"/>
      <c r="H732" s="66"/>
      <c r="I732" s="66"/>
      <c r="J732" s="64"/>
      <c r="K732" s="64"/>
      <c r="L732" s="64"/>
      <c r="M732" s="67" t="str">
        <f aca="false">IF(A732="","",IF(AND(B732&gt;=WeekStart,B732&lt;=WeekEnd),"Yes","No"))</f>
        <v/>
      </c>
      <c r="N732" s="67" t="str">
        <f aca="false">IF(A732="","",IF(L732&lt;&gt;"Verified","Not verified",IF(COUNTIFS(in_CGID,C732,in_ClientID,E732,in_Svc,G732)&gt;0,"Yes","Not entered")))</f>
        <v/>
      </c>
    </row>
    <row r="733" customFormat="false" ht="15" hidden="false" customHeight="false" outlineLevel="0" collapsed="false">
      <c r="A733" s="64"/>
      <c r="B733" s="65"/>
      <c r="C733" s="64"/>
      <c r="D733" s="64"/>
      <c r="E733" s="64"/>
      <c r="F733" s="64"/>
      <c r="G733" s="64"/>
      <c r="H733" s="66"/>
      <c r="I733" s="66"/>
      <c r="J733" s="64"/>
      <c r="K733" s="64"/>
      <c r="L733" s="64"/>
      <c r="M733" s="67" t="str">
        <f aca="false">IF(A733="","",IF(AND(B733&gt;=WeekStart,B733&lt;=WeekEnd),"Yes","No"))</f>
        <v/>
      </c>
      <c r="N733" s="67" t="str">
        <f aca="false">IF(A733="","",IF(L733&lt;&gt;"Verified","Not verified",IF(COUNTIFS(in_CGID,C733,in_ClientID,E733,in_Svc,G733)&gt;0,"Yes","Not entered")))</f>
        <v/>
      </c>
    </row>
    <row r="734" customFormat="false" ht="15" hidden="false" customHeight="false" outlineLevel="0" collapsed="false">
      <c r="A734" s="64"/>
      <c r="B734" s="65"/>
      <c r="C734" s="64"/>
      <c r="D734" s="64"/>
      <c r="E734" s="64"/>
      <c r="F734" s="64"/>
      <c r="G734" s="64"/>
      <c r="H734" s="66"/>
      <c r="I734" s="66"/>
      <c r="J734" s="64"/>
      <c r="K734" s="64"/>
      <c r="L734" s="64"/>
      <c r="M734" s="67" t="str">
        <f aca="false">IF(A734="","",IF(AND(B734&gt;=WeekStart,B734&lt;=WeekEnd),"Yes","No"))</f>
        <v/>
      </c>
      <c r="N734" s="67" t="str">
        <f aca="false">IF(A734="","",IF(L734&lt;&gt;"Verified","Not verified",IF(COUNTIFS(in_CGID,C734,in_ClientID,E734,in_Svc,G734)&gt;0,"Yes","Not entered")))</f>
        <v/>
      </c>
    </row>
    <row r="735" customFormat="false" ht="15" hidden="false" customHeight="false" outlineLevel="0" collapsed="false">
      <c r="A735" s="64"/>
      <c r="B735" s="65"/>
      <c r="C735" s="64"/>
      <c r="D735" s="64"/>
      <c r="E735" s="64"/>
      <c r="F735" s="64"/>
      <c r="G735" s="64"/>
      <c r="H735" s="66"/>
      <c r="I735" s="66"/>
      <c r="J735" s="64"/>
      <c r="K735" s="64"/>
      <c r="L735" s="64"/>
      <c r="M735" s="67" t="str">
        <f aca="false">IF(A735="","",IF(AND(B735&gt;=WeekStart,B735&lt;=WeekEnd),"Yes","No"))</f>
        <v/>
      </c>
      <c r="N735" s="67" t="str">
        <f aca="false">IF(A735="","",IF(L735&lt;&gt;"Verified","Not verified",IF(COUNTIFS(in_CGID,C735,in_ClientID,E735,in_Svc,G735)&gt;0,"Yes","Not entered")))</f>
        <v/>
      </c>
    </row>
    <row r="736" customFormat="false" ht="15" hidden="false" customHeight="false" outlineLevel="0" collapsed="false">
      <c r="A736" s="64"/>
      <c r="B736" s="65"/>
      <c r="C736" s="64"/>
      <c r="D736" s="64"/>
      <c r="E736" s="64"/>
      <c r="F736" s="64"/>
      <c r="G736" s="64"/>
      <c r="H736" s="66"/>
      <c r="I736" s="66"/>
      <c r="J736" s="64"/>
      <c r="K736" s="64"/>
      <c r="L736" s="64"/>
      <c r="M736" s="67" t="str">
        <f aca="false">IF(A736="","",IF(AND(B736&gt;=WeekStart,B736&lt;=WeekEnd),"Yes","No"))</f>
        <v/>
      </c>
      <c r="N736" s="67" t="str">
        <f aca="false">IF(A736="","",IF(L736&lt;&gt;"Verified","Not verified",IF(COUNTIFS(in_CGID,C736,in_ClientID,E736,in_Svc,G736)&gt;0,"Yes","Not entered")))</f>
        <v/>
      </c>
    </row>
    <row r="737" customFormat="false" ht="15" hidden="false" customHeight="false" outlineLevel="0" collapsed="false">
      <c r="A737" s="64"/>
      <c r="B737" s="65"/>
      <c r="C737" s="64"/>
      <c r="D737" s="64"/>
      <c r="E737" s="64"/>
      <c r="F737" s="64"/>
      <c r="G737" s="64"/>
      <c r="H737" s="66"/>
      <c r="I737" s="66"/>
      <c r="J737" s="64"/>
      <c r="K737" s="64"/>
      <c r="L737" s="64"/>
      <c r="M737" s="67" t="str">
        <f aca="false">IF(A737="","",IF(AND(B737&gt;=WeekStart,B737&lt;=WeekEnd),"Yes","No"))</f>
        <v/>
      </c>
      <c r="N737" s="67" t="str">
        <f aca="false">IF(A737="","",IF(L737&lt;&gt;"Verified","Not verified",IF(COUNTIFS(in_CGID,C737,in_ClientID,E737,in_Svc,G737)&gt;0,"Yes","Not entered")))</f>
        <v/>
      </c>
    </row>
    <row r="738" customFormat="false" ht="15" hidden="false" customHeight="false" outlineLevel="0" collapsed="false">
      <c r="A738" s="64"/>
      <c r="B738" s="65"/>
      <c r="C738" s="64"/>
      <c r="D738" s="64"/>
      <c r="E738" s="64"/>
      <c r="F738" s="64"/>
      <c r="G738" s="64"/>
      <c r="H738" s="66"/>
      <c r="I738" s="66"/>
      <c r="J738" s="64"/>
      <c r="K738" s="64"/>
      <c r="L738" s="64"/>
      <c r="M738" s="67" t="str">
        <f aca="false">IF(A738="","",IF(AND(B738&gt;=WeekStart,B738&lt;=WeekEnd),"Yes","No"))</f>
        <v/>
      </c>
      <c r="N738" s="67" t="str">
        <f aca="false">IF(A738="","",IF(L738&lt;&gt;"Verified","Not verified",IF(COUNTIFS(in_CGID,C738,in_ClientID,E738,in_Svc,G738)&gt;0,"Yes","Not entered")))</f>
        <v/>
      </c>
    </row>
    <row r="739" customFormat="false" ht="15" hidden="false" customHeight="false" outlineLevel="0" collapsed="false">
      <c r="A739" s="64"/>
      <c r="B739" s="65"/>
      <c r="C739" s="64"/>
      <c r="D739" s="64"/>
      <c r="E739" s="64"/>
      <c r="F739" s="64"/>
      <c r="G739" s="64"/>
      <c r="H739" s="66"/>
      <c r="I739" s="66"/>
      <c r="J739" s="64"/>
      <c r="K739" s="64"/>
      <c r="L739" s="64"/>
      <c r="M739" s="67" t="str">
        <f aca="false">IF(A739="","",IF(AND(B739&gt;=WeekStart,B739&lt;=WeekEnd),"Yes","No"))</f>
        <v/>
      </c>
      <c r="N739" s="67" t="str">
        <f aca="false">IF(A739="","",IF(L739&lt;&gt;"Verified","Not verified",IF(COUNTIFS(in_CGID,C739,in_ClientID,E739,in_Svc,G739)&gt;0,"Yes","Not entered")))</f>
        <v/>
      </c>
    </row>
    <row r="740" customFormat="false" ht="15" hidden="false" customHeight="false" outlineLevel="0" collapsed="false">
      <c r="A740" s="64"/>
      <c r="B740" s="65"/>
      <c r="C740" s="64"/>
      <c r="D740" s="64"/>
      <c r="E740" s="64"/>
      <c r="F740" s="64"/>
      <c r="G740" s="64"/>
      <c r="H740" s="66"/>
      <c r="I740" s="66"/>
      <c r="J740" s="64"/>
      <c r="K740" s="64"/>
      <c r="L740" s="64"/>
      <c r="M740" s="67" t="str">
        <f aca="false">IF(A740="","",IF(AND(B740&gt;=WeekStart,B740&lt;=WeekEnd),"Yes","No"))</f>
        <v/>
      </c>
      <c r="N740" s="67" t="str">
        <f aca="false">IF(A740="","",IF(L740&lt;&gt;"Verified","Not verified",IF(COUNTIFS(in_CGID,C740,in_ClientID,E740,in_Svc,G740)&gt;0,"Yes","Not entered")))</f>
        <v/>
      </c>
    </row>
    <row r="741" customFormat="false" ht="15" hidden="false" customHeight="false" outlineLevel="0" collapsed="false">
      <c r="A741" s="64"/>
      <c r="B741" s="65"/>
      <c r="C741" s="64"/>
      <c r="D741" s="64"/>
      <c r="E741" s="64"/>
      <c r="F741" s="64"/>
      <c r="G741" s="64"/>
      <c r="H741" s="66"/>
      <c r="I741" s="66"/>
      <c r="J741" s="64"/>
      <c r="K741" s="64"/>
      <c r="L741" s="64"/>
      <c r="M741" s="67" t="str">
        <f aca="false">IF(A741="","",IF(AND(B741&gt;=WeekStart,B741&lt;=WeekEnd),"Yes","No"))</f>
        <v/>
      </c>
      <c r="N741" s="67" t="str">
        <f aca="false">IF(A741="","",IF(L741&lt;&gt;"Verified","Not verified",IF(COUNTIFS(in_CGID,C741,in_ClientID,E741,in_Svc,G741)&gt;0,"Yes","Not entered")))</f>
        <v/>
      </c>
    </row>
    <row r="742" customFormat="false" ht="15" hidden="false" customHeight="false" outlineLevel="0" collapsed="false">
      <c r="A742" s="64"/>
      <c r="B742" s="65"/>
      <c r="C742" s="64"/>
      <c r="D742" s="64"/>
      <c r="E742" s="64"/>
      <c r="F742" s="64"/>
      <c r="G742" s="64"/>
      <c r="H742" s="66"/>
      <c r="I742" s="66"/>
      <c r="J742" s="64"/>
      <c r="K742" s="64"/>
      <c r="L742" s="64"/>
      <c r="M742" s="67" t="str">
        <f aca="false">IF(A742="","",IF(AND(B742&gt;=WeekStart,B742&lt;=WeekEnd),"Yes","No"))</f>
        <v/>
      </c>
      <c r="N742" s="67" t="str">
        <f aca="false">IF(A742="","",IF(L742&lt;&gt;"Verified","Not verified",IF(COUNTIFS(in_CGID,C742,in_ClientID,E742,in_Svc,G742)&gt;0,"Yes","Not entered")))</f>
        <v/>
      </c>
    </row>
    <row r="743" customFormat="false" ht="15" hidden="false" customHeight="false" outlineLevel="0" collapsed="false">
      <c r="A743" s="64"/>
      <c r="B743" s="65"/>
      <c r="C743" s="64"/>
      <c r="D743" s="64"/>
      <c r="E743" s="64"/>
      <c r="F743" s="64"/>
      <c r="G743" s="64"/>
      <c r="H743" s="66"/>
      <c r="I743" s="66"/>
      <c r="J743" s="64"/>
      <c r="K743" s="64"/>
      <c r="L743" s="64"/>
      <c r="M743" s="67" t="str">
        <f aca="false">IF(A743="","",IF(AND(B743&gt;=WeekStart,B743&lt;=WeekEnd),"Yes","No"))</f>
        <v/>
      </c>
      <c r="N743" s="67" t="str">
        <f aca="false">IF(A743="","",IF(L743&lt;&gt;"Verified","Not verified",IF(COUNTIFS(in_CGID,C743,in_ClientID,E743,in_Svc,G743)&gt;0,"Yes","Not entered")))</f>
        <v/>
      </c>
    </row>
    <row r="744" customFormat="false" ht="15" hidden="false" customHeight="false" outlineLevel="0" collapsed="false">
      <c r="A744" s="64"/>
      <c r="B744" s="65"/>
      <c r="C744" s="64"/>
      <c r="D744" s="64"/>
      <c r="E744" s="64"/>
      <c r="F744" s="64"/>
      <c r="G744" s="64"/>
      <c r="H744" s="66"/>
      <c r="I744" s="66"/>
      <c r="J744" s="64"/>
      <c r="K744" s="64"/>
      <c r="L744" s="64"/>
      <c r="M744" s="67" t="str">
        <f aca="false">IF(A744="","",IF(AND(B744&gt;=WeekStart,B744&lt;=WeekEnd),"Yes","No"))</f>
        <v/>
      </c>
      <c r="N744" s="67" t="str">
        <f aca="false">IF(A744="","",IF(L744&lt;&gt;"Verified","Not verified",IF(COUNTIFS(in_CGID,C744,in_ClientID,E744,in_Svc,G744)&gt;0,"Yes","Not entered")))</f>
        <v/>
      </c>
    </row>
    <row r="745" customFormat="false" ht="15" hidden="false" customHeight="false" outlineLevel="0" collapsed="false">
      <c r="A745" s="64"/>
      <c r="B745" s="65"/>
      <c r="C745" s="64"/>
      <c r="D745" s="64"/>
      <c r="E745" s="64"/>
      <c r="F745" s="64"/>
      <c r="G745" s="64"/>
      <c r="H745" s="66"/>
      <c r="I745" s="66"/>
      <c r="J745" s="64"/>
      <c r="K745" s="64"/>
      <c r="L745" s="64"/>
      <c r="M745" s="67" t="str">
        <f aca="false">IF(A745="","",IF(AND(B745&gt;=WeekStart,B745&lt;=WeekEnd),"Yes","No"))</f>
        <v/>
      </c>
      <c r="N745" s="67" t="str">
        <f aca="false">IF(A745="","",IF(L745&lt;&gt;"Verified","Not verified",IF(COUNTIFS(in_CGID,C745,in_ClientID,E745,in_Svc,G745)&gt;0,"Yes","Not entered")))</f>
        <v/>
      </c>
    </row>
    <row r="746" customFormat="false" ht="15" hidden="false" customHeight="false" outlineLevel="0" collapsed="false">
      <c r="A746" s="64"/>
      <c r="B746" s="65"/>
      <c r="C746" s="64"/>
      <c r="D746" s="64"/>
      <c r="E746" s="64"/>
      <c r="F746" s="64"/>
      <c r="G746" s="64"/>
      <c r="H746" s="66"/>
      <c r="I746" s="66"/>
      <c r="J746" s="64"/>
      <c r="K746" s="64"/>
      <c r="L746" s="64"/>
      <c r="M746" s="67" t="str">
        <f aca="false">IF(A746="","",IF(AND(B746&gt;=WeekStart,B746&lt;=WeekEnd),"Yes","No"))</f>
        <v/>
      </c>
      <c r="N746" s="67" t="str">
        <f aca="false">IF(A746="","",IF(L746&lt;&gt;"Verified","Not verified",IF(COUNTIFS(in_CGID,C746,in_ClientID,E746,in_Svc,G746)&gt;0,"Yes","Not entered")))</f>
        <v/>
      </c>
    </row>
    <row r="747" customFormat="false" ht="15" hidden="false" customHeight="false" outlineLevel="0" collapsed="false">
      <c r="A747" s="64"/>
      <c r="B747" s="65"/>
      <c r="C747" s="64"/>
      <c r="D747" s="64"/>
      <c r="E747" s="64"/>
      <c r="F747" s="64"/>
      <c r="G747" s="64"/>
      <c r="H747" s="66"/>
      <c r="I747" s="66"/>
      <c r="J747" s="64"/>
      <c r="K747" s="64"/>
      <c r="L747" s="64"/>
      <c r="M747" s="67" t="str">
        <f aca="false">IF(A747="","",IF(AND(B747&gt;=WeekStart,B747&lt;=WeekEnd),"Yes","No"))</f>
        <v/>
      </c>
      <c r="N747" s="67" t="str">
        <f aca="false">IF(A747="","",IF(L747&lt;&gt;"Verified","Not verified",IF(COUNTIFS(in_CGID,C747,in_ClientID,E747,in_Svc,G747)&gt;0,"Yes","Not entered")))</f>
        <v/>
      </c>
    </row>
    <row r="748" customFormat="false" ht="15" hidden="false" customHeight="false" outlineLevel="0" collapsed="false">
      <c r="A748" s="64"/>
      <c r="B748" s="65"/>
      <c r="C748" s="64"/>
      <c r="D748" s="64"/>
      <c r="E748" s="64"/>
      <c r="F748" s="64"/>
      <c r="G748" s="64"/>
      <c r="H748" s="66"/>
      <c r="I748" s="66"/>
      <c r="J748" s="64"/>
      <c r="K748" s="64"/>
      <c r="L748" s="64"/>
      <c r="M748" s="67" t="str">
        <f aca="false">IF(A748="","",IF(AND(B748&gt;=WeekStart,B748&lt;=WeekEnd),"Yes","No"))</f>
        <v/>
      </c>
      <c r="N748" s="67" t="str">
        <f aca="false">IF(A748="","",IF(L748&lt;&gt;"Verified","Not verified",IF(COUNTIFS(in_CGID,C748,in_ClientID,E748,in_Svc,G748)&gt;0,"Yes","Not entered")))</f>
        <v/>
      </c>
    </row>
    <row r="749" customFormat="false" ht="15" hidden="false" customHeight="false" outlineLevel="0" collapsed="false">
      <c r="A749" s="64"/>
      <c r="B749" s="65"/>
      <c r="C749" s="64"/>
      <c r="D749" s="64"/>
      <c r="E749" s="64"/>
      <c r="F749" s="64"/>
      <c r="G749" s="64"/>
      <c r="H749" s="66"/>
      <c r="I749" s="66"/>
      <c r="J749" s="64"/>
      <c r="K749" s="64"/>
      <c r="L749" s="64"/>
      <c r="M749" s="67" t="str">
        <f aca="false">IF(A749="","",IF(AND(B749&gt;=WeekStart,B749&lt;=WeekEnd),"Yes","No"))</f>
        <v/>
      </c>
      <c r="N749" s="67" t="str">
        <f aca="false">IF(A749="","",IF(L749&lt;&gt;"Verified","Not verified",IF(COUNTIFS(in_CGID,C749,in_ClientID,E749,in_Svc,G749)&gt;0,"Yes","Not entered")))</f>
        <v/>
      </c>
    </row>
    <row r="750" customFormat="false" ht="15" hidden="false" customHeight="false" outlineLevel="0" collapsed="false">
      <c r="A750" s="64"/>
      <c r="B750" s="65"/>
      <c r="C750" s="64"/>
      <c r="D750" s="64"/>
      <c r="E750" s="64"/>
      <c r="F750" s="64"/>
      <c r="G750" s="64"/>
      <c r="H750" s="66"/>
      <c r="I750" s="66"/>
      <c r="J750" s="64"/>
      <c r="K750" s="64"/>
      <c r="L750" s="64"/>
      <c r="M750" s="67" t="str">
        <f aca="false">IF(A750="","",IF(AND(B750&gt;=WeekStart,B750&lt;=WeekEnd),"Yes","No"))</f>
        <v/>
      </c>
      <c r="N750" s="67" t="str">
        <f aca="false">IF(A750="","",IF(L750&lt;&gt;"Verified","Not verified",IF(COUNTIFS(in_CGID,C750,in_ClientID,E750,in_Svc,G750)&gt;0,"Yes","Not entered")))</f>
        <v/>
      </c>
    </row>
    <row r="751" customFormat="false" ht="15" hidden="false" customHeight="false" outlineLevel="0" collapsed="false">
      <c r="A751" s="64"/>
      <c r="B751" s="65"/>
      <c r="C751" s="64"/>
      <c r="D751" s="64"/>
      <c r="E751" s="64"/>
      <c r="F751" s="64"/>
      <c r="G751" s="64"/>
      <c r="H751" s="66"/>
      <c r="I751" s="66"/>
      <c r="J751" s="64"/>
      <c r="K751" s="64"/>
      <c r="L751" s="64"/>
      <c r="M751" s="67" t="str">
        <f aca="false">IF(A751="","",IF(AND(B751&gt;=WeekStart,B751&lt;=WeekEnd),"Yes","No"))</f>
        <v/>
      </c>
      <c r="N751" s="67" t="str">
        <f aca="false">IF(A751="","",IF(L751&lt;&gt;"Verified","Not verified",IF(COUNTIFS(in_CGID,C751,in_ClientID,E751,in_Svc,G751)&gt;0,"Yes","Not entered")))</f>
        <v/>
      </c>
    </row>
    <row r="752" customFormat="false" ht="15" hidden="false" customHeight="false" outlineLevel="0" collapsed="false">
      <c r="A752" s="64"/>
      <c r="B752" s="65"/>
      <c r="C752" s="64"/>
      <c r="D752" s="64"/>
      <c r="E752" s="64"/>
      <c r="F752" s="64"/>
      <c r="G752" s="64"/>
      <c r="H752" s="66"/>
      <c r="I752" s="66"/>
      <c r="J752" s="64"/>
      <c r="K752" s="64"/>
      <c r="L752" s="64"/>
      <c r="M752" s="67" t="str">
        <f aca="false">IF(A752="","",IF(AND(B752&gt;=WeekStart,B752&lt;=WeekEnd),"Yes","No"))</f>
        <v/>
      </c>
      <c r="N752" s="67" t="str">
        <f aca="false">IF(A752="","",IF(L752&lt;&gt;"Verified","Not verified",IF(COUNTIFS(in_CGID,C752,in_ClientID,E752,in_Svc,G752)&gt;0,"Yes","Not entered")))</f>
        <v/>
      </c>
    </row>
    <row r="753" customFormat="false" ht="15" hidden="false" customHeight="false" outlineLevel="0" collapsed="false">
      <c r="A753" s="64"/>
      <c r="B753" s="65"/>
      <c r="C753" s="64"/>
      <c r="D753" s="64"/>
      <c r="E753" s="64"/>
      <c r="F753" s="64"/>
      <c r="G753" s="64"/>
      <c r="H753" s="66"/>
      <c r="I753" s="66"/>
      <c r="J753" s="64"/>
      <c r="K753" s="64"/>
      <c r="L753" s="64"/>
      <c r="M753" s="67" t="str">
        <f aca="false">IF(A753="","",IF(AND(B753&gt;=WeekStart,B753&lt;=WeekEnd),"Yes","No"))</f>
        <v/>
      </c>
      <c r="N753" s="67" t="str">
        <f aca="false">IF(A753="","",IF(L753&lt;&gt;"Verified","Not verified",IF(COUNTIFS(in_CGID,C753,in_ClientID,E753,in_Svc,G753)&gt;0,"Yes","Not entered")))</f>
        <v/>
      </c>
    </row>
    <row r="754" customFormat="false" ht="15" hidden="false" customHeight="false" outlineLevel="0" collapsed="false">
      <c r="A754" s="64"/>
      <c r="B754" s="65"/>
      <c r="C754" s="64"/>
      <c r="D754" s="64"/>
      <c r="E754" s="64"/>
      <c r="F754" s="64"/>
      <c r="G754" s="64"/>
      <c r="H754" s="66"/>
      <c r="I754" s="66"/>
      <c r="J754" s="64"/>
      <c r="K754" s="64"/>
      <c r="L754" s="64"/>
      <c r="M754" s="67" t="str">
        <f aca="false">IF(A754="","",IF(AND(B754&gt;=WeekStart,B754&lt;=WeekEnd),"Yes","No"))</f>
        <v/>
      </c>
      <c r="N754" s="67" t="str">
        <f aca="false">IF(A754="","",IF(L754&lt;&gt;"Verified","Not verified",IF(COUNTIFS(in_CGID,C754,in_ClientID,E754,in_Svc,G754)&gt;0,"Yes","Not entered")))</f>
        <v/>
      </c>
    </row>
    <row r="755" customFormat="false" ht="15" hidden="false" customHeight="false" outlineLevel="0" collapsed="false">
      <c r="A755" s="64"/>
      <c r="B755" s="65"/>
      <c r="C755" s="64"/>
      <c r="D755" s="64"/>
      <c r="E755" s="64"/>
      <c r="F755" s="64"/>
      <c r="G755" s="64"/>
      <c r="H755" s="66"/>
      <c r="I755" s="66"/>
      <c r="J755" s="64"/>
      <c r="K755" s="64"/>
      <c r="L755" s="64"/>
      <c r="M755" s="67" t="str">
        <f aca="false">IF(A755="","",IF(AND(B755&gt;=WeekStart,B755&lt;=WeekEnd),"Yes","No"))</f>
        <v/>
      </c>
      <c r="N755" s="67" t="str">
        <f aca="false">IF(A755="","",IF(L755&lt;&gt;"Verified","Not verified",IF(COUNTIFS(in_CGID,C755,in_ClientID,E755,in_Svc,G755)&gt;0,"Yes","Not entered")))</f>
        <v/>
      </c>
    </row>
    <row r="756" customFormat="false" ht="15" hidden="false" customHeight="false" outlineLevel="0" collapsed="false">
      <c r="A756" s="64"/>
      <c r="B756" s="65"/>
      <c r="C756" s="64"/>
      <c r="D756" s="64"/>
      <c r="E756" s="64"/>
      <c r="F756" s="64"/>
      <c r="G756" s="64"/>
      <c r="H756" s="66"/>
      <c r="I756" s="66"/>
      <c r="J756" s="64"/>
      <c r="K756" s="64"/>
      <c r="L756" s="64"/>
      <c r="M756" s="67" t="str">
        <f aca="false">IF(A756="","",IF(AND(B756&gt;=WeekStart,B756&lt;=WeekEnd),"Yes","No"))</f>
        <v/>
      </c>
      <c r="N756" s="67" t="str">
        <f aca="false">IF(A756="","",IF(L756&lt;&gt;"Verified","Not verified",IF(COUNTIFS(in_CGID,C756,in_ClientID,E756,in_Svc,G756)&gt;0,"Yes","Not entered")))</f>
        <v/>
      </c>
    </row>
    <row r="757" customFormat="false" ht="15" hidden="false" customHeight="false" outlineLevel="0" collapsed="false">
      <c r="A757" s="64"/>
      <c r="B757" s="65"/>
      <c r="C757" s="64"/>
      <c r="D757" s="64"/>
      <c r="E757" s="64"/>
      <c r="F757" s="64"/>
      <c r="G757" s="64"/>
      <c r="H757" s="66"/>
      <c r="I757" s="66"/>
      <c r="J757" s="64"/>
      <c r="K757" s="64"/>
      <c r="L757" s="64"/>
      <c r="M757" s="67" t="str">
        <f aca="false">IF(A757="","",IF(AND(B757&gt;=WeekStart,B757&lt;=WeekEnd),"Yes","No"))</f>
        <v/>
      </c>
      <c r="N757" s="67" t="str">
        <f aca="false">IF(A757="","",IF(L757&lt;&gt;"Verified","Not verified",IF(COUNTIFS(in_CGID,C757,in_ClientID,E757,in_Svc,G757)&gt;0,"Yes","Not entered")))</f>
        <v/>
      </c>
    </row>
    <row r="758" customFormat="false" ht="15" hidden="false" customHeight="false" outlineLevel="0" collapsed="false">
      <c r="A758" s="64"/>
      <c r="B758" s="65"/>
      <c r="C758" s="64"/>
      <c r="D758" s="64"/>
      <c r="E758" s="64"/>
      <c r="F758" s="64"/>
      <c r="G758" s="64"/>
      <c r="H758" s="66"/>
      <c r="I758" s="66"/>
      <c r="J758" s="64"/>
      <c r="K758" s="64"/>
      <c r="L758" s="64"/>
      <c r="M758" s="67" t="str">
        <f aca="false">IF(A758="","",IF(AND(B758&gt;=WeekStart,B758&lt;=WeekEnd),"Yes","No"))</f>
        <v/>
      </c>
      <c r="N758" s="67" t="str">
        <f aca="false">IF(A758="","",IF(L758&lt;&gt;"Verified","Not verified",IF(COUNTIFS(in_CGID,C758,in_ClientID,E758,in_Svc,G758)&gt;0,"Yes","Not entered")))</f>
        <v/>
      </c>
    </row>
    <row r="759" customFormat="false" ht="15" hidden="false" customHeight="false" outlineLevel="0" collapsed="false">
      <c r="A759" s="64"/>
      <c r="B759" s="65"/>
      <c r="C759" s="64"/>
      <c r="D759" s="64"/>
      <c r="E759" s="64"/>
      <c r="F759" s="64"/>
      <c r="G759" s="64"/>
      <c r="H759" s="66"/>
      <c r="I759" s="66"/>
      <c r="J759" s="64"/>
      <c r="K759" s="64"/>
      <c r="L759" s="64"/>
      <c r="M759" s="67" t="str">
        <f aca="false">IF(A759="","",IF(AND(B759&gt;=WeekStart,B759&lt;=WeekEnd),"Yes","No"))</f>
        <v/>
      </c>
      <c r="N759" s="67" t="str">
        <f aca="false">IF(A759="","",IF(L759&lt;&gt;"Verified","Not verified",IF(COUNTIFS(in_CGID,C759,in_ClientID,E759,in_Svc,G759)&gt;0,"Yes","Not entered")))</f>
        <v/>
      </c>
    </row>
    <row r="760" customFormat="false" ht="15" hidden="false" customHeight="false" outlineLevel="0" collapsed="false">
      <c r="A760" s="64"/>
      <c r="B760" s="65"/>
      <c r="C760" s="64"/>
      <c r="D760" s="64"/>
      <c r="E760" s="64"/>
      <c r="F760" s="64"/>
      <c r="G760" s="64"/>
      <c r="H760" s="66"/>
      <c r="I760" s="66"/>
      <c r="J760" s="64"/>
      <c r="K760" s="64"/>
      <c r="L760" s="64"/>
      <c r="M760" s="67" t="str">
        <f aca="false">IF(A760="","",IF(AND(B760&gt;=WeekStart,B760&lt;=WeekEnd),"Yes","No"))</f>
        <v/>
      </c>
      <c r="N760" s="67" t="str">
        <f aca="false">IF(A760="","",IF(L760&lt;&gt;"Verified","Not verified",IF(COUNTIFS(in_CGID,C760,in_ClientID,E760,in_Svc,G760)&gt;0,"Yes","Not entered")))</f>
        <v/>
      </c>
    </row>
    <row r="761" customFormat="false" ht="15" hidden="false" customHeight="false" outlineLevel="0" collapsed="false">
      <c r="A761" s="64"/>
      <c r="B761" s="65"/>
      <c r="C761" s="64"/>
      <c r="D761" s="64"/>
      <c r="E761" s="64"/>
      <c r="F761" s="64"/>
      <c r="G761" s="64"/>
      <c r="H761" s="66"/>
      <c r="I761" s="66"/>
      <c r="J761" s="64"/>
      <c r="K761" s="64"/>
      <c r="L761" s="64"/>
      <c r="M761" s="67" t="str">
        <f aca="false">IF(A761="","",IF(AND(B761&gt;=WeekStart,B761&lt;=WeekEnd),"Yes","No"))</f>
        <v/>
      </c>
      <c r="N761" s="67" t="str">
        <f aca="false">IF(A761="","",IF(L761&lt;&gt;"Verified","Not verified",IF(COUNTIFS(in_CGID,C761,in_ClientID,E761,in_Svc,G761)&gt;0,"Yes","Not entered")))</f>
        <v/>
      </c>
    </row>
    <row r="762" customFormat="false" ht="15" hidden="false" customHeight="false" outlineLevel="0" collapsed="false">
      <c r="A762" s="64"/>
      <c r="B762" s="65"/>
      <c r="C762" s="64"/>
      <c r="D762" s="64"/>
      <c r="E762" s="64"/>
      <c r="F762" s="64"/>
      <c r="G762" s="64"/>
      <c r="H762" s="66"/>
      <c r="I762" s="66"/>
      <c r="J762" s="64"/>
      <c r="K762" s="64"/>
      <c r="L762" s="64"/>
      <c r="M762" s="67" t="str">
        <f aca="false">IF(A762="","",IF(AND(B762&gt;=WeekStart,B762&lt;=WeekEnd),"Yes","No"))</f>
        <v/>
      </c>
      <c r="N762" s="67" t="str">
        <f aca="false">IF(A762="","",IF(L762&lt;&gt;"Verified","Not verified",IF(COUNTIFS(in_CGID,C762,in_ClientID,E762,in_Svc,G762)&gt;0,"Yes","Not entered")))</f>
        <v/>
      </c>
    </row>
    <row r="763" customFormat="false" ht="15" hidden="false" customHeight="false" outlineLevel="0" collapsed="false">
      <c r="A763" s="64"/>
      <c r="B763" s="65"/>
      <c r="C763" s="64"/>
      <c r="D763" s="64"/>
      <c r="E763" s="64"/>
      <c r="F763" s="64"/>
      <c r="G763" s="64"/>
      <c r="H763" s="66"/>
      <c r="I763" s="66"/>
      <c r="J763" s="64"/>
      <c r="K763" s="64"/>
      <c r="L763" s="64"/>
      <c r="M763" s="67" t="str">
        <f aca="false">IF(A763="","",IF(AND(B763&gt;=WeekStart,B763&lt;=WeekEnd),"Yes","No"))</f>
        <v/>
      </c>
      <c r="N763" s="67" t="str">
        <f aca="false">IF(A763="","",IF(L763&lt;&gt;"Verified","Not verified",IF(COUNTIFS(in_CGID,C763,in_ClientID,E763,in_Svc,G763)&gt;0,"Yes","Not entered")))</f>
        <v/>
      </c>
    </row>
    <row r="764" customFormat="false" ht="15" hidden="false" customHeight="false" outlineLevel="0" collapsed="false">
      <c r="A764" s="64"/>
      <c r="B764" s="65"/>
      <c r="C764" s="64"/>
      <c r="D764" s="64"/>
      <c r="E764" s="64"/>
      <c r="F764" s="64"/>
      <c r="G764" s="64"/>
      <c r="H764" s="66"/>
      <c r="I764" s="66"/>
      <c r="J764" s="64"/>
      <c r="K764" s="64"/>
      <c r="L764" s="64"/>
      <c r="M764" s="67" t="str">
        <f aca="false">IF(A764="","",IF(AND(B764&gt;=WeekStart,B764&lt;=WeekEnd),"Yes","No"))</f>
        <v/>
      </c>
      <c r="N764" s="67" t="str">
        <f aca="false">IF(A764="","",IF(L764&lt;&gt;"Verified","Not verified",IF(COUNTIFS(in_CGID,C764,in_ClientID,E764,in_Svc,G764)&gt;0,"Yes","Not entered")))</f>
        <v/>
      </c>
    </row>
    <row r="765" customFormat="false" ht="15" hidden="false" customHeight="false" outlineLevel="0" collapsed="false">
      <c r="A765" s="64"/>
      <c r="B765" s="65"/>
      <c r="C765" s="64"/>
      <c r="D765" s="64"/>
      <c r="E765" s="64"/>
      <c r="F765" s="64"/>
      <c r="G765" s="64"/>
      <c r="H765" s="66"/>
      <c r="I765" s="66"/>
      <c r="J765" s="64"/>
      <c r="K765" s="64"/>
      <c r="L765" s="64"/>
      <c r="M765" s="67" t="str">
        <f aca="false">IF(A765="","",IF(AND(B765&gt;=WeekStart,B765&lt;=WeekEnd),"Yes","No"))</f>
        <v/>
      </c>
      <c r="N765" s="67" t="str">
        <f aca="false">IF(A765="","",IF(L765&lt;&gt;"Verified","Not verified",IF(COUNTIFS(in_CGID,C765,in_ClientID,E765,in_Svc,G765)&gt;0,"Yes","Not entered")))</f>
        <v/>
      </c>
    </row>
    <row r="766" customFormat="false" ht="15" hidden="false" customHeight="false" outlineLevel="0" collapsed="false">
      <c r="A766" s="64"/>
      <c r="B766" s="65"/>
      <c r="C766" s="64"/>
      <c r="D766" s="64"/>
      <c r="E766" s="64"/>
      <c r="F766" s="64"/>
      <c r="G766" s="64"/>
      <c r="H766" s="66"/>
      <c r="I766" s="66"/>
      <c r="J766" s="64"/>
      <c r="K766" s="64"/>
      <c r="L766" s="64"/>
      <c r="M766" s="67" t="str">
        <f aca="false">IF(A766="","",IF(AND(B766&gt;=WeekStart,B766&lt;=WeekEnd),"Yes","No"))</f>
        <v/>
      </c>
      <c r="N766" s="67" t="str">
        <f aca="false">IF(A766="","",IF(L766&lt;&gt;"Verified","Not verified",IF(COUNTIFS(in_CGID,C766,in_ClientID,E766,in_Svc,G766)&gt;0,"Yes","Not entered")))</f>
        <v/>
      </c>
    </row>
    <row r="767" customFormat="false" ht="15" hidden="false" customHeight="false" outlineLevel="0" collapsed="false">
      <c r="A767" s="64"/>
      <c r="B767" s="65"/>
      <c r="C767" s="64"/>
      <c r="D767" s="64"/>
      <c r="E767" s="64"/>
      <c r="F767" s="64"/>
      <c r="G767" s="64"/>
      <c r="H767" s="66"/>
      <c r="I767" s="66"/>
      <c r="J767" s="64"/>
      <c r="K767" s="64"/>
      <c r="L767" s="64"/>
      <c r="M767" s="67" t="str">
        <f aca="false">IF(A767="","",IF(AND(B767&gt;=WeekStart,B767&lt;=WeekEnd),"Yes","No"))</f>
        <v/>
      </c>
      <c r="N767" s="67" t="str">
        <f aca="false">IF(A767="","",IF(L767&lt;&gt;"Verified","Not verified",IF(COUNTIFS(in_CGID,C767,in_ClientID,E767,in_Svc,G767)&gt;0,"Yes","Not entered")))</f>
        <v/>
      </c>
    </row>
    <row r="768" customFormat="false" ht="15" hidden="false" customHeight="false" outlineLevel="0" collapsed="false">
      <c r="A768" s="64"/>
      <c r="B768" s="65"/>
      <c r="C768" s="64"/>
      <c r="D768" s="64"/>
      <c r="E768" s="64"/>
      <c r="F768" s="64"/>
      <c r="G768" s="64"/>
      <c r="H768" s="66"/>
      <c r="I768" s="66"/>
      <c r="J768" s="64"/>
      <c r="K768" s="64"/>
      <c r="L768" s="64"/>
      <c r="M768" s="67" t="str">
        <f aca="false">IF(A768="","",IF(AND(B768&gt;=WeekStart,B768&lt;=WeekEnd),"Yes","No"))</f>
        <v/>
      </c>
      <c r="N768" s="67" t="str">
        <f aca="false">IF(A768="","",IF(L768&lt;&gt;"Verified","Not verified",IF(COUNTIFS(in_CGID,C768,in_ClientID,E768,in_Svc,G768)&gt;0,"Yes","Not entered")))</f>
        <v/>
      </c>
    </row>
    <row r="769" customFormat="false" ht="15" hidden="false" customHeight="false" outlineLevel="0" collapsed="false">
      <c r="A769" s="64"/>
      <c r="B769" s="65"/>
      <c r="C769" s="64"/>
      <c r="D769" s="64"/>
      <c r="E769" s="64"/>
      <c r="F769" s="64"/>
      <c r="G769" s="64"/>
      <c r="H769" s="66"/>
      <c r="I769" s="66"/>
      <c r="J769" s="64"/>
      <c r="K769" s="64"/>
      <c r="L769" s="64"/>
      <c r="M769" s="67" t="str">
        <f aca="false">IF(A769="","",IF(AND(B769&gt;=WeekStart,B769&lt;=WeekEnd),"Yes","No"))</f>
        <v/>
      </c>
      <c r="N769" s="67" t="str">
        <f aca="false">IF(A769="","",IF(L769&lt;&gt;"Verified","Not verified",IF(COUNTIFS(in_CGID,C769,in_ClientID,E769,in_Svc,G769)&gt;0,"Yes","Not entered")))</f>
        <v/>
      </c>
    </row>
    <row r="770" customFormat="false" ht="15" hidden="false" customHeight="false" outlineLevel="0" collapsed="false">
      <c r="A770" s="64"/>
      <c r="B770" s="65"/>
      <c r="C770" s="64"/>
      <c r="D770" s="64"/>
      <c r="E770" s="64"/>
      <c r="F770" s="64"/>
      <c r="G770" s="64"/>
      <c r="H770" s="66"/>
      <c r="I770" s="66"/>
      <c r="J770" s="64"/>
      <c r="K770" s="64"/>
      <c r="L770" s="64"/>
      <c r="M770" s="67" t="str">
        <f aca="false">IF(A770="","",IF(AND(B770&gt;=WeekStart,B770&lt;=WeekEnd),"Yes","No"))</f>
        <v/>
      </c>
      <c r="N770" s="67" t="str">
        <f aca="false">IF(A770="","",IF(L770&lt;&gt;"Verified","Not verified",IF(COUNTIFS(in_CGID,C770,in_ClientID,E770,in_Svc,G770)&gt;0,"Yes","Not entered")))</f>
        <v/>
      </c>
    </row>
    <row r="771" customFormat="false" ht="15" hidden="false" customHeight="false" outlineLevel="0" collapsed="false">
      <c r="A771" s="64"/>
      <c r="B771" s="65"/>
      <c r="C771" s="64"/>
      <c r="D771" s="64"/>
      <c r="E771" s="64"/>
      <c r="F771" s="64"/>
      <c r="G771" s="64"/>
      <c r="H771" s="66"/>
      <c r="I771" s="66"/>
      <c r="J771" s="64"/>
      <c r="K771" s="64"/>
      <c r="L771" s="64"/>
      <c r="M771" s="67" t="str">
        <f aca="false">IF(A771="","",IF(AND(B771&gt;=WeekStart,B771&lt;=WeekEnd),"Yes","No"))</f>
        <v/>
      </c>
      <c r="N771" s="67" t="str">
        <f aca="false">IF(A771="","",IF(L771&lt;&gt;"Verified","Not verified",IF(COUNTIFS(in_CGID,C771,in_ClientID,E771,in_Svc,G771)&gt;0,"Yes","Not entered")))</f>
        <v/>
      </c>
    </row>
    <row r="772" customFormat="false" ht="15" hidden="false" customHeight="false" outlineLevel="0" collapsed="false">
      <c r="A772" s="64"/>
      <c r="B772" s="65"/>
      <c r="C772" s="64"/>
      <c r="D772" s="64"/>
      <c r="E772" s="64"/>
      <c r="F772" s="64"/>
      <c r="G772" s="64"/>
      <c r="H772" s="66"/>
      <c r="I772" s="66"/>
      <c r="J772" s="64"/>
      <c r="K772" s="64"/>
      <c r="L772" s="64"/>
      <c r="M772" s="67" t="str">
        <f aca="false">IF(A772="","",IF(AND(B772&gt;=WeekStart,B772&lt;=WeekEnd),"Yes","No"))</f>
        <v/>
      </c>
      <c r="N772" s="67" t="str">
        <f aca="false">IF(A772="","",IF(L772&lt;&gt;"Verified","Not verified",IF(COUNTIFS(in_CGID,C772,in_ClientID,E772,in_Svc,G772)&gt;0,"Yes","Not entered")))</f>
        <v/>
      </c>
    </row>
    <row r="773" customFormat="false" ht="15" hidden="false" customHeight="false" outlineLevel="0" collapsed="false">
      <c r="A773" s="64"/>
      <c r="B773" s="65"/>
      <c r="C773" s="64"/>
      <c r="D773" s="64"/>
      <c r="E773" s="64"/>
      <c r="F773" s="64"/>
      <c r="G773" s="64"/>
      <c r="H773" s="66"/>
      <c r="I773" s="66"/>
      <c r="J773" s="64"/>
      <c r="K773" s="64"/>
      <c r="L773" s="64"/>
      <c r="M773" s="67" t="str">
        <f aca="false">IF(A773="","",IF(AND(B773&gt;=WeekStart,B773&lt;=WeekEnd),"Yes","No"))</f>
        <v/>
      </c>
      <c r="N773" s="67" t="str">
        <f aca="false">IF(A773="","",IF(L773&lt;&gt;"Verified","Not verified",IF(COUNTIFS(in_CGID,C773,in_ClientID,E773,in_Svc,G773)&gt;0,"Yes","Not entered")))</f>
        <v/>
      </c>
    </row>
    <row r="774" customFormat="false" ht="15" hidden="false" customHeight="false" outlineLevel="0" collapsed="false">
      <c r="A774" s="64"/>
      <c r="B774" s="65"/>
      <c r="C774" s="64"/>
      <c r="D774" s="64"/>
      <c r="E774" s="64"/>
      <c r="F774" s="64"/>
      <c r="G774" s="64"/>
      <c r="H774" s="66"/>
      <c r="I774" s="66"/>
      <c r="J774" s="64"/>
      <c r="K774" s="64"/>
      <c r="L774" s="64"/>
      <c r="M774" s="67" t="str">
        <f aca="false">IF(A774="","",IF(AND(B774&gt;=WeekStart,B774&lt;=WeekEnd),"Yes","No"))</f>
        <v/>
      </c>
      <c r="N774" s="67" t="str">
        <f aca="false">IF(A774="","",IF(L774&lt;&gt;"Verified","Not verified",IF(COUNTIFS(in_CGID,C774,in_ClientID,E774,in_Svc,G774)&gt;0,"Yes","Not entered")))</f>
        <v/>
      </c>
    </row>
    <row r="775" customFormat="false" ht="15" hidden="false" customHeight="false" outlineLevel="0" collapsed="false">
      <c r="A775" s="64"/>
      <c r="B775" s="65"/>
      <c r="C775" s="64"/>
      <c r="D775" s="64"/>
      <c r="E775" s="64"/>
      <c r="F775" s="64"/>
      <c r="G775" s="64"/>
      <c r="H775" s="66"/>
      <c r="I775" s="66"/>
      <c r="J775" s="64"/>
      <c r="K775" s="64"/>
      <c r="L775" s="64"/>
      <c r="M775" s="67" t="str">
        <f aca="false">IF(A775="","",IF(AND(B775&gt;=WeekStart,B775&lt;=WeekEnd),"Yes","No"))</f>
        <v/>
      </c>
      <c r="N775" s="67" t="str">
        <f aca="false">IF(A775="","",IF(L775&lt;&gt;"Verified","Not verified",IF(COUNTIFS(in_CGID,C775,in_ClientID,E775,in_Svc,G775)&gt;0,"Yes","Not entered")))</f>
        <v/>
      </c>
    </row>
    <row r="776" customFormat="false" ht="15" hidden="false" customHeight="false" outlineLevel="0" collapsed="false">
      <c r="A776" s="64"/>
      <c r="B776" s="65"/>
      <c r="C776" s="64"/>
      <c r="D776" s="64"/>
      <c r="E776" s="64"/>
      <c r="F776" s="64"/>
      <c r="G776" s="64"/>
      <c r="H776" s="66"/>
      <c r="I776" s="66"/>
      <c r="J776" s="64"/>
      <c r="K776" s="64"/>
      <c r="L776" s="64"/>
      <c r="M776" s="67" t="str">
        <f aca="false">IF(A776="","",IF(AND(B776&gt;=WeekStart,B776&lt;=WeekEnd),"Yes","No"))</f>
        <v/>
      </c>
      <c r="N776" s="67" t="str">
        <f aca="false">IF(A776="","",IF(L776&lt;&gt;"Verified","Not verified",IF(COUNTIFS(in_CGID,C776,in_ClientID,E776,in_Svc,G776)&gt;0,"Yes","Not entered")))</f>
        <v/>
      </c>
    </row>
    <row r="777" customFormat="false" ht="15" hidden="false" customHeight="false" outlineLevel="0" collapsed="false">
      <c r="A777" s="64"/>
      <c r="B777" s="65"/>
      <c r="C777" s="64"/>
      <c r="D777" s="64"/>
      <c r="E777" s="64"/>
      <c r="F777" s="64"/>
      <c r="G777" s="64"/>
      <c r="H777" s="66"/>
      <c r="I777" s="66"/>
      <c r="J777" s="64"/>
      <c r="K777" s="64"/>
      <c r="L777" s="64"/>
      <c r="M777" s="67" t="str">
        <f aca="false">IF(A777="","",IF(AND(B777&gt;=WeekStart,B777&lt;=WeekEnd),"Yes","No"))</f>
        <v/>
      </c>
      <c r="N777" s="67" t="str">
        <f aca="false">IF(A777="","",IF(L777&lt;&gt;"Verified","Not verified",IF(COUNTIFS(in_CGID,C777,in_ClientID,E777,in_Svc,G777)&gt;0,"Yes","Not entered")))</f>
        <v/>
      </c>
    </row>
    <row r="778" customFormat="false" ht="15" hidden="false" customHeight="false" outlineLevel="0" collapsed="false">
      <c r="A778" s="64"/>
      <c r="B778" s="65"/>
      <c r="C778" s="64"/>
      <c r="D778" s="64"/>
      <c r="E778" s="64"/>
      <c r="F778" s="64"/>
      <c r="G778" s="64"/>
      <c r="H778" s="66"/>
      <c r="I778" s="66"/>
      <c r="J778" s="64"/>
      <c r="K778" s="64"/>
      <c r="L778" s="64"/>
      <c r="M778" s="67" t="str">
        <f aca="false">IF(A778="","",IF(AND(B778&gt;=WeekStart,B778&lt;=WeekEnd),"Yes","No"))</f>
        <v/>
      </c>
      <c r="N778" s="67" t="str">
        <f aca="false">IF(A778="","",IF(L778&lt;&gt;"Verified","Not verified",IF(COUNTIFS(in_CGID,C778,in_ClientID,E778,in_Svc,G778)&gt;0,"Yes","Not entered")))</f>
        <v/>
      </c>
    </row>
    <row r="779" customFormat="false" ht="15" hidden="false" customHeight="false" outlineLevel="0" collapsed="false">
      <c r="A779" s="64"/>
      <c r="B779" s="65"/>
      <c r="C779" s="64"/>
      <c r="D779" s="64"/>
      <c r="E779" s="64"/>
      <c r="F779" s="64"/>
      <c r="G779" s="64"/>
      <c r="H779" s="66"/>
      <c r="I779" s="66"/>
      <c r="J779" s="64"/>
      <c r="K779" s="64"/>
      <c r="L779" s="64"/>
      <c r="M779" s="67" t="str">
        <f aca="false">IF(A779="","",IF(AND(B779&gt;=WeekStart,B779&lt;=WeekEnd),"Yes","No"))</f>
        <v/>
      </c>
      <c r="N779" s="67" t="str">
        <f aca="false">IF(A779="","",IF(L779&lt;&gt;"Verified","Not verified",IF(COUNTIFS(in_CGID,C779,in_ClientID,E779,in_Svc,G779)&gt;0,"Yes","Not entered")))</f>
        <v/>
      </c>
    </row>
    <row r="780" customFormat="false" ht="15" hidden="false" customHeight="false" outlineLevel="0" collapsed="false">
      <c r="A780" s="64"/>
      <c r="B780" s="65"/>
      <c r="C780" s="64"/>
      <c r="D780" s="64"/>
      <c r="E780" s="64"/>
      <c r="F780" s="64"/>
      <c r="G780" s="64"/>
      <c r="H780" s="66"/>
      <c r="I780" s="66"/>
      <c r="J780" s="64"/>
      <c r="K780" s="64"/>
      <c r="L780" s="64"/>
      <c r="M780" s="67" t="str">
        <f aca="false">IF(A780="","",IF(AND(B780&gt;=WeekStart,B780&lt;=WeekEnd),"Yes","No"))</f>
        <v/>
      </c>
      <c r="N780" s="67" t="str">
        <f aca="false">IF(A780="","",IF(L780&lt;&gt;"Verified","Not verified",IF(COUNTIFS(in_CGID,C780,in_ClientID,E780,in_Svc,G780)&gt;0,"Yes","Not entered")))</f>
        <v/>
      </c>
    </row>
    <row r="781" customFormat="false" ht="15" hidden="false" customHeight="false" outlineLevel="0" collapsed="false">
      <c r="A781" s="64"/>
      <c r="B781" s="65"/>
      <c r="C781" s="64"/>
      <c r="D781" s="64"/>
      <c r="E781" s="64"/>
      <c r="F781" s="64"/>
      <c r="G781" s="64"/>
      <c r="H781" s="66"/>
      <c r="I781" s="66"/>
      <c r="J781" s="64"/>
      <c r="K781" s="64"/>
      <c r="L781" s="64"/>
      <c r="M781" s="67" t="str">
        <f aca="false">IF(A781="","",IF(AND(B781&gt;=WeekStart,B781&lt;=WeekEnd),"Yes","No"))</f>
        <v/>
      </c>
      <c r="N781" s="67" t="str">
        <f aca="false">IF(A781="","",IF(L781&lt;&gt;"Verified","Not verified",IF(COUNTIFS(in_CGID,C781,in_ClientID,E781,in_Svc,G781)&gt;0,"Yes","Not entered")))</f>
        <v/>
      </c>
    </row>
    <row r="782" customFormat="false" ht="15" hidden="false" customHeight="false" outlineLevel="0" collapsed="false">
      <c r="A782" s="64"/>
      <c r="B782" s="65"/>
      <c r="C782" s="64"/>
      <c r="D782" s="64"/>
      <c r="E782" s="64"/>
      <c r="F782" s="64"/>
      <c r="G782" s="64"/>
      <c r="H782" s="66"/>
      <c r="I782" s="66"/>
      <c r="J782" s="64"/>
      <c r="K782" s="64"/>
      <c r="L782" s="64"/>
      <c r="M782" s="67" t="str">
        <f aca="false">IF(A782="","",IF(AND(B782&gt;=WeekStart,B782&lt;=WeekEnd),"Yes","No"))</f>
        <v/>
      </c>
      <c r="N782" s="67" t="str">
        <f aca="false">IF(A782="","",IF(L782&lt;&gt;"Verified","Not verified",IF(COUNTIFS(in_CGID,C782,in_ClientID,E782,in_Svc,G782)&gt;0,"Yes","Not entered")))</f>
        <v/>
      </c>
    </row>
    <row r="783" customFormat="false" ht="15" hidden="false" customHeight="false" outlineLevel="0" collapsed="false">
      <c r="A783" s="64"/>
      <c r="B783" s="65"/>
      <c r="C783" s="64"/>
      <c r="D783" s="64"/>
      <c r="E783" s="64"/>
      <c r="F783" s="64"/>
      <c r="G783" s="64"/>
      <c r="H783" s="66"/>
      <c r="I783" s="66"/>
      <c r="J783" s="64"/>
      <c r="K783" s="64"/>
      <c r="L783" s="64"/>
      <c r="M783" s="67" t="str">
        <f aca="false">IF(A783="","",IF(AND(B783&gt;=WeekStart,B783&lt;=WeekEnd),"Yes","No"))</f>
        <v/>
      </c>
      <c r="N783" s="67" t="str">
        <f aca="false">IF(A783="","",IF(L783&lt;&gt;"Verified","Not verified",IF(COUNTIFS(in_CGID,C783,in_ClientID,E783,in_Svc,G783)&gt;0,"Yes","Not entered")))</f>
        <v/>
      </c>
    </row>
    <row r="784" customFormat="false" ht="15" hidden="false" customHeight="false" outlineLevel="0" collapsed="false">
      <c r="A784" s="64"/>
      <c r="B784" s="65"/>
      <c r="C784" s="64"/>
      <c r="D784" s="64"/>
      <c r="E784" s="64"/>
      <c r="F784" s="64"/>
      <c r="G784" s="64"/>
      <c r="H784" s="66"/>
      <c r="I784" s="66"/>
      <c r="J784" s="64"/>
      <c r="K784" s="64"/>
      <c r="L784" s="64"/>
      <c r="M784" s="67" t="str">
        <f aca="false">IF(A784="","",IF(AND(B784&gt;=WeekStart,B784&lt;=WeekEnd),"Yes","No"))</f>
        <v/>
      </c>
      <c r="N784" s="67" t="str">
        <f aca="false">IF(A784="","",IF(L784&lt;&gt;"Verified","Not verified",IF(COUNTIFS(in_CGID,C784,in_ClientID,E784,in_Svc,G784)&gt;0,"Yes","Not entered")))</f>
        <v/>
      </c>
    </row>
    <row r="785" customFormat="false" ht="15" hidden="false" customHeight="false" outlineLevel="0" collapsed="false">
      <c r="A785" s="64"/>
      <c r="B785" s="65"/>
      <c r="C785" s="64"/>
      <c r="D785" s="64"/>
      <c r="E785" s="64"/>
      <c r="F785" s="64"/>
      <c r="G785" s="64"/>
      <c r="H785" s="66"/>
      <c r="I785" s="66"/>
      <c r="J785" s="64"/>
      <c r="K785" s="64"/>
      <c r="L785" s="64"/>
      <c r="M785" s="67" t="str">
        <f aca="false">IF(A785="","",IF(AND(B785&gt;=WeekStart,B785&lt;=WeekEnd),"Yes","No"))</f>
        <v/>
      </c>
      <c r="N785" s="67" t="str">
        <f aca="false">IF(A785="","",IF(L785&lt;&gt;"Verified","Not verified",IF(COUNTIFS(in_CGID,C785,in_ClientID,E785,in_Svc,G785)&gt;0,"Yes","Not entered")))</f>
        <v/>
      </c>
    </row>
    <row r="786" customFormat="false" ht="15" hidden="false" customHeight="false" outlineLevel="0" collapsed="false">
      <c r="A786" s="64"/>
      <c r="B786" s="65"/>
      <c r="C786" s="64"/>
      <c r="D786" s="64"/>
      <c r="E786" s="64"/>
      <c r="F786" s="64"/>
      <c r="G786" s="64"/>
      <c r="H786" s="66"/>
      <c r="I786" s="66"/>
      <c r="J786" s="64"/>
      <c r="K786" s="64"/>
      <c r="L786" s="64"/>
      <c r="M786" s="67" t="str">
        <f aca="false">IF(A786="","",IF(AND(B786&gt;=WeekStart,B786&lt;=WeekEnd),"Yes","No"))</f>
        <v/>
      </c>
      <c r="N786" s="67" t="str">
        <f aca="false">IF(A786="","",IF(L786&lt;&gt;"Verified","Not verified",IF(COUNTIFS(in_CGID,C786,in_ClientID,E786,in_Svc,G786)&gt;0,"Yes","Not entered")))</f>
        <v/>
      </c>
    </row>
    <row r="787" customFormat="false" ht="15" hidden="false" customHeight="false" outlineLevel="0" collapsed="false">
      <c r="A787" s="64"/>
      <c r="B787" s="65"/>
      <c r="C787" s="64"/>
      <c r="D787" s="64"/>
      <c r="E787" s="64"/>
      <c r="F787" s="64"/>
      <c r="G787" s="64"/>
      <c r="H787" s="66"/>
      <c r="I787" s="66"/>
      <c r="J787" s="64"/>
      <c r="K787" s="64"/>
      <c r="L787" s="64"/>
      <c r="M787" s="67" t="str">
        <f aca="false">IF(A787="","",IF(AND(B787&gt;=WeekStart,B787&lt;=WeekEnd),"Yes","No"))</f>
        <v/>
      </c>
      <c r="N787" s="67" t="str">
        <f aca="false">IF(A787="","",IF(L787&lt;&gt;"Verified","Not verified",IF(COUNTIFS(in_CGID,C787,in_ClientID,E787,in_Svc,G787)&gt;0,"Yes","Not entered")))</f>
        <v/>
      </c>
    </row>
    <row r="788" customFormat="false" ht="15" hidden="false" customHeight="false" outlineLevel="0" collapsed="false">
      <c r="A788" s="64"/>
      <c r="B788" s="65"/>
      <c r="C788" s="64"/>
      <c r="D788" s="64"/>
      <c r="E788" s="64"/>
      <c r="F788" s="64"/>
      <c r="G788" s="64"/>
      <c r="H788" s="66"/>
      <c r="I788" s="66"/>
      <c r="J788" s="64"/>
      <c r="K788" s="64"/>
      <c r="L788" s="64"/>
      <c r="M788" s="67" t="str">
        <f aca="false">IF(A788="","",IF(AND(B788&gt;=WeekStart,B788&lt;=WeekEnd),"Yes","No"))</f>
        <v/>
      </c>
      <c r="N788" s="67" t="str">
        <f aca="false">IF(A788="","",IF(L788&lt;&gt;"Verified","Not verified",IF(COUNTIFS(in_CGID,C788,in_ClientID,E788,in_Svc,G788)&gt;0,"Yes","Not entered")))</f>
        <v/>
      </c>
    </row>
    <row r="789" customFormat="false" ht="15" hidden="false" customHeight="false" outlineLevel="0" collapsed="false">
      <c r="A789" s="64"/>
      <c r="B789" s="65"/>
      <c r="C789" s="64"/>
      <c r="D789" s="64"/>
      <c r="E789" s="64"/>
      <c r="F789" s="64"/>
      <c r="G789" s="64"/>
      <c r="H789" s="66"/>
      <c r="I789" s="66"/>
      <c r="J789" s="64"/>
      <c r="K789" s="64"/>
      <c r="L789" s="64"/>
      <c r="M789" s="67" t="str">
        <f aca="false">IF(A789="","",IF(AND(B789&gt;=WeekStart,B789&lt;=WeekEnd),"Yes","No"))</f>
        <v/>
      </c>
      <c r="N789" s="67" t="str">
        <f aca="false">IF(A789="","",IF(L789&lt;&gt;"Verified","Not verified",IF(COUNTIFS(in_CGID,C789,in_ClientID,E789,in_Svc,G789)&gt;0,"Yes","Not entered")))</f>
        <v/>
      </c>
    </row>
    <row r="790" customFormat="false" ht="15" hidden="false" customHeight="false" outlineLevel="0" collapsed="false">
      <c r="A790" s="64"/>
      <c r="B790" s="65"/>
      <c r="C790" s="64"/>
      <c r="D790" s="64"/>
      <c r="E790" s="64"/>
      <c r="F790" s="64"/>
      <c r="G790" s="64"/>
      <c r="H790" s="66"/>
      <c r="I790" s="66"/>
      <c r="J790" s="64"/>
      <c r="K790" s="64"/>
      <c r="L790" s="64"/>
      <c r="M790" s="67" t="str">
        <f aca="false">IF(A790="","",IF(AND(B790&gt;=WeekStart,B790&lt;=WeekEnd),"Yes","No"))</f>
        <v/>
      </c>
      <c r="N790" s="67" t="str">
        <f aca="false">IF(A790="","",IF(L790&lt;&gt;"Verified","Not verified",IF(COUNTIFS(in_CGID,C790,in_ClientID,E790,in_Svc,G790)&gt;0,"Yes","Not entered")))</f>
        <v/>
      </c>
    </row>
    <row r="791" customFormat="false" ht="15" hidden="false" customHeight="false" outlineLevel="0" collapsed="false">
      <c r="A791" s="64"/>
      <c r="B791" s="65"/>
      <c r="C791" s="64"/>
      <c r="D791" s="64"/>
      <c r="E791" s="64"/>
      <c r="F791" s="64"/>
      <c r="G791" s="64"/>
      <c r="H791" s="66"/>
      <c r="I791" s="66"/>
      <c r="J791" s="64"/>
      <c r="K791" s="64"/>
      <c r="L791" s="64"/>
      <c r="M791" s="67" t="str">
        <f aca="false">IF(A791="","",IF(AND(B791&gt;=WeekStart,B791&lt;=WeekEnd),"Yes","No"))</f>
        <v/>
      </c>
      <c r="N791" s="67" t="str">
        <f aca="false">IF(A791="","",IF(L791&lt;&gt;"Verified","Not verified",IF(COUNTIFS(in_CGID,C791,in_ClientID,E791,in_Svc,G791)&gt;0,"Yes","Not entered")))</f>
        <v/>
      </c>
    </row>
    <row r="792" customFormat="false" ht="15" hidden="false" customHeight="false" outlineLevel="0" collapsed="false">
      <c r="A792" s="64"/>
      <c r="B792" s="65"/>
      <c r="C792" s="64"/>
      <c r="D792" s="64"/>
      <c r="E792" s="64"/>
      <c r="F792" s="64"/>
      <c r="G792" s="64"/>
      <c r="H792" s="66"/>
      <c r="I792" s="66"/>
      <c r="J792" s="64"/>
      <c r="K792" s="64"/>
      <c r="L792" s="64"/>
      <c r="M792" s="67" t="str">
        <f aca="false">IF(A792="","",IF(AND(B792&gt;=WeekStart,B792&lt;=WeekEnd),"Yes","No"))</f>
        <v/>
      </c>
      <c r="N792" s="67" t="str">
        <f aca="false">IF(A792="","",IF(L792&lt;&gt;"Verified","Not verified",IF(COUNTIFS(in_CGID,C792,in_ClientID,E792,in_Svc,G792)&gt;0,"Yes","Not entered")))</f>
        <v/>
      </c>
    </row>
    <row r="793" customFormat="false" ht="15" hidden="false" customHeight="false" outlineLevel="0" collapsed="false">
      <c r="A793" s="64"/>
      <c r="B793" s="65"/>
      <c r="C793" s="64"/>
      <c r="D793" s="64"/>
      <c r="E793" s="64"/>
      <c r="F793" s="64"/>
      <c r="G793" s="64"/>
      <c r="H793" s="66"/>
      <c r="I793" s="66"/>
      <c r="J793" s="64"/>
      <c r="K793" s="64"/>
      <c r="L793" s="64"/>
      <c r="M793" s="67" t="str">
        <f aca="false">IF(A793="","",IF(AND(B793&gt;=WeekStart,B793&lt;=WeekEnd),"Yes","No"))</f>
        <v/>
      </c>
      <c r="N793" s="67" t="str">
        <f aca="false">IF(A793="","",IF(L793&lt;&gt;"Verified","Not verified",IF(COUNTIFS(in_CGID,C793,in_ClientID,E793,in_Svc,G793)&gt;0,"Yes","Not entered")))</f>
        <v/>
      </c>
    </row>
    <row r="794" customFormat="false" ht="15" hidden="false" customHeight="false" outlineLevel="0" collapsed="false">
      <c r="A794" s="64"/>
      <c r="B794" s="65"/>
      <c r="C794" s="64"/>
      <c r="D794" s="64"/>
      <c r="E794" s="64"/>
      <c r="F794" s="64"/>
      <c r="G794" s="64"/>
      <c r="H794" s="66"/>
      <c r="I794" s="66"/>
      <c r="J794" s="64"/>
      <c r="K794" s="64"/>
      <c r="L794" s="64"/>
      <c r="M794" s="67" t="str">
        <f aca="false">IF(A794="","",IF(AND(B794&gt;=WeekStart,B794&lt;=WeekEnd),"Yes","No"))</f>
        <v/>
      </c>
      <c r="N794" s="67" t="str">
        <f aca="false">IF(A794="","",IF(L794&lt;&gt;"Verified","Not verified",IF(COUNTIFS(in_CGID,C794,in_ClientID,E794,in_Svc,G794)&gt;0,"Yes","Not entered")))</f>
        <v/>
      </c>
    </row>
    <row r="795" customFormat="false" ht="15" hidden="false" customHeight="false" outlineLevel="0" collapsed="false">
      <c r="A795" s="64"/>
      <c r="B795" s="65"/>
      <c r="C795" s="64"/>
      <c r="D795" s="64"/>
      <c r="E795" s="64"/>
      <c r="F795" s="64"/>
      <c r="G795" s="64"/>
      <c r="H795" s="66"/>
      <c r="I795" s="66"/>
      <c r="J795" s="64"/>
      <c r="K795" s="64"/>
      <c r="L795" s="64"/>
      <c r="M795" s="67" t="str">
        <f aca="false">IF(A795="","",IF(AND(B795&gt;=WeekStart,B795&lt;=WeekEnd),"Yes","No"))</f>
        <v/>
      </c>
      <c r="N795" s="67" t="str">
        <f aca="false">IF(A795="","",IF(L795&lt;&gt;"Verified","Not verified",IF(COUNTIFS(in_CGID,C795,in_ClientID,E795,in_Svc,G795)&gt;0,"Yes","Not entered")))</f>
        <v/>
      </c>
    </row>
    <row r="796" customFormat="false" ht="15" hidden="false" customHeight="false" outlineLevel="0" collapsed="false">
      <c r="A796" s="64"/>
      <c r="B796" s="65"/>
      <c r="C796" s="64"/>
      <c r="D796" s="64"/>
      <c r="E796" s="64"/>
      <c r="F796" s="64"/>
      <c r="G796" s="64"/>
      <c r="H796" s="66"/>
      <c r="I796" s="66"/>
      <c r="J796" s="64"/>
      <c r="K796" s="64"/>
      <c r="L796" s="64"/>
      <c r="M796" s="67" t="str">
        <f aca="false">IF(A796="","",IF(AND(B796&gt;=WeekStart,B796&lt;=WeekEnd),"Yes","No"))</f>
        <v/>
      </c>
      <c r="N796" s="67" t="str">
        <f aca="false">IF(A796="","",IF(L796&lt;&gt;"Verified","Not verified",IF(COUNTIFS(in_CGID,C796,in_ClientID,E796,in_Svc,G796)&gt;0,"Yes","Not entered")))</f>
        <v/>
      </c>
    </row>
    <row r="797" customFormat="false" ht="15" hidden="false" customHeight="false" outlineLevel="0" collapsed="false">
      <c r="A797" s="64"/>
      <c r="B797" s="65"/>
      <c r="C797" s="64"/>
      <c r="D797" s="64"/>
      <c r="E797" s="64"/>
      <c r="F797" s="64"/>
      <c r="G797" s="64"/>
      <c r="H797" s="66"/>
      <c r="I797" s="66"/>
      <c r="J797" s="64"/>
      <c r="K797" s="64"/>
      <c r="L797" s="64"/>
      <c r="M797" s="67" t="str">
        <f aca="false">IF(A797="","",IF(AND(B797&gt;=WeekStart,B797&lt;=WeekEnd),"Yes","No"))</f>
        <v/>
      </c>
      <c r="N797" s="67" t="str">
        <f aca="false">IF(A797="","",IF(L797&lt;&gt;"Verified","Not verified",IF(COUNTIFS(in_CGID,C797,in_ClientID,E797,in_Svc,G797)&gt;0,"Yes","Not entered")))</f>
        <v/>
      </c>
    </row>
    <row r="798" customFormat="false" ht="15" hidden="false" customHeight="false" outlineLevel="0" collapsed="false">
      <c r="A798" s="64"/>
      <c r="B798" s="65"/>
      <c r="C798" s="64"/>
      <c r="D798" s="64"/>
      <c r="E798" s="64"/>
      <c r="F798" s="64"/>
      <c r="G798" s="64"/>
      <c r="H798" s="66"/>
      <c r="I798" s="66"/>
      <c r="J798" s="64"/>
      <c r="K798" s="64"/>
      <c r="L798" s="64"/>
      <c r="M798" s="67" t="str">
        <f aca="false">IF(A798="","",IF(AND(B798&gt;=WeekStart,B798&lt;=WeekEnd),"Yes","No"))</f>
        <v/>
      </c>
      <c r="N798" s="67" t="str">
        <f aca="false">IF(A798="","",IF(L798&lt;&gt;"Verified","Not verified",IF(COUNTIFS(in_CGID,C798,in_ClientID,E798,in_Svc,G798)&gt;0,"Yes","Not entered")))</f>
        <v/>
      </c>
    </row>
    <row r="799" customFormat="false" ht="15" hidden="false" customHeight="false" outlineLevel="0" collapsed="false">
      <c r="A799" s="64"/>
      <c r="B799" s="65"/>
      <c r="C799" s="64"/>
      <c r="D799" s="64"/>
      <c r="E799" s="64"/>
      <c r="F799" s="64"/>
      <c r="G799" s="64"/>
      <c r="H799" s="66"/>
      <c r="I799" s="66"/>
      <c r="J799" s="64"/>
      <c r="K799" s="64"/>
      <c r="L799" s="64"/>
      <c r="M799" s="67" t="str">
        <f aca="false">IF(A799="","",IF(AND(B799&gt;=WeekStart,B799&lt;=WeekEnd),"Yes","No"))</f>
        <v/>
      </c>
      <c r="N799" s="67" t="str">
        <f aca="false">IF(A799="","",IF(L799&lt;&gt;"Verified","Not verified",IF(COUNTIFS(in_CGID,C799,in_ClientID,E799,in_Svc,G799)&gt;0,"Yes","Not entered")))</f>
        <v/>
      </c>
    </row>
    <row r="800" customFormat="false" ht="15" hidden="false" customHeight="false" outlineLevel="0" collapsed="false">
      <c r="A800" s="64"/>
      <c r="B800" s="65"/>
      <c r="C800" s="64"/>
      <c r="D800" s="64"/>
      <c r="E800" s="64"/>
      <c r="F800" s="64"/>
      <c r="G800" s="64"/>
      <c r="H800" s="66"/>
      <c r="I800" s="66"/>
      <c r="J800" s="64"/>
      <c r="K800" s="64"/>
      <c r="L800" s="64"/>
      <c r="M800" s="67" t="str">
        <f aca="false">IF(A800="","",IF(AND(B800&gt;=WeekStart,B800&lt;=WeekEnd),"Yes","No"))</f>
        <v/>
      </c>
      <c r="N800" s="67" t="str">
        <f aca="false">IF(A800="","",IF(L800&lt;&gt;"Verified","Not verified",IF(COUNTIFS(in_CGID,C800,in_ClientID,E800,in_Svc,G800)&gt;0,"Yes","Not entered")))</f>
        <v/>
      </c>
    </row>
    <row r="801" customFormat="false" ht="15" hidden="false" customHeight="false" outlineLevel="0" collapsed="false">
      <c r="A801" s="64"/>
      <c r="B801" s="65"/>
      <c r="C801" s="64"/>
      <c r="D801" s="64"/>
      <c r="E801" s="64"/>
      <c r="F801" s="64"/>
      <c r="G801" s="64"/>
      <c r="H801" s="66"/>
      <c r="I801" s="66"/>
      <c r="J801" s="64"/>
      <c r="K801" s="64"/>
      <c r="L801" s="64"/>
      <c r="M801" s="67" t="str">
        <f aca="false">IF(A801="","",IF(AND(B801&gt;=WeekStart,B801&lt;=WeekEnd),"Yes","No"))</f>
        <v/>
      </c>
      <c r="N801" s="67" t="str">
        <f aca="false">IF(A801="","",IF(L801&lt;&gt;"Verified","Not verified",IF(COUNTIFS(in_CGID,C801,in_ClientID,E801,in_Svc,G801)&gt;0,"Yes","Not entered")))</f>
        <v/>
      </c>
    </row>
    <row r="802" customFormat="false" ht="15" hidden="false" customHeight="false" outlineLevel="0" collapsed="false">
      <c r="A802" s="64"/>
      <c r="B802" s="65"/>
      <c r="C802" s="64"/>
      <c r="D802" s="64"/>
      <c r="E802" s="64"/>
      <c r="F802" s="64"/>
      <c r="G802" s="64"/>
      <c r="H802" s="66"/>
      <c r="I802" s="66"/>
      <c r="J802" s="64"/>
      <c r="K802" s="64"/>
      <c r="L802" s="64"/>
      <c r="M802" s="67" t="str">
        <f aca="false">IF(A802="","",IF(AND(B802&gt;=WeekStart,B802&lt;=WeekEnd),"Yes","No"))</f>
        <v/>
      </c>
      <c r="N802" s="67" t="str">
        <f aca="false">IF(A802="","",IF(L802&lt;&gt;"Verified","Not verified",IF(COUNTIFS(in_CGID,C802,in_ClientID,E802,in_Svc,G802)&gt;0,"Yes","Not entered")))</f>
        <v/>
      </c>
    </row>
    <row r="803" customFormat="false" ht="15" hidden="false" customHeight="false" outlineLevel="0" collapsed="false">
      <c r="A803" s="64"/>
      <c r="B803" s="65"/>
      <c r="C803" s="64"/>
      <c r="D803" s="64"/>
      <c r="E803" s="64"/>
      <c r="F803" s="64"/>
      <c r="G803" s="64"/>
      <c r="H803" s="66"/>
      <c r="I803" s="66"/>
      <c r="J803" s="64"/>
      <c r="K803" s="64"/>
      <c r="L803" s="64"/>
      <c r="M803" s="67" t="str">
        <f aca="false">IF(A803="","",IF(AND(B803&gt;=WeekStart,B803&lt;=WeekEnd),"Yes","No"))</f>
        <v/>
      </c>
      <c r="N803" s="67" t="str">
        <f aca="false">IF(A803="","",IF(L803&lt;&gt;"Verified","Not verified",IF(COUNTIFS(in_CGID,C803,in_ClientID,E803,in_Svc,G803)&gt;0,"Yes","Not entered")))</f>
        <v/>
      </c>
    </row>
    <row r="804" customFormat="false" ht="15" hidden="false" customHeight="false" outlineLevel="0" collapsed="false">
      <c r="A804" s="64"/>
      <c r="B804" s="65"/>
      <c r="C804" s="64"/>
      <c r="D804" s="64"/>
      <c r="E804" s="64"/>
      <c r="F804" s="64"/>
      <c r="G804" s="64"/>
      <c r="H804" s="66"/>
      <c r="I804" s="66"/>
      <c r="J804" s="64"/>
      <c r="K804" s="64"/>
      <c r="L804" s="64"/>
      <c r="M804" s="67" t="str">
        <f aca="false">IF(A804="","",IF(AND(B804&gt;=WeekStart,B804&lt;=WeekEnd),"Yes","No"))</f>
        <v/>
      </c>
      <c r="N804" s="67" t="str">
        <f aca="false">IF(A804="","",IF(L804&lt;&gt;"Verified","Not verified",IF(COUNTIFS(in_CGID,C804,in_ClientID,E804,in_Svc,G804)&gt;0,"Yes","Not entered")))</f>
        <v/>
      </c>
    </row>
    <row r="805" customFormat="false" ht="15" hidden="false" customHeight="false" outlineLevel="0" collapsed="false">
      <c r="A805" s="64"/>
      <c r="B805" s="65"/>
      <c r="C805" s="64"/>
      <c r="D805" s="64"/>
      <c r="E805" s="64"/>
      <c r="F805" s="64"/>
      <c r="G805" s="64"/>
      <c r="H805" s="66"/>
      <c r="I805" s="66"/>
      <c r="J805" s="64"/>
      <c r="K805" s="64"/>
      <c r="L805" s="64"/>
      <c r="M805" s="67" t="str">
        <f aca="false">IF(A805="","",IF(AND(B805&gt;=WeekStart,B805&lt;=WeekEnd),"Yes","No"))</f>
        <v/>
      </c>
      <c r="N805" s="67" t="str">
        <f aca="false">IF(A805="","",IF(L805&lt;&gt;"Verified","Not verified",IF(COUNTIFS(in_CGID,C805,in_ClientID,E805,in_Svc,G805)&gt;0,"Yes","Not entered")))</f>
        <v/>
      </c>
    </row>
    <row r="806" customFormat="false" ht="15" hidden="false" customHeight="false" outlineLevel="0" collapsed="false">
      <c r="A806" s="64"/>
      <c r="B806" s="65"/>
      <c r="C806" s="64"/>
      <c r="D806" s="64"/>
      <c r="E806" s="64"/>
      <c r="F806" s="64"/>
      <c r="G806" s="64"/>
      <c r="H806" s="66"/>
      <c r="I806" s="66"/>
      <c r="J806" s="64"/>
      <c r="K806" s="64"/>
      <c r="L806" s="64"/>
      <c r="M806" s="67" t="str">
        <f aca="false">IF(A806="","",IF(AND(B806&gt;=WeekStart,B806&lt;=WeekEnd),"Yes","No"))</f>
        <v/>
      </c>
      <c r="N806" s="67" t="str">
        <f aca="false">IF(A806="","",IF(L806&lt;&gt;"Verified","Not verified",IF(COUNTIFS(in_CGID,C806,in_ClientID,E806,in_Svc,G806)&gt;0,"Yes","Not entered")))</f>
        <v/>
      </c>
    </row>
    <row r="807" customFormat="false" ht="15" hidden="false" customHeight="false" outlineLevel="0" collapsed="false">
      <c r="A807" s="64"/>
      <c r="B807" s="65"/>
      <c r="C807" s="64"/>
      <c r="D807" s="64"/>
      <c r="E807" s="64"/>
      <c r="F807" s="64"/>
      <c r="G807" s="64"/>
      <c r="H807" s="66"/>
      <c r="I807" s="66"/>
      <c r="J807" s="64"/>
      <c r="K807" s="64"/>
      <c r="L807" s="64"/>
      <c r="M807" s="67" t="str">
        <f aca="false">IF(A807="","",IF(AND(B807&gt;=WeekStart,B807&lt;=WeekEnd),"Yes","No"))</f>
        <v/>
      </c>
      <c r="N807" s="67" t="str">
        <f aca="false">IF(A807="","",IF(L807&lt;&gt;"Verified","Not verified",IF(COUNTIFS(in_CGID,C807,in_ClientID,E807,in_Svc,G807)&gt;0,"Yes","Not entered")))</f>
        <v/>
      </c>
    </row>
    <row r="808" customFormat="false" ht="15" hidden="false" customHeight="false" outlineLevel="0" collapsed="false">
      <c r="A808" s="64"/>
      <c r="B808" s="65"/>
      <c r="C808" s="64"/>
      <c r="D808" s="64"/>
      <c r="E808" s="64"/>
      <c r="F808" s="64"/>
      <c r="G808" s="64"/>
      <c r="H808" s="66"/>
      <c r="I808" s="66"/>
      <c r="J808" s="64"/>
      <c r="K808" s="64"/>
      <c r="L808" s="64"/>
      <c r="M808" s="67" t="str">
        <f aca="false">IF(A808="","",IF(AND(B808&gt;=WeekStart,B808&lt;=WeekEnd),"Yes","No"))</f>
        <v/>
      </c>
      <c r="N808" s="67" t="str">
        <f aca="false">IF(A808="","",IF(L808&lt;&gt;"Verified","Not verified",IF(COUNTIFS(in_CGID,C808,in_ClientID,E808,in_Svc,G808)&gt;0,"Yes","Not entered")))</f>
        <v/>
      </c>
    </row>
    <row r="809" customFormat="false" ht="15" hidden="false" customHeight="false" outlineLevel="0" collapsed="false">
      <c r="A809" s="64"/>
      <c r="B809" s="65"/>
      <c r="C809" s="64"/>
      <c r="D809" s="64"/>
      <c r="E809" s="64"/>
      <c r="F809" s="64"/>
      <c r="G809" s="64"/>
      <c r="H809" s="66"/>
      <c r="I809" s="66"/>
      <c r="J809" s="64"/>
      <c r="K809" s="64"/>
      <c r="L809" s="64"/>
      <c r="M809" s="67" t="str">
        <f aca="false">IF(A809="","",IF(AND(B809&gt;=WeekStart,B809&lt;=WeekEnd),"Yes","No"))</f>
        <v/>
      </c>
      <c r="N809" s="67" t="str">
        <f aca="false">IF(A809="","",IF(L809&lt;&gt;"Verified","Not verified",IF(COUNTIFS(in_CGID,C809,in_ClientID,E809,in_Svc,G809)&gt;0,"Yes","Not entered")))</f>
        <v/>
      </c>
    </row>
    <row r="810" customFormat="false" ht="15" hidden="false" customHeight="false" outlineLevel="0" collapsed="false">
      <c r="A810" s="64"/>
      <c r="B810" s="65"/>
      <c r="C810" s="64"/>
      <c r="D810" s="64"/>
      <c r="E810" s="64"/>
      <c r="F810" s="64"/>
      <c r="G810" s="64"/>
      <c r="H810" s="66"/>
      <c r="I810" s="66"/>
      <c r="J810" s="64"/>
      <c r="K810" s="64"/>
      <c r="L810" s="64"/>
      <c r="M810" s="67" t="str">
        <f aca="false">IF(A810="","",IF(AND(B810&gt;=WeekStart,B810&lt;=WeekEnd),"Yes","No"))</f>
        <v/>
      </c>
      <c r="N810" s="67" t="str">
        <f aca="false">IF(A810="","",IF(L810&lt;&gt;"Verified","Not verified",IF(COUNTIFS(in_CGID,C810,in_ClientID,E810,in_Svc,G810)&gt;0,"Yes","Not entered")))</f>
        <v/>
      </c>
    </row>
    <row r="811" customFormat="false" ht="15" hidden="false" customHeight="false" outlineLevel="0" collapsed="false">
      <c r="A811" s="64"/>
      <c r="B811" s="65"/>
      <c r="C811" s="64"/>
      <c r="D811" s="64"/>
      <c r="E811" s="64"/>
      <c r="F811" s="64"/>
      <c r="G811" s="64"/>
      <c r="H811" s="66"/>
      <c r="I811" s="66"/>
      <c r="J811" s="64"/>
      <c r="K811" s="64"/>
      <c r="L811" s="64"/>
      <c r="M811" s="67" t="str">
        <f aca="false">IF(A811="","",IF(AND(B811&gt;=WeekStart,B811&lt;=WeekEnd),"Yes","No"))</f>
        <v/>
      </c>
      <c r="N811" s="67" t="str">
        <f aca="false">IF(A811="","",IF(L811&lt;&gt;"Verified","Not verified",IF(COUNTIFS(in_CGID,C811,in_ClientID,E811,in_Svc,G811)&gt;0,"Yes","Not entered")))</f>
        <v/>
      </c>
    </row>
    <row r="812" customFormat="false" ht="15" hidden="false" customHeight="false" outlineLevel="0" collapsed="false">
      <c r="A812" s="64"/>
      <c r="B812" s="65"/>
      <c r="C812" s="64"/>
      <c r="D812" s="64"/>
      <c r="E812" s="64"/>
      <c r="F812" s="64"/>
      <c r="G812" s="64"/>
      <c r="H812" s="66"/>
      <c r="I812" s="66"/>
      <c r="J812" s="64"/>
      <c r="K812" s="64"/>
      <c r="L812" s="64"/>
      <c r="M812" s="67" t="str">
        <f aca="false">IF(A812="","",IF(AND(B812&gt;=WeekStart,B812&lt;=WeekEnd),"Yes","No"))</f>
        <v/>
      </c>
      <c r="N812" s="67" t="str">
        <f aca="false">IF(A812="","",IF(L812&lt;&gt;"Verified","Not verified",IF(COUNTIFS(in_CGID,C812,in_ClientID,E812,in_Svc,G812)&gt;0,"Yes","Not entered")))</f>
        <v/>
      </c>
    </row>
    <row r="813" customFormat="false" ht="15" hidden="false" customHeight="false" outlineLevel="0" collapsed="false">
      <c r="A813" s="64"/>
      <c r="B813" s="65"/>
      <c r="C813" s="64"/>
      <c r="D813" s="64"/>
      <c r="E813" s="64"/>
      <c r="F813" s="64"/>
      <c r="G813" s="64"/>
      <c r="H813" s="66"/>
      <c r="I813" s="66"/>
      <c r="J813" s="64"/>
      <c r="K813" s="64"/>
      <c r="L813" s="64"/>
      <c r="M813" s="67" t="str">
        <f aca="false">IF(A813="","",IF(AND(B813&gt;=WeekStart,B813&lt;=WeekEnd),"Yes","No"))</f>
        <v/>
      </c>
      <c r="N813" s="67" t="str">
        <f aca="false">IF(A813="","",IF(L813&lt;&gt;"Verified","Not verified",IF(COUNTIFS(in_CGID,C813,in_ClientID,E813,in_Svc,G813)&gt;0,"Yes","Not entered")))</f>
        <v/>
      </c>
    </row>
    <row r="814" customFormat="false" ht="15" hidden="false" customHeight="false" outlineLevel="0" collapsed="false">
      <c r="A814" s="64"/>
      <c r="B814" s="65"/>
      <c r="C814" s="64"/>
      <c r="D814" s="64"/>
      <c r="E814" s="64"/>
      <c r="F814" s="64"/>
      <c r="G814" s="64"/>
      <c r="H814" s="66"/>
      <c r="I814" s="66"/>
      <c r="J814" s="64"/>
      <c r="K814" s="64"/>
      <c r="L814" s="64"/>
      <c r="M814" s="67" t="str">
        <f aca="false">IF(A814="","",IF(AND(B814&gt;=WeekStart,B814&lt;=WeekEnd),"Yes","No"))</f>
        <v/>
      </c>
      <c r="N814" s="67" t="str">
        <f aca="false">IF(A814="","",IF(L814&lt;&gt;"Verified","Not verified",IF(COUNTIFS(in_CGID,C814,in_ClientID,E814,in_Svc,G814)&gt;0,"Yes","Not entered")))</f>
        <v/>
      </c>
    </row>
    <row r="815" customFormat="false" ht="15" hidden="false" customHeight="false" outlineLevel="0" collapsed="false">
      <c r="A815" s="64"/>
      <c r="B815" s="65"/>
      <c r="C815" s="64"/>
      <c r="D815" s="64"/>
      <c r="E815" s="64"/>
      <c r="F815" s="64"/>
      <c r="G815" s="64"/>
      <c r="H815" s="66"/>
      <c r="I815" s="66"/>
      <c r="J815" s="64"/>
      <c r="K815" s="64"/>
      <c r="L815" s="64"/>
      <c r="M815" s="67" t="str">
        <f aca="false">IF(A815="","",IF(AND(B815&gt;=WeekStart,B815&lt;=WeekEnd),"Yes","No"))</f>
        <v/>
      </c>
      <c r="N815" s="67" t="str">
        <f aca="false">IF(A815="","",IF(L815&lt;&gt;"Verified","Not verified",IF(COUNTIFS(in_CGID,C815,in_ClientID,E815,in_Svc,G815)&gt;0,"Yes","Not entered")))</f>
        <v/>
      </c>
    </row>
    <row r="816" customFormat="false" ht="15" hidden="false" customHeight="false" outlineLevel="0" collapsed="false">
      <c r="A816" s="64"/>
      <c r="B816" s="65"/>
      <c r="C816" s="64"/>
      <c r="D816" s="64"/>
      <c r="E816" s="64"/>
      <c r="F816" s="64"/>
      <c r="G816" s="64"/>
      <c r="H816" s="66"/>
      <c r="I816" s="66"/>
      <c r="J816" s="64"/>
      <c r="K816" s="64"/>
      <c r="L816" s="64"/>
      <c r="M816" s="67" t="str">
        <f aca="false">IF(A816="","",IF(AND(B816&gt;=WeekStart,B816&lt;=WeekEnd),"Yes","No"))</f>
        <v/>
      </c>
      <c r="N816" s="67" t="str">
        <f aca="false">IF(A816="","",IF(L816&lt;&gt;"Verified","Not verified",IF(COUNTIFS(in_CGID,C816,in_ClientID,E816,in_Svc,G816)&gt;0,"Yes","Not entered")))</f>
        <v/>
      </c>
    </row>
    <row r="817" customFormat="false" ht="15" hidden="false" customHeight="false" outlineLevel="0" collapsed="false">
      <c r="A817" s="64"/>
      <c r="B817" s="65"/>
      <c r="C817" s="64"/>
      <c r="D817" s="64"/>
      <c r="E817" s="64"/>
      <c r="F817" s="64"/>
      <c r="G817" s="64"/>
      <c r="H817" s="66"/>
      <c r="I817" s="66"/>
      <c r="J817" s="64"/>
      <c r="K817" s="64"/>
      <c r="L817" s="64"/>
      <c r="M817" s="67" t="str">
        <f aca="false">IF(A817="","",IF(AND(B817&gt;=WeekStart,B817&lt;=WeekEnd),"Yes","No"))</f>
        <v/>
      </c>
      <c r="N817" s="67" t="str">
        <f aca="false">IF(A817="","",IF(L817&lt;&gt;"Verified","Not verified",IF(COUNTIFS(in_CGID,C817,in_ClientID,E817,in_Svc,G817)&gt;0,"Yes","Not entered")))</f>
        <v/>
      </c>
    </row>
    <row r="818" customFormat="false" ht="15" hidden="false" customHeight="false" outlineLevel="0" collapsed="false">
      <c r="A818" s="64"/>
      <c r="B818" s="65"/>
      <c r="C818" s="64"/>
      <c r="D818" s="64"/>
      <c r="E818" s="64"/>
      <c r="F818" s="64"/>
      <c r="G818" s="64"/>
      <c r="H818" s="66"/>
      <c r="I818" s="66"/>
      <c r="J818" s="64"/>
      <c r="K818" s="64"/>
      <c r="L818" s="64"/>
      <c r="M818" s="67" t="str">
        <f aca="false">IF(A818="","",IF(AND(B818&gt;=WeekStart,B818&lt;=WeekEnd),"Yes","No"))</f>
        <v/>
      </c>
      <c r="N818" s="67" t="str">
        <f aca="false">IF(A818="","",IF(L818&lt;&gt;"Verified","Not verified",IF(COUNTIFS(in_CGID,C818,in_ClientID,E818,in_Svc,G818)&gt;0,"Yes","Not entered")))</f>
        <v/>
      </c>
    </row>
    <row r="819" customFormat="false" ht="15" hidden="false" customHeight="false" outlineLevel="0" collapsed="false">
      <c r="A819" s="64"/>
      <c r="B819" s="65"/>
      <c r="C819" s="64"/>
      <c r="D819" s="64"/>
      <c r="E819" s="64"/>
      <c r="F819" s="64"/>
      <c r="G819" s="64"/>
      <c r="H819" s="66"/>
      <c r="I819" s="66"/>
      <c r="J819" s="64"/>
      <c r="K819" s="64"/>
      <c r="L819" s="64"/>
      <c r="M819" s="67" t="str">
        <f aca="false">IF(A819="","",IF(AND(B819&gt;=WeekStart,B819&lt;=WeekEnd),"Yes","No"))</f>
        <v/>
      </c>
      <c r="N819" s="67" t="str">
        <f aca="false">IF(A819="","",IF(L819&lt;&gt;"Verified","Not verified",IF(COUNTIFS(in_CGID,C819,in_ClientID,E819,in_Svc,G819)&gt;0,"Yes","Not entered")))</f>
        <v/>
      </c>
    </row>
    <row r="820" customFormat="false" ht="15" hidden="false" customHeight="false" outlineLevel="0" collapsed="false">
      <c r="A820" s="64"/>
      <c r="B820" s="65"/>
      <c r="C820" s="64"/>
      <c r="D820" s="64"/>
      <c r="E820" s="64"/>
      <c r="F820" s="64"/>
      <c r="G820" s="64"/>
      <c r="H820" s="66"/>
      <c r="I820" s="66"/>
      <c r="J820" s="64"/>
      <c r="K820" s="64"/>
      <c r="L820" s="64"/>
      <c r="M820" s="67" t="str">
        <f aca="false">IF(A820="","",IF(AND(B820&gt;=WeekStart,B820&lt;=WeekEnd),"Yes","No"))</f>
        <v/>
      </c>
      <c r="N820" s="67" t="str">
        <f aca="false">IF(A820="","",IF(L820&lt;&gt;"Verified","Not verified",IF(COUNTIFS(in_CGID,C820,in_ClientID,E820,in_Svc,G820)&gt;0,"Yes","Not entered")))</f>
        <v/>
      </c>
    </row>
    <row r="821" customFormat="false" ht="15" hidden="false" customHeight="false" outlineLevel="0" collapsed="false">
      <c r="A821" s="64"/>
      <c r="B821" s="65"/>
      <c r="C821" s="64"/>
      <c r="D821" s="64"/>
      <c r="E821" s="64"/>
      <c r="F821" s="64"/>
      <c r="G821" s="64"/>
      <c r="H821" s="66"/>
      <c r="I821" s="66"/>
      <c r="J821" s="64"/>
      <c r="K821" s="64"/>
      <c r="L821" s="64"/>
      <c r="M821" s="67" t="str">
        <f aca="false">IF(A821="","",IF(AND(B821&gt;=WeekStart,B821&lt;=WeekEnd),"Yes","No"))</f>
        <v/>
      </c>
      <c r="N821" s="67" t="str">
        <f aca="false">IF(A821="","",IF(L821&lt;&gt;"Verified","Not verified",IF(COUNTIFS(in_CGID,C821,in_ClientID,E821,in_Svc,G821)&gt;0,"Yes","Not entered")))</f>
        <v/>
      </c>
    </row>
    <row r="822" customFormat="false" ht="15" hidden="false" customHeight="false" outlineLevel="0" collapsed="false">
      <c r="A822" s="64"/>
      <c r="B822" s="65"/>
      <c r="C822" s="64"/>
      <c r="D822" s="64"/>
      <c r="E822" s="64"/>
      <c r="F822" s="64"/>
      <c r="G822" s="64"/>
      <c r="H822" s="66"/>
      <c r="I822" s="66"/>
      <c r="J822" s="64"/>
      <c r="K822" s="64"/>
      <c r="L822" s="64"/>
      <c r="M822" s="67" t="str">
        <f aca="false">IF(A822="","",IF(AND(B822&gt;=WeekStart,B822&lt;=WeekEnd),"Yes","No"))</f>
        <v/>
      </c>
      <c r="N822" s="67" t="str">
        <f aca="false">IF(A822="","",IF(L822&lt;&gt;"Verified","Not verified",IF(COUNTIFS(in_CGID,C822,in_ClientID,E822,in_Svc,G822)&gt;0,"Yes","Not entered")))</f>
        <v/>
      </c>
    </row>
    <row r="823" customFormat="false" ht="15" hidden="false" customHeight="false" outlineLevel="0" collapsed="false">
      <c r="A823" s="64"/>
      <c r="B823" s="65"/>
      <c r="C823" s="64"/>
      <c r="D823" s="64"/>
      <c r="E823" s="64"/>
      <c r="F823" s="64"/>
      <c r="G823" s="64"/>
      <c r="H823" s="66"/>
      <c r="I823" s="66"/>
      <c r="J823" s="64"/>
      <c r="K823" s="64"/>
      <c r="L823" s="64"/>
      <c r="M823" s="67" t="str">
        <f aca="false">IF(A823="","",IF(AND(B823&gt;=WeekStart,B823&lt;=WeekEnd),"Yes","No"))</f>
        <v/>
      </c>
      <c r="N823" s="67" t="str">
        <f aca="false">IF(A823="","",IF(L823&lt;&gt;"Verified","Not verified",IF(COUNTIFS(in_CGID,C823,in_ClientID,E823,in_Svc,G823)&gt;0,"Yes","Not entered")))</f>
        <v/>
      </c>
    </row>
    <row r="824" customFormat="false" ht="15" hidden="false" customHeight="false" outlineLevel="0" collapsed="false">
      <c r="A824" s="64"/>
      <c r="B824" s="65"/>
      <c r="C824" s="64"/>
      <c r="D824" s="64"/>
      <c r="E824" s="64"/>
      <c r="F824" s="64"/>
      <c r="G824" s="64"/>
      <c r="H824" s="66"/>
      <c r="I824" s="66"/>
      <c r="J824" s="64"/>
      <c r="K824" s="64"/>
      <c r="L824" s="64"/>
      <c r="M824" s="67" t="str">
        <f aca="false">IF(A824="","",IF(AND(B824&gt;=WeekStart,B824&lt;=WeekEnd),"Yes","No"))</f>
        <v/>
      </c>
      <c r="N824" s="67" t="str">
        <f aca="false">IF(A824="","",IF(L824&lt;&gt;"Verified","Not verified",IF(COUNTIFS(in_CGID,C824,in_ClientID,E824,in_Svc,G824)&gt;0,"Yes","Not entered")))</f>
        <v/>
      </c>
    </row>
    <row r="825" customFormat="false" ht="15" hidden="false" customHeight="false" outlineLevel="0" collapsed="false">
      <c r="A825" s="64"/>
      <c r="B825" s="65"/>
      <c r="C825" s="64"/>
      <c r="D825" s="64"/>
      <c r="E825" s="64"/>
      <c r="F825" s="64"/>
      <c r="G825" s="64"/>
      <c r="H825" s="66"/>
      <c r="I825" s="66"/>
      <c r="J825" s="64"/>
      <c r="K825" s="64"/>
      <c r="L825" s="64"/>
      <c r="M825" s="67" t="str">
        <f aca="false">IF(A825="","",IF(AND(B825&gt;=WeekStart,B825&lt;=WeekEnd),"Yes","No"))</f>
        <v/>
      </c>
      <c r="N825" s="67" t="str">
        <f aca="false">IF(A825="","",IF(L825&lt;&gt;"Verified","Not verified",IF(COUNTIFS(in_CGID,C825,in_ClientID,E825,in_Svc,G825)&gt;0,"Yes","Not entered")))</f>
        <v/>
      </c>
    </row>
    <row r="826" customFormat="false" ht="15" hidden="false" customHeight="false" outlineLevel="0" collapsed="false">
      <c r="A826" s="64"/>
      <c r="B826" s="65"/>
      <c r="C826" s="64"/>
      <c r="D826" s="64"/>
      <c r="E826" s="64"/>
      <c r="F826" s="64"/>
      <c r="G826" s="64"/>
      <c r="H826" s="66"/>
      <c r="I826" s="66"/>
      <c r="J826" s="64"/>
      <c r="K826" s="64"/>
      <c r="L826" s="64"/>
      <c r="M826" s="67" t="str">
        <f aca="false">IF(A826="","",IF(AND(B826&gt;=WeekStart,B826&lt;=WeekEnd),"Yes","No"))</f>
        <v/>
      </c>
      <c r="N826" s="67" t="str">
        <f aca="false">IF(A826="","",IF(L826&lt;&gt;"Verified","Not verified",IF(COUNTIFS(in_CGID,C826,in_ClientID,E826,in_Svc,G826)&gt;0,"Yes","Not entered")))</f>
        <v/>
      </c>
    </row>
    <row r="827" customFormat="false" ht="15" hidden="false" customHeight="false" outlineLevel="0" collapsed="false">
      <c r="A827" s="64"/>
      <c r="B827" s="65"/>
      <c r="C827" s="64"/>
      <c r="D827" s="64"/>
      <c r="E827" s="64"/>
      <c r="F827" s="64"/>
      <c r="G827" s="64"/>
      <c r="H827" s="66"/>
      <c r="I827" s="66"/>
      <c r="J827" s="64"/>
      <c r="K827" s="64"/>
      <c r="L827" s="64"/>
      <c r="M827" s="67" t="str">
        <f aca="false">IF(A827="","",IF(AND(B827&gt;=WeekStart,B827&lt;=WeekEnd),"Yes","No"))</f>
        <v/>
      </c>
      <c r="N827" s="67" t="str">
        <f aca="false">IF(A827="","",IF(L827&lt;&gt;"Verified","Not verified",IF(COUNTIFS(in_CGID,C827,in_ClientID,E827,in_Svc,G827)&gt;0,"Yes","Not entered")))</f>
        <v/>
      </c>
    </row>
    <row r="828" customFormat="false" ht="15" hidden="false" customHeight="false" outlineLevel="0" collapsed="false">
      <c r="A828" s="64"/>
      <c r="B828" s="65"/>
      <c r="C828" s="64"/>
      <c r="D828" s="64"/>
      <c r="E828" s="64"/>
      <c r="F828" s="64"/>
      <c r="G828" s="64"/>
      <c r="H828" s="66"/>
      <c r="I828" s="66"/>
      <c r="J828" s="64"/>
      <c r="K828" s="64"/>
      <c r="L828" s="64"/>
      <c r="M828" s="67" t="str">
        <f aca="false">IF(A828="","",IF(AND(B828&gt;=WeekStart,B828&lt;=WeekEnd),"Yes","No"))</f>
        <v/>
      </c>
      <c r="N828" s="67" t="str">
        <f aca="false">IF(A828="","",IF(L828&lt;&gt;"Verified","Not verified",IF(COUNTIFS(in_CGID,C828,in_ClientID,E828,in_Svc,G828)&gt;0,"Yes","Not entered")))</f>
        <v/>
      </c>
    </row>
    <row r="829" customFormat="false" ht="15" hidden="false" customHeight="false" outlineLevel="0" collapsed="false">
      <c r="A829" s="64"/>
      <c r="B829" s="65"/>
      <c r="C829" s="64"/>
      <c r="D829" s="64"/>
      <c r="E829" s="64"/>
      <c r="F829" s="64"/>
      <c r="G829" s="64"/>
      <c r="H829" s="66"/>
      <c r="I829" s="66"/>
      <c r="J829" s="64"/>
      <c r="K829" s="64"/>
      <c r="L829" s="64"/>
      <c r="M829" s="67" t="str">
        <f aca="false">IF(A829="","",IF(AND(B829&gt;=WeekStart,B829&lt;=WeekEnd),"Yes","No"))</f>
        <v/>
      </c>
      <c r="N829" s="67" t="str">
        <f aca="false">IF(A829="","",IF(L829&lt;&gt;"Verified","Not verified",IF(COUNTIFS(in_CGID,C829,in_ClientID,E829,in_Svc,G829)&gt;0,"Yes","Not entered")))</f>
        <v/>
      </c>
    </row>
    <row r="830" customFormat="false" ht="15" hidden="false" customHeight="false" outlineLevel="0" collapsed="false">
      <c r="A830" s="64"/>
      <c r="B830" s="65"/>
      <c r="C830" s="64"/>
      <c r="D830" s="64"/>
      <c r="E830" s="64"/>
      <c r="F830" s="64"/>
      <c r="G830" s="64"/>
      <c r="H830" s="66"/>
      <c r="I830" s="66"/>
      <c r="J830" s="64"/>
      <c r="K830" s="64"/>
      <c r="L830" s="64"/>
      <c r="M830" s="67" t="str">
        <f aca="false">IF(A830="","",IF(AND(B830&gt;=WeekStart,B830&lt;=WeekEnd),"Yes","No"))</f>
        <v/>
      </c>
      <c r="N830" s="67" t="str">
        <f aca="false">IF(A830="","",IF(L830&lt;&gt;"Verified","Not verified",IF(COUNTIFS(in_CGID,C830,in_ClientID,E830,in_Svc,G830)&gt;0,"Yes","Not entered")))</f>
        <v/>
      </c>
    </row>
    <row r="831" customFormat="false" ht="15" hidden="false" customHeight="false" outlineLevel="0" collapsed="false">
      <c r="A831" s="64"/>
      <c r="B831" s="65"/>
      <c r="C831" s="64"/>
      <c r="D831" s="64"/>
      <c r="E831" s="64"/>
      <c r="F831" s="64"/>
      <c r="G831" s="64"/>
      <c r="H831" s="66"/>
      <c r="I831" s="66"/>
      <c r="J831" s="64"/>
      <c r="K831" s="64"/>
      <c r="L831" s="64"/>
      <c r="M831" s="67" t="str">
        <f aca="false">IF(A831="","",IF(AND(B831&gt;=WeekStart,B831&lt;=WeekEnd),"Yes","No"))</f>
        <v/>
      </c>
      <c r="N831" s="67" t="str">
        <f aca="false">IF(A831="","",IF(L831&lt;&gt;"Verified","Not verified",IF(COUNTIFS(in_CGID,C831,in_ClientID,E831,in_Svc,G831)&gt;0,"Yes","Not entered")))</f>
        <v/>
      </c>
    </row>
    <row r="832" customFormat="false" ht="15" hidden="false" customHeight="false" outlineLevel="0" collapsed="false">
      <c r="A832" s="64"/>
      <c r="B832" s="65"/>
      <c r="C832" s="64"/>
      <c r="D832" s="64"/>
      <c r="E832" s="64"/>
      <c r="F832" s="64"/>
      <c r="G832" s="64"/>
      <c r="H832" s="66"/>
      <c r="I832" s="66"/>
      <c r="J832" s="64"/>
      <c r="K832" s="64"/>
      <c r="L832" s="64"/>
      <c r="M832" s="67" t="str">
        <f aca="false">IF(A832="","",IF(AND(B832&gt;=WeekStart,B832&lt;=WeekEnd),"Yes","No"))</f>
        <v/>
      </c>
      <c r="N832" s="67" t="str">
        <f aca="false">IF(A832="","",IF(L832&lt;&gt;"Verified","Not verified",IF(COUNTIFS(in_CGID,C832,in_ClientID,E832,in_Svc,G832)&gt;0,"Yes","Not entered")))</f>
        <v/>
      </c>
    </row>
    <row r="833" customFormat="false" ht="15" hidden="false" customHeight="false" outlineLevel="0" collapsed="false">
      <c r="A833" s="64"/>
      <c r="B833" s="65"/>
      <c r="C833" s="64"/>
      <c r="D833" s="64"/>
      <c r="E833" s="64"/>
      <c r="F833" s="64"/>
      <c r="G833" s="64"/>
      <c r="H833" s="66"/>
      <c r="I833" s="66"/>
      <c r="J833" s="64"/>
      <c r="K833" s="64"/>
      <c r="L833" s="64"/>
      <c r="M833" s="67" t="str">
        <f aca="false">IF(A833="","",IF(AND(B833&gt;=WeekStart,B833&lt;=WeekEnd),"Yes","No"))</f>
        <v/>
      </c>
      <c r="N833" s="67" t="str">
        <f aca="false">IF(A833="","",IF(L833&lt;&gt;"Verified","Not verified",IF(COUNTIFS(in_CGID,C833,in_ClientID,E833,in_Svc,G833)&gt;0,"Yes","Not entered")))</f>
        <v/>
      </c>
    </row>
    <row r="834" customFormat="false" ht="15" hidden="false" customHeight="false" outlineLevel="0" collapsed="false">
      <c r="A834" s="64"/>
      <c r="B834" s="65"/>
      <c r="C834" s="64"/>
      <c r="D834" s="64"/>
      <c r="E834" s="64"/>
      <c r="F834" s="64"/>
      <c r="G834" s="64"/>
      <c r="H834" s="66"/>
      <c r="I834" s="66"/>
      <c r="J834" s="64"/>
      <c r="K834" s="64"/>
      <c r="L834" s="64"/>
      <c r="M834" s="67" t="str">
        <f aca="false">IF(A834="","",IF(AND(B834&gt;=WeekStart,B834&lt;=WeekEnd),"Yes","No"))</f>
        <v/>
      </c>
      <c r="N834" s="67" t="str">
        <f aca="false">IF(A834="","",IF(L834&lt;&gt;"Verified","Not verified",IF(COUNTIFS(in_CGID,C834,in_ClientID,E834,in_Svc,G834)&gt;0,"Yes","Not entered")))</f>
        <v/>
      </c>
    </row>
    <row r="835" customFormat="false" ht="15" hidden="false" customHeight="false" outlineLevel="0" collapsed="false">
      <c r="A835" s="64"/>
      <c r="B835" s="65"/>
      <c r="C835" s="64"/>
      <c r="D835" s="64"/>
      <c r="E835" s="64"/>
      <c r="F835" s="64"/>
      <c r="G835" s="64"/>
      <c r="H835" s="66"/>
      <c r="I835" s="66"/>
      <c r="J835" s="64"/>
      <c r="K835" s="64"/>
      <c r="L835" s="64"/>
      <c r="M835" s="67" t="str">
        <f aca="false">IF(A835="","",IF(AND(B835&gt;=WeekStart,B835&lt;=WeekEnd),"Yes","No"))</f>
        <v/>
      </c>
      <c r="N835" s="67" t="str">
        <f aca="false">IF(A835="","",IF(L835&lt;&gt;"Verified","Not verified",IF(COUNTIFS(in_CGID,C835,in_ClientID,E835,in_Svc,G835)&gt;0,"Yes","Not entered")))</f>
        <v/>
      </c>
    </row>
    <row r="836" customFormat="false" ht="15" hidden="false" customHeight="false" outlineLevel="0" collapsed="false">
      <c r="A836" s="64"/>
      <c r="B836" s="65"/>
      <c r="C836" s="64"/>
      <c r="D836" s="64"/>
      <c r="E836" s="64"/>
      <c r="F836" s="64"/>
      <c r="G836" s="64"/>
      <c r="H836" s="66"/>
      <c r="I836" s="66"/>
      <c r="J836" s="64"/>
      <c r="K836" s="64"/>
      <c r="L836" s="64"/>
      <c r="M836" s="67" t="str">
        <f aca="false">IF(A836="","",IF(AND(B836&gt;=WeekStart,B836&lt;=WeekEnd),"Yes","No"))</f>
        <v/>
      </c>
      <c r="N836" s="67" t="str">
        <f aca="false">IF(A836="","",IF(L836&lt;&gt;"Verified","Not verified",IF(COUNTIFS(in_CGID,C836,in_ClientID,E836,in_Svc,G836)&gt;0,"Yes","Not entered")))</f>
        <v/>
      </c>
    </row>
    <row r="837" customFormat="false" ht="15" hidden="false" customHeight="false" outlineLevel="0" collapsed="false">
      <c r="A837" s="64"/>
      <c r="B837" s="65"/>
      <c r="C837" s="64"/>
      <c r="D837" s="64"/>
      <c r="E837" s="64"/>
      <c r="F837" s="64"/>
      <c r="G837" s="64"/>
      <c r="H837" s="66"/>
      <c r="I837" s="66"/>
      <c r="J837" s="64"/>
      <c r="K837" s="64"/>
      <c r="L837" s="64"/>
      <c r="M837" s="67" t="str">
        <f aca="false">IF(A837="","",IF(AND(B837&gt;=WeekStart,B837&lt;=WeekEnd),"Yes","No"))</f>
        <v/>
      </c>
      <c r="N837" s="67" t="str">
        <f aca="false">IF(A837="","",IF(L837&lt;&gt;"Verified","Not verified",IF(COUNTIFS(in_CGID,C837,in_ClientID,E837,in_Svc,G837)&gt;0,"Yes","Not entered")))</f>
        <v/>
      </c>
    </row>
    <row r="838" customFormat="false" ht="15" hidden="false" customHeight="false" outlineLevel="0" collapsed="false">
      <c r="A838" s="64"/>
      <c r="B838" s="65"/>
      <c r="C838" s="64"/>
      <c r="D838" s="64"/>
      <c r="E838" s="64"/>
      <c r="F838" s="64"/>
      <c r="G838" s="64"/>
      <c r="H838" s="66"/>
      <c r="I838" s="66"/>
      <c r="J838" s="64"/>
      <c r="K838" s="64"/>
      <c r="L838" s="64"/>
      <c r="M838" s="67" t="str">
        <f aca="false">IF(A838="","",IF(AND(B838&gt;=WeekStart,B838&lt;=WeekEnd),"Yes","No"))</f>
        <v/>
      </c>
      <c r="N838" s="67" t="str">
        <f aca="false">IF(A838="","",IF(L838&lt;&gt;"Verified","Not verified",IF(COUNTIFS(in_CGID,C838,in_ClientID,E838,in_Svc,G838)&gt;0,"Yes","Not entered")))</f>
        <v/>
      </c>
    </row>
    <row r="839" customFormat="false" ht="15" hidden="false" customHeight="false" outlineLevel="0" collapsed="false">
      <c r="A839" s="64"/>
      <c r="B839" s="65"/>
      <c r="C839" s="64"/>
      <c r="D839" s="64"/>
      <c r="E839" s="64"/>
      <c r="F839" s="64"/>
      <c r="G839" s="64"/>
      <c r="H839" s="66"/>
      <c r="I839" s="66"/>
      <c r="J839" s="64"/>
      <c r="K839" s="64"/>
      <c r="L839" s="64"/>
      <c r="M839" s="67" t="str">
        <f aca="false">IF(A839="","",IF(AND(B839&gt;=WeekStart,B839&lt;=WeekEnd),"Yes","No"))</f>
        <v/>
      </c>
      <c r="N839" s="67" t="str">
        <f aca="false">IF(A839="","",IF(L839&lt;&gt;"Verified","Not verified",IF(COUNTIFS(in_CGID,C839,in_ClientID,E839,in_Svc,G839)&gt;0,"Yes","Not entered")))</f>
        <v/>
      </c>
    </row>
    <row r="840" customFormat="false" ht="15" hidden="false" customHeight="false" outlineLevel="0" collapsed="false">
      <c r="A840" s="64"/>
      <c r="B840" s="65"/>
      <c r="C840" s="64"/>
      <c r="D840" s="64"/>
      <c r="E840" s="64"/>
      <c r="F840" s="64"/>
      <c r="G840" s="64"/>
      <c r="H840" s="66"/>
      <c r="I840" s="66"/>
      <c r="J840" s="64"/>
      <c r="K840" s="64"/>
      <c r="L840" s="64"/>
      <c r="M840" s="67" t="str">
        <f aca="false">IF(A840="","",IF(AND(B840&gt;=WeekStart,B840&lt;=WeekEnd),"Yes","No"))</f>
        <v/>
      </c>
      <c r="N840" s="67" t="str">
        <f aca="false">IF(A840="","",IF(L840&lt;&gt;"Verified","Not verified",IF(COUNTIFS(in_CGID,C840,in_ClientID,E840,in_Svc,G840)&gt;0,"Yes","Not entered")))</f>
        <v/>
      </c>
    </row>
    <row r="841" customFormat="false" ht="15" hidden="false" customHeight="false" outlineLevel="0" collapsed="false">
      <c r="A841" s="64"/>
      <c r="B841" s="65"/>
      <c r="C841" s="64"/>
      <c r="D841" s="64"/>
      <c r="E841" s="64"/>
      <c r="F841" s="64"/>
      <c r="G841" s="64"/>
      <c r="H841" s="66"/>
      <c r="I841" s="66"/>
      <c r="J841" s="64"/>
      <c r="K841" s="64"/>
      <c r="L841" s="64"/>
      <c r="M841" s="67" t="str">
        <f aca="false">IF(A841="","",IF(AND(B841&gt;=WeekStart,B841&lt;=WeekEnd),"Yes","No"))</f>
        <v/>
      </c>
      <c r="N841" s="67" t="str">
        <f aca="false">IF(A841="","",IF(L841&lt;&gt;"Verified","Not verified",IF(COUNTIFS(in_CGID,C841,in_ClientID,E841,in_Svc,G841)&gt;0,"Yes","Not entered")))</f>
        <v/>
      </c>
    </row>
    <row r="842" customFormat="false" ht="15" hidden="false" customHeight="false" outlineLevel="0" collapsed="false">
      <c r="A842" s="64"/>
      <c r="B842" s="65"/>
      <c r="C842" s="64"/>
      <c r="D842" s="64"/>
      <c r="E842" s="64"/>
      <c r="F842" s="64"/>
      <c r="G842" s="64"/>
      <c r="H842" s="66"/>
      <c r="I842" s="66"/>
      <c r="J842" s="64"/>
      <c r="K842" s="64"/>
      <c r="L842" s="64"/>
      <c r="M842" s="67" t="str">
        <f aca="false">IF(A842="","",IF(AND(B842&gt;=WeekStart,B842&lt;=WeekEnd),"Yes","No"))</f>
        <v/>
      </c>
      <c r="N842" s="67" t="str">
        <f aca="false">IF(A842="","",IF(L842&lt;&gt;"Verified","Not verified",IF(COUNTIFS(in_CGID,C842,in_ClientID,E842,in_Svc,G842)&gt;0,"Yes","Not entered")))</f>
        <v/>
      </c>
    </row>
    <row r="843" customFormat="false" ht="15" hidden="false" customHeight="false" outlineLevel="0" collapsed="false">
      <c r="A843" s="64"/>
      <c r="B843" s="65"/>
      <c r="C843" s="64"/>
      <c r="D843" s="64"/>
      <c r="E843" s="64"/>
      <c r="F843" s="64"/>
      <c r="G843" s="64"/>
      <c r="H843" s="66"/>
      <c r="I843" s="66"/>
      <c r="J843" s="64"/>
      <c r="K843" s="64"/>
      <c r="L843" s="64"/>
      <c r="M843" s="67" t="str">
        <f aca="false">IF(A843="","",IF(AND(B843&gt;=WeekStart,B843&lt;=WeekEnd),"Yes","No"))</f>
        <v/>
      </c>
      <c r="N843" s="67" t="str">
        <f aca="false">IF(A843="","",IF(L843&lt;&gt;"Verified","Not verified",IF(COUNTIFS(in_CGID,C843,in_ClientID,E843,in_Svc,G843)&gt;0,"Yes","Not entered")))</f>
        <v/>
      </c>
    </row>
    <row r="844" customFormat="false" ht="15" hidden="false" customHeight="false" outlineLevel="0" collapsed="false">
      <c r="A844" s="64"/>
      <c r="B844" s="65"/>
      <c r="C844" s="64"/>
      <c r="D844" s="64"/>
      <c r="E844" s="64"/>
      <c r="F844" s="64"/>
      <c r="G844" s="64"/>
      <c r="H844" s="66"/>
      <c r="I844" s="66"/>
      <c r="J844" s="64"/>
      <c r="K844" s="64"/>
      <c r="L844" s="64"/>
      <c r="M844" s="67" t="str">
        <f aca="false">IF(A844="","",IF(AND(B844&gt;=WeekStart,B844&lt;=WeekEnd),"Yes","No"))</f>
        <v/>
      </c>
      <c r="N844" s="67" t="str">
        <f aca="false">IF(A844="","",IF(L844&lt;&gt;"Verified","Not verified",IF(COUNTIFS(in_CGID,C844,in_ClientID,E844,in_Svc,G844)&gt;0,"Yes","Not entered")))</f>
        <v/>
      </c>
    </row>
    <row r="845" customFormat="false" ht="15" hidden="false" customHeight="false" outlineLevel="0" collapsed="false">
      <c r="A845" s="64"/>
      <c r="B845" s="65"/>
      <c r="C845" s="64"/>
      <c r="D845" s="64"/>
      <c r="E845" s="64"/>
      <c r="F845" s="64"/>
      <c r="G845" s="64"/>
      <c r="H845" s="66"/>
      <c r="I845" s="66"/>
      <c r="J845" s="64"/>
      <c r="K845" s="64"/>
      <c r="L845" s="64"/>
      <c r="M845" s="67" t="str">
        <f aca="false">IF(A845="","",IF(AND(B845&gt;=WeekStart,B845&lt;=WeekEnd),"Yes","No"))</f>
        <v/>
      </c>
      <c r="N845" s="67" t="str">
        <f aca="false">IF(A845="","",IF(L845&lt;&gt;"Verified","Not verified",IF(COUNTIFS(in_CGID,C845,in_ClientID,E845,in_Svc,G845)&gt;0,"Yes","Not entered")))</f>
        <v/>
      </c>
    </row>
    <row r="846" customFormat="false" ht="15" hidden="false" customHeight="false" outlineLevel="0" collapsed="false">
      <c r="A846" s="64"/>
      <c r="B846" s="65"/>
      <c r="C846" s="64"/>
      <c r="D846" s="64"/>
      <c r="E846" s="64"/>
      <c r="F846" s="64"/>
      <c r="G846" s="64"/>
      <c r="H846" s="66"/>
      <c r="I846" s="66"/>
      <c r="J846" s="64"/>
      <c r="K846" s="64"/>
      <c r="L846" s="64"/>
      <c r="M846" s="67" t="str">
        <f aca="false">IF(A846="","",IF(AND(B846&gt;=WeekStart,B846&lt;=WeekEnd),"Yes","No"))</f>
        <v/>
      </c>
      <c r="N846" s="67" t="str">
        <f aca="false">IF(A846="","",IF(L846&lt;&gt;"Verified","Not verified",IF(COUNTIFS(in_CGID,C846,in_ClientID,E846,in_Svc,G846)&gt;0,"Yes","Not entered")))</f>
        <v/>
      </c>
    </row>
    <row r="847" customFormat="false" ht="15" hidden="false" customHeight="false" outlineLevel="0" collapsed="false">
      <c r="A847" s="64"/>
      <c r="B847" s="65"/>
      <c r="C847" s="64"/>
      <c r="D847" s="64"/>
      <c r="E847" s="64"/>
      <c r="F847" s="64"/>
      <c r="G847" s="64"/>
      <c r="H847" s="66"/>
      <c r="I847" s="66"/>
      <c r="J847" s="64"/>
      <c r="K847" s="64"/>
      <c r="L847" s="64"/>
      <c r="M847" s="67" t="str">
        <f aca="false">IF(A847="","",IF(AND(B847&gt;=WeekStart,B847&lt;=WeekEnd),"Yes","No"))</f>
        <v/>
      </c>
      <c r="N847" s="67" t="str">
        <f aca="false">IF(A847="","",IF(L847&lt;&gt;"Verified","Not verified",IF(COUNTIFS(in_CGID,C847,in_ClientID,E847,in_Svc,G847)&gt;0,"Yes","Not entered")))</f>
        <v/>
      </c>
    </row>
    <row r="848" customFormat="false" ht="15" hidden="false" customHeight="false" outlineLevel="0" collapsed="false">
      <c r="A848" s="64"/>
      <c r="B848" s="65"/>
      <c r="C848" s="64"/>
      <c r="D848" s="64"/>
      <c r="E848" s="64"/>
      <c r="F848" s="64"/>
      <c r="G848" s="64"/>
      <c r="H848" s="66"/>
      <c r="I848" s="66"/>
      <c r="J848" s="64"/>
      <c r="K848" s="64"/>
      <c r="L848" s="64"/>
      <c r="M848" s="67" t="str">
        <f aca="false">IF(A848="","",IF(AND(B848&gt;=WeekStart,B848&lt;=WeekEnd),"Yes","No"))</f>
        <v/>
      </c>
      <c r="N848" s="67" t="str">
        <f aca="false">IF(A848="","",IF(L848&lt;&gt;"Verified","Not verified",IF(COUNTIFS(in_CGID,C848,in_ClientID,E848,in_Svc,G848)&gt;0,"Yes","Not entered")))</f>
        <v/>
      </c>
    </row>
    <row r="849" customFormat="false" ht="15" hidden="false" customHeight="false" outlineLevel="0" collapsed="false">
      <c r="A849" s="64"/>
      <c r="B849" s="65"/>
      <c r="C849" s="64"/>
      <c r="D849" s="64"/>
      <c r="E849" s="64"/>
      <c r="F849" s="64"/>
      <c r="G849" s="64"/>
      <c r="H849" s="66"/>
      <c r="I849" s="66"/>
      <c r="J849" s="64"/>
      <c r="K849" s="64"/>
      <c r="L849" s="64"/>
      <c r="M849" s="67" t="str">
        <f aca="false">IF(A849="","",IF(AND(B849&gt;=WeekStart,B849&lt;=WeekEnd),"Yes","No"))</f>
        <v/>
      </c>
      <c r="N849" s="67" t="str">
        <f aca="false">IF(A849="","",IF(L849&lt;&gt;"Verified","Not verified",IF(COUNTIFS(in_CGID,C849,in_ClientID,E849,in_Svc,G849)&gt;0,"Yes","Not entered")))</f>
        <v/>
      </c>
    </row>
    <row r="850" customFormat="false" ht="15" hidden="false" customHeight="false" outlineLevel="0" collapsed="false">
      <c r="A850" s="64"/>
      <c r="B850" s="65"/>
      <c r="C850" s="64"/>
      <c r="D850" s="64"/>
      <c r="E850" s="64"/>
      <c r="F850" s="64"/>
      <c r="G850" s="64"/>
      <c r="H850" s="66"/>
      <c r="I850" s="66"/>
      <c r="J850" s="64"/>
      <c r="K850" s="64"/>
      <c r="L850" s="64"/>
      <c r="M850" s="67" t="str">
        <f aca="false">IF(A850="","",IF(AND(B850&gt;=WeekStart,B850&lt;=WeekEnd),"Yes","No"))</f>
        <v/>
      </c>
      <c r="N850" s="67" t="str">
        <f aca="false">IF(A850="","",IF(L850&lt;&gt;"Verified","Not verified",IF(COUNTIFS(in_CGID,C850,in_ClientID,E850,in_Svc,G850)&gt;0,"Yes","Not entered")))</f>
        <v/>
      </c>
    </row>
    <row r="851" customFormat="false" ht="15" hidden="false" customHeight="false" outlineLevel="0" collapsed="false">
      <c r="A851" s="64"/>
      <c r="B851" s="65"/>
      <c r="C851" s="64"/>
      <c r="D851" s="64"/>
      <c r="E851" s="64"/>
      <c r="F851" s="64"/>
      <c r="G851" s="64"/>
      <c r="H851" s="66"/>
      <c r="I851" s="66"/>
      <c r="J851" s="64"/>
      <c r="K851" s="64"/>
      <c r="L851" s="64"/>
      <c r="M851" s="67" t="str">
        <f aca="false">IF(A851="","",IF(AND(B851&gt;=WeekStart,B851&lt;=WeekEnd),"Yes","No"))</f>
        <v/>
      </c>
      <c r="N851" s="67" t="str">
        <f aca="false">IF(A851="","",IF(L851&lt;&gt;"Verified","Not verified",IF(COUNTIFS(in_CGID,C851,in_ClientID,E851,in_Svc,G851)&gt;0,"Yes","Not entered")))</f>
        <v/>
      </c>
    </row>
    <row r="852" customFormat="false" ht="15" hidden="false" customHeight="false" outlineLevel="0" collapsed="false">
      <c r="A852" s="64"/>
      <c r="B852" s="65"/>
      <c r="C852" s="64"/>
      <c r="D852" s="64"/>
      <c r="E852" s="64"/>
      <c r="F852" s="64"/>
      <c r="G852" s="64"/>
      <c r="H852" s="66"/>
      <c r="I852" s="66"/>
      <c r="J852" s="64"/>
      <c r="K852" s="64"/>
      <c r="L852" s="64"/>
      <c r="M852" s="67" t="str">
        <f aca="false">IF(A852="","",IF(AND(B852&gt;=WeekStart,B852&lt;=WeekEnd),"Yes","No"))</f>
        <v/>
      </c>
      <c r="N852" s="67" t="str">
        <f aca="false">IF(A852="","",IF(L852&lt;&gt;"Verified","Not verified",IF(COUNTIFS(in_CGID,C852,in_ClientID,E852,in_Svc,G852)&gt;0,"Yes","Not entered")))</f>
        <v/>
      </c>
    </row>
    <row r="853" customFormat="false" ht="15" hidden="false" customHeight="false" outlineLevel="0" collapsed="false">
      <c r="A853" s="64"/>
      <c r="B853" s="65"/>
      <c r="C853" s="64"/>
      <c r="D853" s="64"/>
      <c r="E853" s="64"/>
      <c r="F853" s="64"/>
      <c r="G853" s="64"/>
      <c r="H853" s="66"/>
      <c r="I853" s="66"/>
      <c r="J853" s="64"/>
      <c r="K853" s="64"/>
      <c r="L853" s="64"/>
      <c r="M853" s="67" t="str">
        <f aca="false">IF(A853="","",IF(AND(B853&gt;=WeekStart,B853&lt;=WeekEnd),"Yes","No"))</f>
        <v/>
      </c>
      <c r="N853" s="67" t="str">
        <f aca="false">IF(A853="","",IF(L853&lt;&gt;"Verified","Not verified",IF(COUNTIFS(in_CGID,C853,in_ClientID,E853,in_Svc,G853)&gt;0,"Yes","Not entered")))</f>
        <v/>
      </c>
    </row>
    <row r="854" customFormat="false" ht="15" hidden="false" customHeight="false" outlineLevel="0" collapsed="false">
      <c r="A854" s="64"/>
      <c r="B854" s="65"/>
      <c r="C854" s="64"/>
      <c r="D854" s="64"/>
      <c r="E854" s="64"/>
      <c r="F854" s="64"/>
      <c r="G854" s="64"/>
      <c r="H854" s="66"/>
      <c r="I854" s="66"/>
      <c r="J854" s="64"/>
      <c r="K854" s="64"/>
      <c r="L854" s="64"/>
      <c r="M854" s="67" t="str">
        <f aca="false">IF(A854="","",IF(AND(B854&gt;=WeekStart,B854&lt;=WeekEnd),"Yes","No"))</f>
        <v/>
      </c>
      <c r="N854" s="67" t="str">
        <f aca="false">IF(A854="","",IF(L854&lt;&gt;"Verified","Not verified",IF(COUNTIFS(in_CGID,C854,in_ClientID,E854,in_Svc,G854)&gt;0,"Yes","Not entered")))</f>
        <v/>
      </c>
    </row>
    <row r="855" customFormat="false" ht="15" hidden="false" customHeight="false" outlineLevel="0" collapsed="false">
      <c r="A855" s="64"/>
      <c r="B855" s="65"/>
      <c r="C855" s="64"/>
      <c r="D855" s="64"/>
      <c r="E855" s="64"/>
      <c r="F855" s="64"/>
      <c r="G855" s="64"/>
      <c r="H855" s="66"/>
      <c r="I855" s="66"/>
      <c r="J855" s="64"/>
      <c r="K855" s="64"/>
      <c r="L855" s="64"/>
      <c r="M855" s="67" t="str">
        <f aca="false">IF(A855="","",IF(AND(B855&gt;=WeekStart,B855&lt;=WeekEnd),"Yes","No"))</f>
        <v/>
      </c>
      <c r="N855" s="67" t="str">
        <f aca="false">IF(A855="","",IF(L855&lt;&gt;"Verified","Not verified",IF(COUNTIFS(in_CGID,C855,in_ClientID,E855,in_Svc,G855)&gt;0,"Yes","Not entered")))</f>
        <v/>
      </c>
    </row>
    <row r="856" customFormat="false" ht="15" hidden="false" customHeight="false" outlineLevel="0" collapsed="false">
      <c r="A856" s="64"/>
      <c r="B856" s="65"/>
      <c r="C856" s="64"/>
      <c r="D856" s="64"/>
      <c r="E856" s="64"/>
      <c r="F856" s="64"/>
      <c r="G856" s="64"/>
      <c r="H856" s="66"/>
      <c r="I856" s="66"/>
      <c r="J856" s="64"/>
      <c r="K856" s="64"/>
      <c r="L856" s="64"/>
      <c r="M856" s="67" t="str">
        <f aca="false">IF(A856="","",IF(AND(B856&gt;=WeekStart,B856&lt;=WeekEnd),"Yes","No"))</f>
        <v/>
      </c>
      <c r="N856" s="67" t="str">
        <f aca="false">IF(A856="","",IF(L856&lt;&gt;"Verified","Not verified",IF(COUNTIFS(in_CGID,C856,in_ClientID,E856,in_Svc,G856)&gt;0,"Yes","Not entered")))</f>
        <v/>
      </c>
    </row>
    <row r="857" customFormat="false" ht="15" hidden="false" customHeight="false" outlineLevel="0" collapsed="false">
      <c r="A857" s="64"/>
      <c r="B857" s="65"/>
      <c r="C857" s="64"/>
      <c r="D857" s="64"/>
      <c r="E857" s="64"/>
      <c r="F857" s="64"/>
      <c r="G857" s="64"/>
      <c r="H857" s="66"/>
      <c r="I857" s="66"/>
      <c r="J857" s="64"/>
      <c r="K857" s="64"/>
      <c r="L857" s="64"/>
      <c r="M857" s="67" t="str">
        <f aca="false">IF(A857="","",IF(AND(B857&gt;=WeekStart,B857&lt;=WeekEnd),"Yes","No"))</f>
        <v/>
      </c>
      <c r="N857" s="67" t="str">
        <f aca="false">IF(A857="","",IF(L857&lt;&gt;"Verified","Not verified",IF(COUNTIFS(in_CGID,C857,in_ClientID,E857,in_Svc,G857)&gt;0,"Yes","Not entered")))</f>
        <v/>
      </c>
    </row>
    <row r="858" customFormat="false" ht="15" hidden="false" customHeight="false" outlineLevel="0" collapsed="false">
      <c r="A858" s="64"/>
      <c r="B858" s="65"/>
      <c r="C858" s="64"/>
      <c r="D858" s="64"/>
      <c r="E858" s="64"/>
      <c r="F858" s="64"/>
      <c r="G858" s="64"/>
      <c r="H858" s="66"/>
      <c r="I858" s="66"/>
      <c r="J858" s="64"/>
      <c r="K858" s="64"/>
      <c r="L858" s="64"/>
      <c r="M858" s="67" t="str">
        <f aca="false">IF(A858="","",IF(AND(B858&gt;=WeekStart,B858&lt;=WeekEnd),"Yes","No"))</f>
        <v/>
      </c>
      <c r="N858" s="67" t="str">
        <f aca="false">IF(A858="","",IF(L858&lt;&gt;"Verified","Not verified",IF(COUNTIFS(in_CGID,C858,in_ClientID,E858,in_Svc,G858)&gt;0,"Yes","Not entered")))</f>
        <v/>
      </c>
    </row>
    <row r="859" customFormat="false" ht="15" hidden="false" customHeight="false" outlineLevel="0" collapsed="false">
      <c r="A859" s="64"/>
      <c r="B859" s="65"/>
      <c r="C859" s="64"/>
      <c r="D859" s="64"/>
      <c r="E859" s="64"/>
      <c r="F859" s="64"/>
      <c r="G859" s="64"/>
      <c r="H859" s="66"/>
      <c r="I859" s="66"/>
      <c r="J859" s="64"/>
      <c r="K859" s="64"/>
      <c r="L859" s="64"/>
      <c r="M859" s="67" t="str">
        <f aca="false">IF(A859="","",IF(AND(B859&gt;=WeekStart,B859&lt;=WeekEnd),"Yes","No"))</f>
        <v/>
      </c>
      <c r="N859" s="67" t="str">
        <f aca="false">IF(A859="","",IF(L859&lt;&gt;"Verified","Not verified",IF(COUNTIFS(in_CGID,C859,in_ClientID,E859,in_Svc,G859)&gt;0,"Yes","Not entered")))</f>
        <v/>
      </c>
    </row>
    <row r="860" customFormat="false" ht="15" hidden="false" customHeight="false" outlineLevel="0" collapsed="false">
      <c r="A860" s="64"/>
      <c r="B860" s="65"/>
      <c r="C860" s="64"/>
      <c r="D860" s="64"/>
      <c r="E860" s="64"/>
      <c r="F860" s="64"/>
      <c r="G860" s="64"/>
      <c r="H860" s="66"/>
      <c r="I860" s="66"/>
      <c r="J860" s="64"/>
      <c r="K860" s="64"/>
      <c r="L860" s="64"/>
      <c r="M860" s="67" t="str">
        <f aca="false">IF(A860="","",IF(AND(B860&gt;=WeekStart,B860&lt;=WeekEnd),"Yes","No"))</f>
        <v/>
      </c>
      <c r="N860" s="67" t="str">
        <f aca="false">IF(A860="","",IF(L860&lt;&gt;"Verified","Not verified",IF(COUNTIFS(in_CGID,C860,in_ClientID,E860,in_Svc,G860)&gt;0,"Yes","Not entered")))</f>
        <v/>
      </c>
    </row>
    <row r="861" customFormat="false" ht="15" hidden="false" customHeight="false" outlineLevel="0" collapsed="false">
      <c r="A861" s="64"/>
      <c r="B861" s="65"/>
      <c r="C861" s="64"/>
      <c r="D861" s="64"/>
      <c r="E861" s="64"/>
      <c r="F861" s="64"/>
      <c r="G861" s="64"/>
      <c r="H861" s="66"/>
      <c r="I861" s="66"/>
      <c r="J861" s="64"/>
      <c r="K861" s="64"/>
      <c r="L861" s="64"/>
      <c r="M861" s="67" t="str">
        <f aca="false">IF(A861="","",IF(AND(B861&gt;=WeekStart,B861&lt;=WeekEnd),"Yes","No"))</f>
        <v/>
      </c>
      <c r="N861" s="67" t="str">
        <f aca="false">IF(A861="","",IF(L861&lt;&gt;"Verified","Not verified",IF(COUNTIFS(in_CGID,C861,in_ClientID,E861,in_Svc,G861)&gt;0,"Yes","Not entered")))</f>
        <v/>
      </c>
    </row>
    <row r="862" customFormat="false" ht="15" hidden="false" customHeight="false" outlineLevel="0" collapsed="false">
      <c r="A862" s="64"/>
      <c r="B862" s="65"/>
      <c r="C862" s="64"/>
      <c r="D862" s="64"/>
      <c r="E862" s="64"/>
      <c r="F862" s="64"/>
      <c r="G862" s="64"/>
      <c r="H862" s="66"/>
      <c r="I862" s="66"/>
      <c r="J862" s="64"/>
      <c r="K862" s="64"/>
      <c r="L862" s="64"/>
      <c r="M862" s="67" t="str">
        <f aca="false">IF(A862="","",IF(AND(B862&gt;=WeekStart,B862&lt;=WeekEnd),"Yes","No"))</f>
        <v/>
      </c>
      <c r="N862" s="67" t="str">
        <f aca="false">IF(A862="","",IF(L862&lt;&gt;"Verified","Not verified",IF(COUNTIFS(in_CGID,C862,in_ClientID,E862,in_Svc,G862)&gt;0,"Yes","Not entered")))</f>
        <v/>
      </c>
    </row>
    <row r="863" customFormat="false" ht="15" hidden="false" customHeight="false" outlineLevel="0" collapsed="false">
      <c r="A863" s="64"/>
      <c r="B863" s="65"/>
      <c r="C863" s="64"/>
      <c r="D863" s="64"/>
      <c r="E863" s="64"/>
      <c r="F863" s="64"/>
      <c r="G863" s="64"/>
      <c r="H863" s="66"/>
      <c r="I863" s="66"/>
      <c r="J863" s="64"/>
      <c r="K863" s="64"/>
      <c r="L863" s="64"/>
      <c r="M863" s="67" t="str">
        <f aca="false">IF(A863="","",IF(AND(B863&gt;=WeekStart,B863&lt;=WeekEnd),"Yes","No"))</f>
        <v/>
      </c>
      <c r="N863" s="67" t="str">
        <f aca="false">IF(A863="","",IF(L863&lt;&gt;"Verified","Not verified",IF(COUNTIFS(in_CGID,C863,in_ClientID,E863,in_Svc,G863)&gt;0,"Yes","Not entered")))</f>
        <v/>
      </c>
    </row>
    <row r="864" customFormat="false" ht="15" hidden="false" customHeight="false" outlineLevel="0" collapsed="false">
      <c r="A864" s="64"/>
      <c r="B864" s="65"/>
      <c r="C864" s="64"/>
      <c r="D864" s="64"/>
      <c r="E864" s="64"/>
      <c r="F864" s="64"/>
      <c r="G864" s="64"/>
      <c r="H864" s="66"/>
      <c r="I864" s="66"/>
      <c r="J864" s="64"/>
      <c r="K864" s="64"/>
      <c r="L864" s="64"/>
      <c r="M864" s="67" t="str">
        <f aca="false">IF(A864="","",IF(AND(B864&gt;=WeekStart,B864&lt;=WeekEnd),"Yes","No"))</f>
        <v/>
      </c>
      <c r="N864" s="67" t="str">
        <f aca="false">IF(A864="","",IF(L864&lt;&gt;"Verified","Not verified",IF(COUNTIFS(in_CGID,C864,in_ClientID,E864,in_Svc,G864)&gt;0,"Yes","Not entered")))</f>
        <v/>
      </c>
    </row>
    <row r="865" customFormat="false" ht="15" hidden="false" customHeight="false" outlineLevel="0" collapsed="false">
      <c r="A865" s="64"/>
      <c r="B865" s="65"/>
      <c r="C865" s="64"/>
      <c r="D865" s="64"/>
      <c r="E865" s="64"/>
      <c r="F865" s="64"/>
      <c r="G865" s="64"/>
      <c r="H865" s="66"/>
      <c r="I865" s="66"/>
      <c r="J865" s="64"/>
      <c r="K865" s="64"/>
      <c r="L865" s="64"/>
      <c r="M865" s="67" t="str">
        <f aca="false">IF(A865="","",IF(AND(B865&gt;=WeekStart,B865&lt;=WeekEnd),"Yes","No"))</f>
        <v/>
      </c>
      <c r="N865" s="67" t="str">
        <f aca="false">IF(A865="","",IF(L865&lt;&gt;"Verified","Not verified",IF(COUNTIFS(in_CGID,C865,in_ClientID,E865,in_Svc,G865)&gt;0,"Yes","Not entered")))</f>
        <v/>
      </c>
    </row>
    <row r="866" customFormat="false" ht="15" hidden="false" customHeight="false" outlineLevel="0" collapsed="false">
      <c r="A866" s="64"/>
      <c r="B866" s="65"/>
      <c r="C866" s="64"/>
      <c r="D866" s="64"/>
      <c r="E866" s="64"/>
      <c r="F866" s="64"/>
      <c r="G866" s="64"/>
      <c r="H866" s="66"/>
      <c r="I866" s="66"/>
      <c r="J866" s="64"/>
      <c r="K866" s="64"/>
      <c r="L866" s="64"/>
      <c r="M866" s="67" t="str">
        <f aca="false">IF(A866="","",IF(AND(B866&gt;=WeekStart,B866&lt;=WeekEnd),"Yes","No"))</f>
        <v/>
      </c>
      <c r="N866" s="67" t="str">
        <f aca="false">IF(A866="","",IF(L866&lt;&gt;"Verified","Not verified",IF(COUNTIFS(in_CGID,C866,in_ClientID,E866,in_Svc,G866)&gt;0,"Yes","Not entered")))</f>
        <v/>
      </c>
    </row>
    <row r="867" customFormat="false" ht="15" hidden="false" customHeight="false" outlineLevel="0" collapsed="false">
      <c r="A867" s="64"/>
      <c r="B867" s="65"/>
      <c r="C867" s="64"/>
      <c r="D867" s="64"/>
      <c r="E867" s="64"/>
      <c r="F867" s="64"/>
      <c r="G867" s="64"/>
      <c r="H867" s="66"/>
      <c r="I867" s="66"/>
      <c r="J867" s="64"/>
      <c r="K867" s="64"/>
      <c r="L867" s="64"/>
      <c r="M867" s="67" t="str">
        <f aca="false">IF(A867="","",IF(AND(B867&gt;=WeekStart,B867&lt;=WeekEnd),"Yes","No"))</f>
        <v/>
      </c>
      <c r="N867" s="67" t="str">
        <f aca="false">IF(A867="","",IF(L867&lt;&gt;"Verified","Not verified",IF(COUNTIFS(in_CGID,C867,in_ClientID,E867,in_Svc,G867)&gt;0,"Yes","Not entered")))</f>
        <v/>
      </c>
    </row>
    <row r="868" customFormat="false" ht="15" hidden="false" customHeight="false" outlineLevel="0" collapsed="false">
      <c r="A868" s="64"/>
      <c r="B868" s="65"/>
      <c r="C868" s="64"/>
      <c r="D868" s="64"/>
      <c r="E868" s="64"/>
      <c r="F868" s="64"/>
      <c r="G868" s="64"/>
      <c r="H868" s="66"/>
      <c r="I868" s="66"/>
      <c r="J868" s="64"/>
      <c r="K868" s="64"/>
      <c r="L868" s="64"/>
      <c r="M868" s="67" t="str">
        <f aca="false">IF(A868="","",IF(AND(B868&gt;=WeekStart,B868&lt;=WeekEnd),"Yes","No"))</f>
        <v/>
      </c>
      <c r="N868" s="67" t="str">
        <f aca="false">IF(A868="","",IF(L868&lt;&gt;"Verified","Not verified",IF(COUNTIFS(in_CGID,C868,in_ClientID,E868,in_Svc,G868)&gt;0,"Yes","Not entered")))</f>
        <v/>
      </c>
    </row>
    <row r="869" customFormat="false" ht="15" hidden="false" customHeight="false" outlineLevel="0" collapsed="false">
      <c r="A869" s="64"/>
      <c r="B869" s="65"/>
      <c r="C869" s="64"/>
      <c r="D869" s="64"/>
      <c r="E869" s="64"/>
      <c r="F869" s="64"/>
      <c r="G869" s="64"/>
      <c r="H869" s="66"/>
      <c r="I869" s="66"/>
      <c r="J869" s="64"/>
      <c r="K869" s="64"/>
      <c r="L869" s="64"/>
      <c r="M869" s="67" t="str">
        <f aca="false">IF(A869="","",IF(AND(B869&gt;=WeekStart,B869&lt;=WeekEnd),"Yes","No"))</f>
        <v/>
      </c>
      <c r="N869" s="67" t="str">
        <f aca="false">IF(A869="","",IF(L869&lt;&gt;"Verified","Not verified",IF(COUNTIFS(in_CGID,C869,in_ClientID,E869,in_Svc,G869)&gt;0,"Yes","Not entered")))</f>
        <v/>
      </c>
    </row>
    <row r="870" customFormat="false" ht="15" hidden="false" customHeight="false" outlineLevel="0" collapsed="false">
      <c r="A870" s="64"/>
      <c r="B870" s="65"/>
      <c r="C870" s="64"/>
      <c r="D870" s="64"/>
      <c r="E870" s="64"/>
      <c r="F870" s="64"/>
      <c r="G870" s="64"/>
      <c r="H870" s="66"/>
      <c r="I870" s="66"/>
      <c r="J870" s="64"/>
      <c r="K870" s="64"/>
      <c r="L870" s="64"/>
      <c r="M870" s="67" t="str">
        <f aca="false">IF(A870="","",IF(AND(B870&gt;=WeekStart,B870&lt;=WeekEnd),"Yes","No"))</f>
        <v/>
      </c>
      <c r="N870" s="67" t="str">
        <f aca="false">IF(A870="","",IF(L870&lt;&gt;"Verified","Not verified",IF(COUNTIFS(in_CGID,C870,in_ClientID,E870,in_Svc,G870)&gt;0,"Yes","Not entered")))</f>
        <v/>
      </c>
    </row>
    <row r="871" customFormat="false" ht="15" hidden="false" customHeight="false" outlineLevel="0" collapsed="false">
      <c r="A871" s="64"/>
      <c r="B871" s="65"/>
      <c r="C871" s="64"/>
      <c r="D871" s="64"/>
      <c r="E871" s="64"/>
      <c r="F871" s="64"/>
      <c r="G871" s="64"/>
      <c r="H871" s="66"/>
      <c r="I871" s="66"/>
      <c r="J871" s="64"/>
      <c r="K871" s="64"/>
      <c r="L871" s="64"/>
      <c r="M871" s="67" t="str">
        <f aca="false">IF(A871="","",IF(AND(B871&gt;=WeekStart,B871&lt;=WeekEnd),"Yes","No"))</f>
        <v/>
      </c>
      <c r="N871" s="67" t="str">
        <f aca="false">IF(A871="","",IF(L871&lt;&gt;"Verified","Not verified",IF(COUNTIFS(in_CGID,C871,in_ClientID,E871,in_Svc,G871)&gt;0,"Yes","Not entered")))</f>
        <v/>
      </c>
    </row>
    <row r="872" customFormat="false" ht="15" hidden="false" customHeight="false" outlineLevel="0" collapsed="false">
      <c r="A872" s="64"/>
      <c r="B872" s="65"/>
      <c r="C872" s="64"/>
      <c r="D872" s="64"/>
      <c r="E872" s="64"/>
      <c r="F872" s="64"/>
      <c r="G872" s="64"/>
      <c r="H872" s="66"/>
      <c r="I872" s="66"/>
      <c r="J872" s="64"/>
      <c r="K872" s="64"/>
      <c r="L872" s="64"/>
      <c r="M872" s="67" t="str">
        <f aca="false">IF(A872="","",IF(AND(B872&gt;=WeekStart,B872&lt;=WeekEnd),"Yes","No"))</f>
        <v/>
      </c>
      <c r="N872" s="67" t="str">
        <f aca="false">IF(A872="","",IF(L872&lt;&gt;"Verified","Not verified",IF(COUNTIFS(in_CGID,C872,in_ClientID,E872,in_Svc,G872)&gt;0,"Yes","Not entered")))</f>
        <v/>
      </c>
    </row>
    <row r="873" customFormat="false" ht="15" hidden="false" customHeight="false" outlineLevel="0" collapsed="false">
      <c r="A873" s="64"/>
      <c r="B873" s="65"/>
      <c r="C873" s="64"/>
      <c r="D873" s="64"/>
      <c r="E873" s="64"/>
      <c r="F873" s="64"/>
      <c r="G873" s="64"/>
      <c r="H873" s="66"/>
      <c r="I873" s="66"/>
      <c r="J873" s="64"/>
      <c r="K873" s="64"/>
      <c r="L873" s="64"/>
      <c r="M873" s="67" t="str">
        <f aca="false">IF(A873="","",IF(AND(B873&gt;=WeekStart,B873&lt;=WeekEnd),"Yes","No"))</f>
        <v/>
      </c>
      <c r="N873" s="67" t="str">
        <f aca="false">IF(A873="","",IF(L873&lt;&gt;"Verified","Not verified",IF(COUNTIFS(in_CGID,C873,in_ClientID,E873,in_Svc,G873)&gt;0,"Yes","Not entered")))</f>
        <v/>
      </c>
    </row>
    <row r="874" customFormat="false" ht="15" hidden="false" customHeight="false" outlineLevel="0" collapsed="false">
      <c r="A874" s="64"/>
      <c r="B874" s="65"/>
      <c r="C874" s="64"/>
      <c r="D874" s="64"/>
      <c r="E874" s="64"/>
      <c r="F874" s="64"/>
      <c r="G874" s="64"/>
      <c r="H874" s="66"/>
      <c r="I874" s="66"/>
      <c r="J874" s="64"/>
      <c r="K874" s="64"/>
      <c r="L874" s="64"/>
      <c r="M874" s="67" t="str">
        <f aca="false">IF(A874="","",IF(AND(B874&gt;=WeekStart,B874&lt;=WeekEnd),"Yes","No"))</f>
        <v/>
      </c>
      <c r="N874" s="67" t="str">
        <f aca="false">IF(A874="","",IF(L874&lt;&gt;"Verified","Not verified",IF(COUNTIFS(in_CGID,C874,in_ClientID,E874,in_Svc,G874)&gt;0,"Yes","Not entered")))</f>
        <v/>
      </c>
    </row>
    <row r="875" customFormat="false" ht="15" hidden="false" customHeight="false" outlineLevel="0" collapsed="false">
      <c r="A875" s="64"/>
      <c r="B875" s="65"/>
      <c r="C875" s="64"/>
      <c r="D875" s="64"/>
      <c r="E875" s="64"/>
      <c r="F875" s="64"/>
      <c r="G875" s="64"/>
      <c r="H875" s="66"/>
      <c r="I875" s="66"/>
      <c r="J875" s="64"/>
      <c r="K875" s="64"/>
      <c r="L875" s="64"/>
      <c r="M875" s="67" t="str">
        <f aca="false">IF(A875="","",IF(AND(B875&gt;=WeekStart,B875&lt;=WeekEnd),"Yes","No"))</f>
        <v/>
      </c>
      <c r="N875" s="67" t="str">
        <f aca="false">IF(A875="","",IF(L875&lt;&gt;"Verified","Not verified",IF(COUNTIFS(in_CGID,C875,in_ClientID,E875,in_Svc,G875)&gt;0,"Yes","Not entered")))</f>
        <v/>
      </c>
    </row>
    <row r="876" customFormat="false" ht="15" hidden="false" customHeight="false" outlineLevel="0" collapsed="false">
      <c r="A876" s="64"/>
      <c r="B876" s="65"/>
      <c r="C876" s="64"/>
      <c r="D876" s="64"/>
      <c r="E876" s="64"/>
      <c r="F876" s="64"/>
      <c r="G876" s="64"/>
      <c r="H876" s="66"/>
      <c r="I876" s="66"/>
      <c r="J876" s="64"/>
      <c r="K876" s="64"/>
      <c r="L876" s="64"/>
      <c r="M876" s="67" t="str">
        <f aca="false">IF(A876="","",IF(AND(B876&gt;=WeekStart,B876&lt;=WeekEnd),"Yes","No"))</f>
        <v/>
      </c>
      <c r="N876" s="67" t="str">
        <f aca="false">IF(A876="","",IF(L876&lt;&gt;"Verified","Not verified",IF(COUNTIFS(in_CGID,C876,in_ClientID,E876,in_Svc,G876)&gt;0,"Yes","Not entered")))</f>
        <v/>
      </c>
    </row>
    <row r="877" customFormat="false" ht="15" hidden="false" customHeight="false" outlineLevel="0" collapsed="false">
      <c r="A877" s="64"/>
      <c r="B877" s="65"/>
      <c r="C877" s="64"/>
      <c r="D877" s="64"/>
      <c r="E877" s="64"/>
      <c r="F877" s="64"/>
      <c r="G877" s="64"/>
      <c r="H877" s="66"/>
      <c r="I877" s="66"/>
      <c r="J877" s="64"/>
      <c r="K877" s="64"/>
      <c r="L877" s="64"/>
      <c r="M877" s="67" t="str">
        <f aca="false">IF(A877="","",IF(AND(B877&gt;=WeekStart,B877&lt;=WeekEnd),"Yes","No"))</f>
        <v/>
      </c>
      <c r="N877" s="67" t="str">
        <f aca="false">IF(A877="","",IF(L877&lt;&gt;"Verified","Not verified",IF(COUNTIFS(in_CGID,C877,in_ClientID,E877,in_Svc,G877)&gt;0,"Yes","Not entered")))</f>
        <v/>
      </c>
    </row>
    <row r="878" customFormat="false" ht="15" hidden="false" customHeight="false" outlineLevel="0" collapsed="false">
      <c r="A878" s="64"/>
      <c r="B878" s="65"/>
      <c r="C878" s="64"/>
      <c r="D878" s="64"/>
      <c r="E878" s="64"/>
      <c r="F878" s="64"/>
      <c r="G878" s="64"/>
      <c r="H878" s="66"/>
      <c r="I878" s="66"/>
      <c r="J878" s="64"/>
      <c r="K878" s="64"/>
      <c r="L878" s="64"/>
      <c r="M878" s="67" t="str">
        <f aca="false">IF(A878="","",IF(AND(B878&gt;=WeekStart,B878&lt;=WeekEnd),"Yes","No"))</f>
        <v/>
      </c>
      <c r="N878" s="67" t="str">
        <f aca="false">IF(A878="","",IF(L878&lt;&gt;"Verified","Not verified",IF(COUNTIFS(in_CGID,C878,in_ClientID,E878,in_Svc,G878)&gt;0,"Yes","Not entered")))</f>
        <v/>
      </c>
    </row>
    <row r="879" customFormat="false" ht="15" hidden="false" customHeight="false" outlineLevel="0" collapsed="false">
      <c r="A879" s="64"/>
      <c r="B879" s="65"/>
      <c r="C879" s="64"/>
      <c r="D879" s="64"/>
      <c r="E879" s="64"/>
      <c r="F879" s="64"/>
      <c r="G879" s="64"/>
      <c r="H879" s="66"/>
      <c r="I879" s="66"/>
      <c r="J879" s="64"/>
      <c r="K879" s="64"/>
      <c r="L879" s="64"/>
      <c r="M879" s="67" t="str">
        <f aca="false">IF(A879="","",IF(AND(B879&gt;=WeekStart,B879&lt;=WeekEnd),"Yes","No"))</f>
        <v/>
      </c>
      <c r="N879" s="67" t="str">
        <f aca="false">IF(A879="","",IF(L879&lt;&gt;"Verified","Not verified",IF(COUNTIFS(in_CGID,C879,in_ClientID,E879,in_Svc,G879)&gt;0,"Yes","Not entered")))</f>
        <v/>
      </c>
    </row>
    <row r="880" customFormat="false" ht="15" hidden="false" customHeight="false" outlineLevel="0" collapsed="false">
      <c r="A880" s="64"/>
      <c r="B880" s="65"/>
      <c r="C880" s="64"/>
      <c r="D880" s="64"/>
      <c r="E880" s="64"/>
      <c r="F880" s="64"/>
      <c r="G880" s="64"/>
      <c r="H880" s="66"/>
      <c r="I880" s="66"/>
      <c r="J880" s="64"/>
      <c r="K880" s="64"/>
      <c r="L880" s="64"/>
      <c r="M880" s="67" t="str">
        <f aca="false">IF(A880="","",IF(AND(B880&gt;=WeekStart,B880&lt;=WeekEnd),"Yes","No"))</f>
        <v/>
      </c>
      <c r="N880" s="67" t="str">
        <f aca="false">IF(A880="","",IF(L880&lt;&gt;"Verified","Not verified",IF(COUNTIFS(in_CGID,C880,in_ClientID,E880,in_Svc,G880)&gt;0,"Yes","Not entered")))</f>
        <v/>
      </c>
    </row>
    <row r="881" customFormat="false" ht="15" hidden="false" customHeight="false" outlineLevel="0" collapsed="false">
      <c r="A881" s="64"/>
      <c r="B881" s="65"/>
      <c r="C881" s="64"/>
      <c r="D881" s="64"/>
      <c r="E881" s="64"/>
      <c r="F881" s="64"/>
      <c r="G881" s="64"/>
      <c r="H881" s="66"/>
      <c r="I881" s="66"/>
      <c r="J881" s="64"/>
      <c r="K881" s="64"/>
      <c r="L881" s="64"/>
      <c r="M881" s="67" t="str">
        <f aca="false">IF(A881="","",IF(AND(B881&gt;=WeekStart,B881&lt;=WeekEnd),"Yes","No"))</f>
        <v/>
      </c>
      <c r="N881" s="67" t="str">
        <f aca="false">IF(A881="","",IF(L881&lt;&gt;"Verified","Not verified",IF(COUNTIFS(in_CGID,C881,in_ClientID,E881,in_Svc,G881)&gt;0,"Yes","Not entered")))</f>
        <v/>
      </c>
    </row>
    <row r="882" customFormat="false" ht="15" hidden="false" customHeight="false" outlineLevel="0" collapsed="false">
      <c r="A882" s="64"/>
      <c r="B882" s="65"/>
      <c r="C882" s="64"/>
      <c r="D882" s="64"/>
      <c r="E882" s="64"/>
      <c r="F882" s="64"/>
      <c r="G882" s="64"/>
      <c r="H882" s="66"/>
      <c r="I882" s="66"/>
      <c r="J882" s="64"/>
      <c r="K882" s="64"/>
      <c r="L882" s="64"/>
      <c r="M882" s="67" t="str">
        <f aca="false">IF(A882="","",IF(AND(B882&gt;=WeekStart,B882&lt;=WeekEnd),"Yes","No"))</f>
        <v/>
      </c>
      <c r="N882" s="67" t="str">
        <f aca="false">IF(A882="","",IF(L882&lt;&gt;"Verified","Not verified",IF(COUNTIFS(in_CGID,C882,in_ClientID,E882,in_Svc,G882)&gt;0,"Yes","Not entered")))</f>
        <v/>
      </c>
    </row>
    <row r="883" customFormat="false" ht="15" hidden="false" customHeight="false" outlineLevel="0" collapsed="false">
      <c r="A883" s="64"/>
      <c r="B883" s="65"/>
      <c r="C883" s="64"/>
      <c r="D883" s="64"/>
      <c r="E883" s="64"/>
      <c r="F883" s="64"/>
      <c r="G883" s="64"/>
      <c r="H883" s="66"/>
      <c r="I883" s="66"/>
      <c r="J883" s="64"/>
      <c r="K883" s="64"/>
      <c r="L883" s="64"/>
      <c r="M883" s="67" t="str">
        <f aca="false">IF(A883="","",IF(AND(B883&gt;=WeekStart,B883&lt;=WeekEnd),"Yes","No"))</f>
        <v/>
      </c>
      <c r="N883" s="67" t="str">
        <f aca="false">IF(A883="","",IF(L883&lt;&gt;"Verified","Not verified",IF(COUNTIFS(in_CGID,C883,in_ClientID,E883,in_Svc,G883)&gt;0,"Yes","Not entered")))</f>
        <v/>
      </c>
    </row>
    <row r="884" customFormat="false" ht="15" hidden="false" customHeight="false" outlineLevel="0" collapsed="false">
      <c r="A884" s="64"/>
      <c r="B884" s="65"/>
      <c r="C884" s="64"/>
      <c r="D884" s="64"/>
      <c r="E884" s="64"/>
      <c r="F884" s="64"/>
      <c r="G884" s="64"/>
      <c r="H884" s="66"/>
      <c r="I884" s="66"/>
      <c r="J884" s="64"/>
      <c r="K884" s="64"/>
      <c r="L884" s="64"/>
      <c r="M884" s="67" t="str">
        <f aca="false">IF(A884="","",IF(AND(B884&gt;=WeekStart,B884&lt;=WeekEnd),"Yes","No"))</f>
        <v/>
      </c>
      <c r="N884" s="67" t="str">
        <f aca="false">IF(A884="","",IF(L884&lt;&gt;"Verified","Not verified",IF(COUNTIFS(in_CGID,C884,in_ClientID,E884,in_Svc,G884)&gt;0,"Yes","Not entered")))</f>
        <v/>
      </c>
    </row>
    <row r="885" customFormat="false" ht="15" hidden="false" customHeight="false" outlineLevel="0" collapsed="false">
      <c r="A885" s="64"/>
      <c r="B885" s="65"/>
      <c r="C885" s="64"/>
      <c r="D885" s="64"/>
      <c r="E885" s="64"/>
      <c r="F885" s="64"/>
      <c r="G885" s="64"/>
      <c r="H885" s="66"/>
      <c r="I885" s="66"/>
      <c r="J885" s="64"/>
      <c r="K885" s="64"/>
      <c r="L885" s="64"/>
      <c r="M885" s="67" t="str">
        <f aca="false">IF(A885="","",IF(AND(B885&gt;=WeekStart,B885&lt;=WeekEnd),"Yes","No"))</f>
        <v/>
      </c>
      <c r="N885" s="67" t="str">
        <f aca="false">IF(A885="","",IF(L885&lt;&gt;"Verified","Not verified",IF(COUNTIFS(in_CGID,C885,in_ClientID,E885,in_Svc,G885)&gt;0,"Yes","Not entered")))</f>
        <v/>
      </c>
    </row>
    <row r="886" customFormat="false" ht="15" hidden="false" customHeight="false" outlineLevel="0" collapsed="false">
      <c r="A886" s="64"/>
      <c r="B886" s="65"/>
      <c r="C886" s="64"/>
      <c r="D886" s="64"/>
      <c r="E886" s="64"/>
      <c r="F886" s="64"/>
      <c r="G886" s="64"/>
      <c r="H886" s="66"/>
      <c r="I886" s="66"/>
      <c r="J886" s="64"/>
      <c r="K886" s="64"/>
      <c r="L886" s="64"/>
      <c r="M886" s="67" t="str">
        <f aca="false">IF(A886="","",IF(AND(B886&gt;=WeekStart,B886&lt;=WeekEnd),"Yes","No"))</f>
        <v/>
      </c>
      <c r="N886" s="67" t="str">
        <f aca="false">IF(A886="","",IF(L886&lt;&gt;"Verified","Not verified",IF(COUNTIFS(in_CGID,C886,in_ClientID,E886,in_Svc,G886)&gt;0,"Yes","Not entered")))</f>
        <v/>
      </c>
    </row>
    <row r="887" customFormat="false" ht="15" hidden="false" customHeight="false" outlineLevel="0" collapsed="false">
      <c r="A887" s="64"/>
      <c r="B887" s="65"/>
      <c r="C887" s="64"/>
      <c r="D887" s="64"/>
      <c r="E887" s="64"/>
      <c r="F887" s="64"/>
      <c r="G887" s="64"/>
      <c r="H887" s="66"/>
      <c r="I887" s="66"/>
      <c r="J887" s="64"/>
      <c r="K887" s="64"/>
      <c r="L887" s="64"/>
      <c r="M887" s="67" t="str">
        <f aca="false">IF(A887="","",IF(AND(B887&gt;=WeekStart,B887&lt;=WeekEnd),"Yes","No"))</f>
        <v/>
      </c>
      <c r="N887" s="67" t="str">
        <f aca="false">IF(A887="","",IF(L887&lt;&gt;"Verified","Not verified",IF(COUNTIFS(in_CGID,C887,in_ClientID,E887,in_Svc,G887)&gt;0,"Yes","Not entered")))</f>
        <v/>
      </c>
    </row>
    <row r="888" customFormat="false" ht="15" hidden="false" customHeight="false" outlineLevel="0" collapsed="false">
      <c r="A888" s="64"/>
      <c r="B888" s="65"/>
      <c r="C888" s="64"/>
      <c r="D888" s="64"/>
      <c r="E888" s="64"/>
      <c r="F888" s="64"/>
      <c r="G888" s="64"/>
      <c r="H888" s="66"/>
      <c r="I888" s="66"/>
      <c r="J888" s="64"/>
      <c r="K888" s="64"/>
      <c r="L888" s="64"/>
      <c r="M888" s="67" t="str">
        <f aca="false">IF(A888="","",IF(AND(B888&gt;=WeekStart,B888&lt;=WeekEnd),"Yes","No"))</f>
        <v/>
      </c>
      <c r="N888" s="67" t="str">
        <f aca="false">IF(A888="","",IF(L888&lt;&gt;"Verified","Not verified",IF(COUNTIFS(in_CGID,C888,in_ClientID,E888,in_Svc,G888)&gt;0,"Yes","Not entered")))</f>
        <v/>
      </c>
    </row>
    <row r="889" customFormat="false" ht="15" hidden="false" customHeight="false" outlineLevel="0" collapsed="false">
      <c r="A889" s="64"/>
      <c r="B889" s="65"/>
      <c r="C889" s="64"/>
      <c r="D889" s="64"/>
      <c r="E889" s="64"/>
      <c r="F889" s="64"/>
      <c r="G889" s="64"/>
      <c r="H889" s="66"/>
      <c r="I889" s="66"/>
      <c r="J889" s="64"/>
      <c r="K889" s="64"/>
      <c r="L889" s="64"/>
      <c r="M889" s="67" t="str">
        <f aca="false">IF(A889="","",IF(AND(B889&gt;=WeekStart,B889&lt;=WeekEnd),"Yes","No"))</f>
        <v/>
      </c>
      <c r="N889" s="67" t="str">
        <f aca="false">IF(A889="","",IF(L889&lt;&gt;"Verified","Not verified",IF(COUNTIFS(in_CGID,C889,in_ClientID,E889,in_Svc,G889)&gt;0,"Yes","Not entered")))</f>
        <v/>
      </c>
    </row>
    <row r="890" customFormat="false" ht="15" hidden="false" customHeight="false" outlineLevel="0" collapsed="false">
      <c r="A890" s="64"/>
      <c r="B890" s="65"/>
      <c r="C890" s="64"/>
      <c r="D890" s="64"/>
      <c r="E890" s="64"/>
      <c r="F890" s="64"/>
      <c r="G890" s="64"/>
      <c r="H890" s="66"/>
      <c r="I890" s="66"/>
      <c r="J890" s="64"/>
      <c r="K890" s="64"/>
      <c r="L890" s="64"/>
      <c r="M890" s="67" t="str">
        <f aca="false">IF(A890="","",IF(AND(B890&gt;=WeekStart,B890&lt;=WeekEnd),"Yes","No"))</f>
        <v/>
      </c>
      <c r="N890" s="67" t="str">
        <f aca="false">IF(A890="","",IF(L890&lt;&gt;"Verified","Not verified",IF(COUNTIFS(in_CGID,C890,in_ClientID,E890,in_Svc,G890)&gt;0,"Yes","Not entered")))</f>
        <v/>
      </c>
    </row>
    <row r="891" customFormat="false" ht="15" hidden="false" customHeight="false" outlineLevel="0" collapsed="false">
      <c r="A891" s="64"/>
      <c r="B891" s="65"/>
      <c r="C891" s="64"/>
      <c r="D891" s="64"/>
      <c r="E891" s="64"/>
      <c r="F891" s="64"/>
      <c r="G891" s="64"/>
      <c r="H891" s="66"/>
      <c r="I891" s="66"/>
      <c r="J891" s="64"/>
      <c r="K891" s="64"/>
      <c r="L891" s="64"/>
      <c r="M891" s="67" t="str">
        <f aca="false">IF(A891="","",IF(AND(B891&gt;=WeekStart,B891&lt;=WeekEnd),"Yes","No"))</f>
        <v/>
      </c>
      <c r="N891" s="67" t="str">
        <f aca="false">IF(A891="","",IF(L891&lt;&gt;"Verified","Not verified",IF(COUNTIFS(in_CGID,C891,in_ClientID,E891,in_Svc,G891)&gt;0,"Yes","Not entered")))</f>
        <v/>
      </c>
    </row>
    <row r="892" customFormat="false" ht="15" hidden="false" customHeight="false" outlineLevel="0" collapsed="false">
      <c r="A892" s="64"/>
      <c r="B892" s="65"/>
      <c r="C892" s="64"/>
      <c r="D892" s="64"/>
      <c r="E892" s="64"/>
      <c r="F892" s="64"/>
      <c r="G892" s="64"/>
      <c r="H892" s="66"/>
      <c r="I892" s="66"/>
      <c r="J892" s="64"/>
      <c r="K892" s="64"/>
      <c r="L892" s="64"/>
      <c r="M892" s="67" t="str">
        <f aca="false">IF(A892="","",IF(AND(B892&gt;=WeekStart,B892&lt;=WeekEnd),"Yes","No"))</f>
        <v/>
      </c>
      <c r="N892" s="67" t="str">
        <f aca="false">IF(A892="","",IF(L892&lt;&gt;"Verified","Not verified",IF(COUNTIFS(in_CGID,C892,in_ClientID,E892,in_Svc,G892)&gt;0,"Yes","Not entered")))</f>
        <v/>
      </c>
    </row>
    <row r="893" customFormat="false" ht="15" hidden="false" customHeight="false" outlineLevel="0" collapsed="false">
      <c r="A893" s="64"/>
      <c r="B893" s="65"/>
      <c r="C893" s="64"/>
      <c r="D893" s="64"/>
      <c r="E893" s="64"/>
      <c r="F893" s="64"/>
      <c r="G893" s="64"/>
      <c r="H893" s="66"/>
      <c r="I893" s="66"/>
      <c r="J893" s="64"/>
      <c r="K893" s="64"/>
      <c r="L893" s="64"/>
      <c r="M893" s="67" t="str">
        <f aca="false">IF(A893="","",IF(AND(B893&gt;=WeekStart,B893&lt;=WeekEnd),"Yes","No"))</f>
        <v/>
      </c>
      <c r="N893" s="67" t="str">
        <f aca="false">IF(A893="","",IF(L893&lt;&gt;"Verified","Not verified",IF(COUNTIFS(in_CGID,C893,in_ClientID,E893,in_Svc,G893)&gt;0,"Yes","Not entered")))</f>
        <v/>
      </c>
    </row>
    <row r="894" customFormat="false" ht="15" hidden="false" customHeight="false" outlineLevel="0" collapsed="false">
      <c r="A894" s="64"/>
      <c r="B894" s="65"/>
      <c r="C894" s="64"/>
      <c r="D894" s="64"/>
      <c r="E894" s="64"/>
      <c r="F894" s="64"/>
      <c r="G894" s="64"/>
      <c r="H894" s="66"/>
      <c r="I894" s="66"/>
      <c r="J894" s="64"/>
      <c r="K894" s="64"/>
      <c r="L894" s="64"/>
      <c r="M894" s="67" t="str">
        <f aca="false">IF(A894="","",IF(AND(B894&gt;=WeekStart,B894&lt;=WeekEnd),"Yes","No"))</f>
        <v/>
      </c>
      <c r="N894" s="67" t="str">
        <f aca="false">IF(A894="","",IF(L894&lt;&gt;"Verified","Not verified",IF(COUNTIFS(in_CGID,C894,in_ClientID,E894,in_Svc,G894)&gt;0,"Yes","Not entered")))</f>
        <v/>
      </c>
    </row>
    <row r="895" customFormat="false" ht="15" hidden="false" customHeight="false" outlineLevel="0" collapsed="false">
      <c r="A895" s="64"/>
      <c r="B895" s="65"/>
      <c r="C895" s="64"/>
      <c r="D895" s="64"/>
      <c r="E895" s="64"/>
      <c r="F895" s="64"/>
      <c r="G895" s="64"/>
      <c r="H895" s="66"/>
      <c r="I895" s="66"/>
      <c r="J895" s="64"/>
      <c r="K895" s="64"/>
      <c r="L895" s="64"/>
      <c r="M895" s="67" t="str">
        <f aca="false">IF(A895="","",IF(AND(B895&gt;=WeekStart,B895&lt;=WeekEnd),"Yes","No"))</f>
        <v/>
      </c>
      <c r="N895" s="67" t="str">
        <f aca="false">IF(A895="","",IF(L895&lt;&gt;"Verified","Not verified",IF(COUNTIFS(in_CGID,C895,in_ClientID,E895,in_Svc,G895)&gt;0,"Yes","Not entered")))</f>
        <v/>
      </c>
    </row>
    <row r="896" customFormat="false" ht="15" hidden="false" customHeight="false" outlineLevel="0" collapsed="false">
      <c r="A896" s="64"/>
      <c r="B896" s="65"/>
      <c r="C896" s="64"/>
      <c r="D896" s="64"/>
      <c r="E896" s="64"/>
      <c r="F896" s="64"/>
      <c r="G896" s="64"/>
      <c r="H896" s="66"/>
      <c r="I896" s="66"/>
      <c r="J896" s="64"/>
      <c r="K896" s="64"/>
      <c r="L896" s="64"/>
      <c r="M896" s="67" t="str">
        <f aca="false">IF(A896="","",IF(AND(B896&gt;=WeekStart,B896&lt;=WeekEnd),"Yes","No"))</f>
        <v/>
      </c>
      <c r="N896" s="67" t="str">
        <f aca="false">IF(A896="","",IF(L896&lt;&gt;"Verified","Not verified",IF(COUNTIFS(in_CGID,C896,in_ClientID,E896,in_Svc,G896)&gt;0,"Yes","Not entered")))</f>
        <v/>
      </c>
    </row>
    <row r="897" customFormat="false" ht="15" hidden="false" customHeight="false" outlineLevel="0" collapsed="false">
      <c r="A897" s="64"/>
      <c r="B897" s="65"/>
      <c r="C897" s="64"/>
      <c r="D897" s="64"/>
      <c r="E897" s="64"/>
      <c r="F897" s="64"/>
      <c r="G897" s="64"/>
      <c r="H897" s="66"/>
      <c r="I897" s="66"/>
      <c r="J897" s="64"/>
      <c r="K897" s="64"/>
      <c r="L897" s="64"/>
      <c r="M897" s="67" t="str">
        <f aca="false">IF(A897="","",IF(AND(B897&gt;=WeekStart,B897&lt;=WeekEnd),"Yes","No"))</f>
        <v/>
      </c>
      <c r="N897" s="67" t="str">
        <f aca="false">IF(A897="","",IF(L897&lt;&gt;"Verified","Not verified",IF(COUNTIFS(in_CGID,C897,in_ClientID,E897,in_Svc,G897)&gt;0,"Yes","Not entered")))</f>
        <v/>
      </c>
    </row>
    <row r="898" customFormat="false" ht="15" hidden="false" customHeight="false" outlineLevel="0" collapsed="false">
      <c r="A898" s="64"/>
      <c r="B898" s="65"/>
      <c r="C898" s="64"/>
      <c r="D898" s="64"/>
      <c r="E898" s="64"/>
      <c r="F898" s="64"/>
      <c r="G898" s="64"/>
      <c r="H898" s="66"/>
      <c r="I898" s="66"/>
      <c r="J898" s="64"/>
      <c r="K898" s="64"/>
      <c r="L898" s="64"/>
      <c r="M898" s="67" t="str">
        <f aca="false">IF(A898="","",IF(AND(B898&gt;=WeekStart,B898&lt;=WeekEnd),"Yes","No"))</f>
        <v/>
      </c>
      <c r="N898" s="67" t="str">
        <f aca="false">IF(A898="","",IF(L898&lt;&gt;"Verified","Not verified",IF(COUNTIFS(in_CGID,C898,in_ClientID,E898,in_Svc,G898)&gt;0,"Yes","Not entered")))</f>
        <v/>
      </c>
    </row>
    <row r="899" customFormat="false" ht="15" hidden="false" customHeight="false" outlineLevel="0" collapsed="false">
      <c r="A899" s="64"/>
      <c r="B899" s="65"/>
      <c r="C899" s="64"/>
      <c r="D899" s="64"/>
      <c r="E899" s="64"/>
      <c r="F899" s="64"/>
      <c r="G899" s="64"/>
      <c r="H899" s="66"/>
      <c r="I899" s="66"/>
      <c r="J899" s="64"/>
      <c r="K899" s="64"/>
      <c r="L899" s="64"/>
      <c r="M899" s="67" t="str">
        <f aca="false">IF(A899="","",IF(AND(B899&gt;=WeekStart,B899&lt;=WeekEnd),"Yes","No"))</f>
        <v/>
      </c>
      <c r="N899" s="67" t="str">
        <f aca="false">IF(A899="","",IF(L899&lt;&gt;"Verified","Not verified",IF(COUNTIFS(in_CGID,C899,in_ClientID,E899,in_Svc,G899)&gt;0,"Yes","Not entered")))</f>
        <v/>
      </c>
    </row>
    <row r="900" customFormat="false" ht="15" hidden="false" customHeight="false" outlineLevel="0" collapsed="false">
      <c r="A900" s="64"/>
      <c r="B900" s="65"/>
      <c r="C900" s="64"/>
      <c r="D900" s="64"/>
      <c r="E900" s="64"/>
      <c r="F900" s="64"/>
      <c r="G900" s="64"/>
      <c r="H900" s="66"/>
      <c r="I900" s="66"/>
      <c r="J900" s="64"/>
      <c r="K900" s="64"/>
      <c r="L900" s="64"/>
      <c r="M900" s="67" t="str">
        <f aca="false">IF(A900="","",IF(AND(B900&gt;=WeekStart,B900&lt;=WeekEnd),"Yes","No"))</f>
        <v/>
      </c>
      <c r="N900" s="67" t="str">
        <f aca="false">IF(A900="","",IF(L900&lt;&gt;"Verified","Not verified",IF(COUNTIFS(in_CGID,C900,in_ClientID,E900,in_Svc,G900)&gt;0,"Yes","Not entered")))</f>
        <v/>
      </c>
    </row>
    <row r="901" customFormat="false" ht="15" hidden="false" customHeight="false" outlineLevel="0" collapsed="false">
      <c r="A901" s="64"/>
      <c r="B901" s="65"/>
      <c r="C901" s="64"/>
      <c r="D901" s="64"/>
      <c r="E901" s="64"/>
      <c r="F901" s="64"/>
      <c r="G901" s="64"/>
      <c r="H901" s="66"/>
      <c r="I901" s="66"/>
      <c r="J901" s="64"/>
      <c r="K901" s="64"/>
      <c r="L901" s="64"/>
      <c r="M901" s="67" t="str">
        <f aca="false">IF(A901="","",IF(AND(B901&gt;=WeekStart,B901&lt;=WeekEnd),"Yes","No"))</f>
        <v/>
      </c>
      <c r="N901" s="67" t="str">
        <f aca="false">IF(A901="","",IF(L901&lt;&gt;"Verified","Not verified",IF(COUNTIFS(in_CGID,C901,in_ClientID,E901,in_Svc,G901)&gt;0,"Yes","Not entered")))</f>
        <v/>
      </c>
    </row>
    <row r="902" customFormat="false" ht="15" hidden="false" customHeight="false" outlineLevel="0" collapsed="false">
      <c r="A902" s="64"/>
      <c r="B902" s="65"/>
      <c r="C902" s="64"/>
      <c r="D902" s="64"/>
      <c r="E902" s="64"/>
      <c r="F902" s="64"/>
      <c r="G902" s="64"/>
      <c r="H902" s="66"/>
      <c r="I902" s="66"/>
      <c r="J902" s="64"/>
      <c r="K902" s="64"/>
      <c r="L902" s="64"/>
      <c r="M902" s="67" t="str">
        <f aca="false">IF(A902="","",IF(AND(B902&gt;=WeekStart,B902&lt;=WeekEnd),"Yes","No"))</f>
        <v/>
      </c>
      <c r="N902" s="67" t="str">
        <f aca="false">IF(A902="","",IF(L902&lt;&gt;"Verified","Not verified",IF(COUNTIFS(in_CGID,C902,in_ClientID,E902,in_Svc,G902)&gt;0,"Yes","Not entered")))</f>
        <v/>
      </c>
    </row>
    <row r="903" customFormat="false" ht="15" hidden="false" customHeight="false" outlineLevel="0" collapsed="false">
      <c r="A903" s="64"/>
      <c r="B903" s="65"/>
      <c r="C903" s="64"/>
      <c r="D903" s="64"/>
      <c r="E903" s="64"/>
      <c r="F903" s="64"/>
      <c r="G903" s="64"/>
      <c r="H903" s="66"/>
      <c r="I903" s="66"/>
      <c r="J903" s="64"/>
      <c r="K903" s="64"/>
      <c r="L903" s="64"/>
      <c r="M903" s="67" t="str">
        <f aca="false">IF(A903="","",IF(AND(B903&gt;=WeekStart,B903&lt;=WeekEnd),"Yes","No"))</f>
        <v/>
      </c>
      <c r="N903" s="67" t="str">
        <f aca="false">IF(A903="","",IF(L903&lt;&gt;"Verified","Not verified",IF(COUNTIFS(in_CGID,C903,in_ClientID,E903,in_Svc,G903)&gt;0,"Yes","Not entered")))</f>
        <v/>
      </c>
    </row>
    <row r="904" customFormat="false" ht="15" hidden="false" customHeight="false" outlineLevel="0" collapsed="false">
      <c r="A904" s="64"/>
      <c r="B904" s="65"/>
      <c r="C904" s="64"/>
      <c r="D904" s="64"/>
      <c r="E904" s="64"/>
      <c r="F904" s="64"/>
      <c r="G904" s="64"/>
      <c r="H904" s="66"/>
      <c r="I904" s="66"/>
      <c r="J904" s="64"/>
      <c r="K904" s="64"/>
      <c r="L904" s="64"/>
      <c r="M904" s="67" t="str">
        <f aca="false">IF(A904="","",IF(AND(B904&gt;=WeekStart,B904&lt;=WeekEnd),"Yes","No"))</f>
        <v/>
      </c>
      <c r="N904" s="67" t="str">
        <f aca="false">IF(A904="","",IF(L904&lt;&gt;"Verified","Not verified",IF(COUNTIFS(in_CGID,C904,in_ClientID,E904,in_Svc,G904)&gt;0,"Yes","Not entered")))</f>
        <v/>
      </c>
    </row>
    <row r="905" customFormat="false" ht="15" hidden="false" customHeight="false" outlineLevel="0" collapsed="false">
      <c r="A905" s="64"/>
      <c r="B905" s="65"/>
      <c r="C905" s="64"/>
      <c r="D905" s="64"/>
      <c r="E905" s="64"/>
      <c r="F905" s="64"/>
      <c r="G905" s="64"/>
      <c r="H905" s="66"/>
      <c r="I905" s="66"/>
      <c r="J905" s="64"/>
      <c r="K905" s="64"/>
      <c r="L905" s="64"/>
      <c r="M905" s="67" t="str">
        <f aca="false">IF(A905="","",IF(AND(B905&gt;=WeekStart,B905&lt;=WeekEnd),"Yes","No"))</f>
        <v/>
      </c>
      <c r="N905" s="67" t="str">
        <f aca="false">IF(A905="","",IF(L905&lt;&gt;"Verified","Not verified",IF(COUNTIFS(in_CGID,C905,in_ClientID,E905,in_Svc,G905)&gt;0,"Yes","Not entered")))</f>
        <v/>
      </c>
    </row>
    <row r="906" customFormat="false" ht="15" hidden="false" customHeight="false" outlineLevel="0" collapsed="false">
      <c r="A906" s="64"/>
      <c r="B906" s="65"/>
      <c r="C906" s="64"/>
      <c r="D906" s="64"/>
      <c r="E906" s="64"/>
      <c r="F906" s="64"/>
      <c r="G906" s="64"/>
      <c r="H906" s="66"/>
      <c r="I906" s="66"/>
      <c r="J906" s="64"/>
      <c r="K906" s="64"/>
      <c r="L906" s="64"/>
      <c r="M906" s="67" t="str">
        <f aca="false">IF(A906="","",IF(AND(B906&gt;=WeekStart,B906&lt;=WeekEnd),"Yes","No"))</f>
        <v/>
      </c>
      <c r="N906" s="67" t="str">
        <f aca="false">IF(A906="","",IF(L906&lt;&gt;"Verified","Not verified",IF(COUNTIFS(in_CGID,C906,in_ClientID,E906,in_Svc,G906)&gt;0,"Yes","Not entered")))</f>
        <v/>
      </c>
    </row>
    <row r="907" customFormat="false" ht="15" hidden="false" customHeight="false" outlineLevel="0" collapsed="false">
      <c r="A907" s="64"/>
      <c r="B907" s="65"/>
      <c r="C907" s="64"/>
      <c r="D907" s="64"/>
      <c r="E907" s="64"/>
      <c r="F907" s="64"/>
      <c r="G907" s="64"/>
      <c r="H907" s="66"/>
      <c r="I907" s="66"/>
      <c r="J907" s="64"/>
      <c r="K907" s="64"/>
      <c r="L907" s="64"/>
      <c r="M907" s="67" t="str">
        <f aca="false">IF(A907="","",IF(AND(B907&gt;=WeekStart,B907&lt;=WeekEnd),"Yes","No"))</f>
        <v/>
      </c>
      <c r="N907" s="67" t="str">
        <f aca="false">IF(A907="","",IF(L907&lt;&gt;"Verified","Not verified",IF(COUNTIFS(in_CGID,C907,in_ClientID,E907,in_Svc,G907)&gt;0,"Yes","Not entered")))</f>
        <v/>
      </c>
    </row>
    <row r="908" customFormat="false" ht="15" hidden="false" customHeight="false" outlineLevel="0" collapsed="false">
      <c r="A908" s="64"/>
      <c r="B908" s="65"/>
      <c r="C908" s="64"/>
      <c r="D908" s="64"/>
      <c r="E908" s="64"/>
      <c r="F908" s="64"/>
      <c r="G908" s="64"/>
      <c r="H908" s="66"/>
      <c r="I908" s="66"/>
      <c r="J908" s="64"/>
      <c r="K908" s="64"/>
      <c r="L908" s="64"/>
      <c r="M908" s="67" t="str">
        <f aca="false">IF(A908="","",IF(AND(B908&gt;=WeekStart,B908&lt;=WeekEnd),"Yes","No"))</f>
        <v/>
      </c>
      <c r="N908" s="67" t="str">
        <f aca="false">IF(A908="","",IF(L908&lt;&gt;"Verified","Not verified",IF(COUNTIFS(in_CGID,C908,in_ClientID,E908,in_Svc,G908)&gt;0,"Yes","Not entered")))</f>
        <v/>
      </c>
    </row>
    <row r="909" customFormat="false" ht="15" hidden="false" customHeight="false" outlineLevel="0" collapsed="false">
      <c r="A909" s="64"/>
      <c r="B909" s="65"/>
      <c r="C909" s="64"/>
      <c r="D909" s="64"/>
      <c r="E909" s="64"/>
      <c r="F909" s="64"/>
      <c r="G909" s="64"/>
      <c r="H909" s="66"/>
      <c r="I909" s="66"/>
      <c r="J909" s="64"/>
      <c r="K909" s="64"/>
      <c r="L909" s="64"/>
      <c r="M909" s="67" t="str">
        <f aca="false">IF(A909="","",IF(AND(B909&gt;=WeekStart,B909&lt;=WeekEnd),"Yes","No"))</f>
        <v/>
      </c>
      <c r="N909" s="67" t="str">
        <f aca="false">IF(A909="","",IF(L909&lt;&gt;"Verified","Not verified",IF(COUNTIFS(in_CGID,C909,in_ClientID,E909,in_Svc,G909)&gt;0,"Yes","Not entered")))</f>
        <v/>
      </c>
    </row>
    <row r="910" customFormat="false" ht="15" hidden="false" customHeight="false" outlineLevel="0" collapsed="false">
      <c r="A910" s="64"/>
      <c r="B910" s="65"/>
      <c r="C910" s="64"/>
      <c r="D910" s="64"/>
      <c r="E910" s="64"/>
      <c r="F910" s="64"/>
      <c r="G910" s="64"/>
      <c r="H910" s="66"/>
      <c r="I910" s="66"/>
      <c r="J910" s="64"/>
      <c r="K910" s="64"/>
      <c r="L910" s="64"/>
      <c r="M910" s="67" t="str">
        <f aca="false">IF(A910="","",IF(AND(B910&gt;=WeekStart,B910&lt;=WeekEnd),"Yes","No"))</f>
        <v/>
      </c>
      <c r="N910" s="67" t="str">
        <f aca="false">IF(A910="","",IF(L910&lt;&gt;"Verified","Not verified",IF(COUNTIFS(in_CGID,C910,in_ClientID,E910,in_Svc,G910)&gt;0,"Yes","Not entered")))</f>
        <v/>
      </c>
    </row>
    <row r="911" customFormat="false" ht="15" hidden="false" customHeight="false" outlineLevel="0" collapsed="false">
      <c r="A911" s="64"/>
      <c r="B911" s="65"/>
      <c r="C911" s="64"/>
      <c r="D911" s="64"/>
      <c r="E911" s="64"/>
      <c r="F911" s="64"/>
      <c r="G911" s="64"/>
      <c r="H911" s="66"/>
      <c r="I911" s="66"/>
      <c r="J911" s="64"/>
      <c r="K911" s="64"/>
      <c r="L911" s="64"/>
      <c r="M911" s="67" t="str">
        <f aca="false">IF(A911="","",IF(AND(B911&gt;=WeekStart,B911&lt;=WeekEnd),"Yes","No"))</f>
        <v/>
      </c>
      <c r="N911" s="67" t="str">
        <f aca="false">IF(A911="","",IF(L911&lt;&gt;"Verified","Not verified",IF(COUNTIFS(in_CGID,C911,in_ClientID,E911,in_Svc,G911)&gt;0,"Yes","Not entered")))</f>
        <v/>
      </c>
    </row>
    <row r="912" customFormat="false" ht="15" hidden="false" customHeight="false" outlineLevel="0" collapsed="false">
      <c r="A912" s="64"/>
      <c r="B912" s="65"/>
      <c r="C912" s="64"/>
      <c r="D912" s="64"/>
      <c r="E912" s="64"/>
      <c r="F912" s="64"/>
      <c r="G912" s="64"/>
      <c r="H912" s="66"/>
      <c r="I912" s="66"/>
      <c r="J912" s="64"/>
      <c r="K912" s="64"/>
      <c r="L912" s="64"/>
      <c r="M912" s="67" t="str">
        <f aca="false">IF(A912="","",IF(AND(B912&gt;=WeekStart,B912&lt;=WeekEnd),"Yes","No"))</f>
        <v/>
      </c>
      <c r="N912" s="67" t="str">
        <f aca="false">IF(A912="","",IF(L912&lt;&gt;"Verified","Not verified",IF(COUNTIFS(in_CGID,C912,in_ClientID,E912,in_Svc,G912)&gt;0,"Yes","Not entered")))</f>
        <v/>
      </c>
    </row>
    <row r="913" customFormat="false" ht="15" hidden="false" customHeight="false" outlineLevel="0" collapsed="false">
      <c r="A913" s="64"/>
      <c r="B913" s="65"/>
      <c r="C913" s="64"/>
      <c r="D913" s="64"/>
      <c r="E913" s="64"/>
      <c r="F913" s="64"/>
      <c r="G913" s="64"/>
      <c r="H913" s="66"/>
      <c r="I913" s="66"/>
      <c r="J913" s="64"/>
      <c r="K913" s="64"/>
      <c r="L913" s="64"/>
      <c r="M913" s="67" t="str">
        <f aca="false">IF(A913="","",IF(AND(B913&gt;=WeekStart,B913&lt;=WeekEnd),"Yes","No"))</f>
        <v/>
      </c>
      <c r="N913" s="67" t="str">
        <f aca="false">IF(A913="","",IF(L913&lt;&gt;"Verified","Not verified",IF(COUNTIFS(in_CGID,C913,in_ClientID,E913,in_Svc,G913)&gt;0,"Yes","Not entered")))</f>
        <v/>
      </c>
    </row>
    <row r="914" customFormat="false" ht="15" hidden="false" customHeight="false" outlineLevel="0" collapsed="false">
      <c r="A914" s="64"/>
      <c r="B914" s="65"/>
      <c r="C914" s="64"/>
      <c r="D914" s="64"/>
      <c r="E914" s="64"/>
      <c r="F914" s="64"/>
      <c r="G914" s="64"/>
      <c r="H914" s="66"/>
      <c r="I914" s="66"/>
      <c r="J914" s="64"/>
      <c r="K914" s="64"/>
      <c r="L914" s="64"/>
      <c r="M914" s="67" t="str">
        <f aca="false">IF(A914="","",IF(AND(B914&gt;=WeekStart,B914&lt;=WeekEnd),"Yes","No"))</f>
        <v/>
      </c>
      <c r="N914" s="67" t="str">
        <f aca="false">IF(A914="","",IF(L914&lt;&gt;"Verified","Not verified",IF(COUNTIFS(in_CGID,C914,in_ClientID,E914,in_Svc,G914)&gt;0,"Yes","Not entered")))</f>
        <v/>
      </c>
    </row>
    <row r="915" customFormat="false" ht="15" hidden="false" customHeight="false" outlineLevel="0" collapsed="false">
      <c r="A915" s="64"/>
      <c r="B915" s="65"/>
      <c r="C915" s="64"/>
      <c r="D915" s="64"/>
      <c r="E915" s="64"/>
      <c r="F915" s="64"/>
      <c r="G915" s="64"/>
      <c r="H915" s="66"/>
      <c r="I915" s="66"/>
      <c r="J915" s="64"/>
      <c r="K915" s="64"/>
      <c r="L915" s="64"/>
      <c r="M915" s="67" t="str">
        <f aca="false">IF(A915="","",IF(AND(B915&gt;=WeekStart,B915&lt;=WeekEnd),"Yes","No"))</f>
        <v/>
      </c>
      <c r="N915" s="67" t="str">
        <f aca="false">IF(A915="","",IF(L915&lt;&gt;"Verified","Not verified",IF(COUNTIFS(in_CGID,C915,in_ClientID,E915,in_Svc,G915)&gt;0,"Yes","Not entered")))</f>
        <v/>
      </c>
    </row>
    <row r="916" customFormat="false" ht="15" hidden="false" customHeight="false" outlineLevel="0" collapsed="false">
      <c r="A916" s="64"/>
      <c r="B916" s="65"/>
      <c r="C916" s="64"/>
      <c r="D916" s="64"/>
      <c r="E916" s="64"/>
      <c r="F916" s="64"/>
      <c r="G916" s="64"/>
      <c r="H916" s="66"/>
      <c r="I916" s="66"/>
      <c r="J916" s="64"/>
      <c r="K916" s="64"/>
      <c r="L916" s="64"/>
      <c r="M916" s="67" t="str">
        <f aca="false">IF(A916="","",IF(AND(B916&gt;=WeekStart,B916&lt;=WeekEnd),"Yes","No"))</f>
        <v/>
      </c>
      <c r="N916" s="67" t="str">
        <f aca="false">IF(A916="","",IF(L916&lt;&gt;"Verified","Not verified",IF(COUNTIFS(in_CGID,C916,in_ClientID,E916,in_Svc,G916)&gt;0,"Yes","Not entered")))</f>
        <v/>
      </c>
    </row>
    <row r="917" customFormat="false" ht="15" hidden="false" customHeight="false" outlineLevel="0" collapsed="false">
      <c r="A917" s="64"/>
      <c r="B917" s="65"/>
      <c r="C917" s="64"/>
      <c r="D917" s="64"/>
      <c r="E917" s="64"/>
      <c r="F917" s="64"/>
      <c r="G917" s="64"/>
      <c r="H917" s="66"/>
      <c r="I917" s="66"/>
      <c r="J917" s="64"/>
      <c r="K917" s="64"/>
      <c r="L917" s="64"/>
      <c r="M917" s="67" t="str">
        <f aca="false">IF(A917="","",IF(AND(B917&gt;=WeekStart,B917&lt;=WeekEnd),"Yes","No"))</f>
        <v/>
      </c>
      <c r="N917" s="67" t="str">
        <f aca="false">IF(A917="","",IF(L917&lt;&gt;"Verified","Not verified",IF(COUNTIFS(in_CGID,C917,in_ClientID,E917,in_Svc,G917)&gt;0,"Yes","Not entered")))</f>
        <v/>
      </c>
    </row>
    <row r="918" customFormat="false" ht="15" hidden="false" customHeight="false" outlineLevel="0" collapsed="false">
      <c r="A918" s="64"/>
      <c r="B918" s="65"/>
      <c r="C918" s="64"/>
      <c r="D918" s="64"/>
      <c r="E918" s="64"/>
      <c r="F918" s="64"/>
      <c r="G918" s="64"/>
      <c r="H918" s="66"/>
      <c r="I918" s="66"/>
      <c r="J918" s="64"/>
      <c r="K918" s="64"/>
      <c r="L918" s="64"/>
      <c r="M918" s="67" t="str">
        <f aca="false">IF(A918="","",IF(AND(B918&gt;=WeekStart,B918&lt;=WeekEnd),"Yes","No"))</f>
        <v/>
      </c>
      <c r="N918" s="67" t="str">
        <f aca="false">IF(A918="","",IF(L918&lt;&gt;"Verified","Not verified",IF(COUNTIFS(in_CGID,C918,in_ClientID,E918,in_Svc,G918)&gt;0,"Yes","Not entered")))</f>
        <v/>
      </c>
    </row>
    <row r="919" customFormat="false" ht="15" hidden="false" customHeight="false" outlineLevel="0" collapsed="false">
      <c r="A919" s="64"/>
      <c r="B919" s="65"/>
      <c r="C919" s="64"/>
      <c r="D919" s="64"/>
      <c r="E919" s="64"/>
      <c r="F919" s="64"/>
      <c r="G919" s="64"/>
      <c r="H919" s="66"/>
      <c r="I919" s="66"/>
      <c r="J919" s="64"/>
      <c r="K919" s="64"/>
      <c r="L919" s="64"/>
      <c r="M919" s="67" t="str">
        <f aca="false">IF(A919="","",IF(AND(B919&gt;=WeekStart,B919&lt;=WeekEnd),"Yes","No"))</f>
        <v/>
      </c>
      <c r="N919" s="67" t="str">
        <f aca="false">IF(A919="","",IF(L919&lt;&gt;"Verified","Not verified",IF(COUNTIFS(in_CGID,C919,in_ClientID,E919,in_Svc,G919)&gt;0,"Yes","Not entered")))</f>
        <v/>
      </c>
    </row>
    <row r="920" customFormat="false" ht="15" hidden="false" customHeight="false" outlineLevel="0" collapsed="false">
      <c r="A920" s="64"/>
      <c r="B920" s="65"/>
      <c r="C920" s="64"/>
      <c r="D920" s="64"/>
      <c r="E920" s="64"/>
      <c r="F920" s="64"/>
      <c r="G920" s="64"/>
      <c r="H920" s="66"/>
      <c r="I920" s="66"/>
      <c r="J920" s="64"/>
      <c r="K920" s="64"/>
      <c r="L920" s="64"/>
      <c r="M920" s="67" t="str">
        <f aca="false">IF(A920="","",IF(AND(B920&gt;=WeekStart,B920&lt;=WeekEnd),"Yes","No"))</f>
        <v/>
      </c>
      <c r="N920" s="67" t="str">
        <f aca="false">IF(A920="","",IF(L920&lt;&gt;"Verified","Not verified",IF(COUNTIFS(in_CGID,C920,in_ClientID,E920,in_Svc,G920)&gt;0,"Yes","Not entered")))</f>
        <v/>
      </c>
    </row>
    <row r="921" customFormat="false" ht="15" hidden="false" customHeight="false" outlineLevel="0" collapsed="false">
      <c r="A921" s="64"/>
      <c r="B921" s="65"/>
      <c r="C921" s="64"/>
      <c r="D921" s="64"/>
      <c r="E921" s="64"/>
      <c r="F921" s="64"/>
      <c r="G921" s="64"/>
      <c r="H921" s="66"/>
      <c r="I921" s="66"/>
      <c r="J921" s="64"/>
      <c r="K921" s="64"/>
      <c r="L921" s="64"/>
      <c r="M921" s="67" t="str">
        <f aca="false">IF(A921="","",IF(AND(B921&gt;=WeekStart,B921&lt;=WeekEnd),"Yes","No"))</f>
        <v/>
      </c>
      <c r="N921" s="67" t="str">
        <f aca="false">IF(A921="","",IF(L921&lt;&gt;"Verified","Not verified",IF(COUNTIFS(in_CGID,C921,in_ClientID,E921,in_Svc,G921)&gt;0,"Yes","Not entered")))</f>
        <v/>
      </c>
    </row>
    <row r="922" customFormat="false" ht="15" hidden="false" customHeight="false" outlineLevel="0" collapsed="false">
      <c r="A922" s="64"/>
      <c r="B922" s="65"/>
      <c r="C922" s="64"/>
      <c r="D922" s="64"/>
      <c r="E922" s="64"/>
      <c r="F922" s="64"/>
      <c r="G922" s="64"/>
      <c r="H922" s="66"/>
      <c r="I922" s="66"/>
      <c r="J922" s="64"/>
      <c r="K922" s="64"/>
      <c r="L922" s="64"/>
      <c r="M922" s="67" t="str">
        <f aca="false">IF(A922="","",IF(AND(B922&gt;=WeekStart,B922&lt;=WeekEnd),"Yes","No"))</f>
        <v/>
      </c>
      <c r="N922" s="67" t="str">
        <f aca="false">IF(A922="","",IF(L922&lt;&gt;"Verified","Not verified",IF(COUNTIFS(in_CGID,C922,in_ClientID,E922,in_Svc,G922)&gt;0,"Yes","Not entered")))</f>
        <v/>
      </c>
    </row>
    <row r="923" customFormat="false" ht="15" hidden="false" customHeight="false" outlineLevel="0" collapsed="false">
      <c r="A923" s="64"/>
      <c r="B923" s="65"/>
      <c r="C923" s="64"/>
      <c r="D923" s="64"/>
      <c r="E923" s="64"/>
      <c r="F923" s="64"/>
      <c r="G923" s="64"/>
      <c r="H923" s="66"/>
      <c r="I923" s="66"/>
      <c r="J923" s="64"/>
      <c r="K923" s="64"/>
      <c r="L923" s="64"/>
      <c r="M923" s="67" t="str">
        <f aca="false">IF(A923="","",IF(AND(B923&gt;=WeekStart,B923&lt;=WeekEnd),"Yes","No"))</f>
        <v/>
      </c>
      <c r="N923" s="67" t="str">
        <f aca="false">IF(A923="","",IF(L923&lt;&gt;"Verified","Not verified",IF(COUNTIFS(in_CGID,C923,in_ClientID,E923,in_Svc,G923)&gt;0,"Yes","Not entered")))</f>
        <v/>
      </c>
    </row>
    <row r="924" customFormat="false" ht="15" hidden="false" customHeight="false" outlineLevel="0" collapsed="false">
      <c r="A924" s="64"/>
      <c r="B924" s="65"/>
      <c r="C924" s="64"/>
      <c r="D924" s="64"/>
      <c r="E924" s="64"/>
      <c r="F924" s="64"/>
      <c r="G924" s="64"/>
      <c r="H924" s="66"/>
      <c r="I924" s="66"/>
      <c r="J924" s="64"/>
      <c r="K924" s="64"/>
      <c r="L924" s="64"/>
      <c r="M924" s="67" t="str">
        <f aca="false">IF(A924="","",IF(AND(B924&gt;=WeekStart,B924&lt;=WeekEnd),"Yes","No"))</f>
        <v/>
      </c>
      <c r="N924" s="67" t="str">
        <f aca="false">IF(A924="","",IF(L924&lt;&gt;"Verified","Not verified",IF(COUNTIFS(in_CGID,C924,in_ClientID,E924,in_Svc,G924)&gt;0,"Yes","Not entered")))</f>
        <v/>
      </c>
    </row>
    <row r="925" customFormat="false" ht="15" hidden="false" customHeight="false" outlineLevel="0" collapsed="false">
      <c r="A925" s="64"/>
      <c r="B925" s="65"/>
      <c r="C925" s="64"/>
      <c r="D925" s="64"/>
      <c r="E925" s="64"/>
      <c r="F925" s="64"/>
      <c r="G925" s="64"/>
      <c r="H925" s="66"/>
      <c r="I925" s="66"/>
      <c r="J925" s="64"/>
      <c r="K925" s="64"/>
      <c r="L925" s="64"/>
      <c r="M925" s="67" t="str">
        <f aca="false">IF(A925="","",IF(AND(B925&gt;=WeekStart,B925&lt;=WeekEnd),"Yes","No"))</f>
        <v/>
      </c>
      <c r="N925" s="67" t="str">
        <f aca="false">IF(A925="","",IF(L925&lt;&gt;"Verified","Not verified",IF(COUNTIFS(in_CGID,C925,in_ClientID,E925,in_Svc,G925)&gt;0,"Yes","Not entered")))</f>
        <v/>
      </c>
    </row>
    <row r="926" customFormat="false" ht="15" hidden="false" customHeight="false" outlineLevel="0" collapsed="false">
      <c r="A926" s="64"/>
      <c r="B926" s="65"/>
      <c r="C926" s="64"/>
      <c r="D926" s="64"/>
      <c r="E926" s="64"/>
      <c r="F926" s="64"/>
      <c r="G926" s="64"/>
      <c r="H926" s="66"/>
      <c r="I926" s="66"/>
      <c r="J926" s="64"/>
      <c r="K926" s="64"/>
      <c r="L926" s="64"/>
      <c r="M926" s="67" t="str">
        <f aca="false">IF(A926="","",IF(AND(B926&gt;=WeekStart,B926&lt;=WeekEnd),"Yes","No"))</f>
        <v/>
      </c>
      <c r="N926" s="67" t="str">
        <f aca="false">IF(A926="","",IF(L926&lt;&gt;"Verified","Not verified",IF(COUNTIFS(in_CGID,C926,in_ClientID,E926,in_Svc,G926)&gt;0,"Yes","Not entered")))</f>
        <v/>
      </c>
    </row>
    <row r="927" customFormat="false" ht="15" hidden="false" customHeight="false" outlineLevel="0" collapsed="false">
      <c r="A927" s="64"/>
      <c r="B927" s="65"/>
      <c r="C927" s="64"/>
      <c r="D927" s="64"/>
      <c r="E927" s="64"/>
      <c r="F927" s="64"/>
      <c r="G927" s="64"/>
      <c r="H927" s="66"/>
      <c r="I927" s="66"/>
      <c r="J927" s="64"/>
      <c r="K927" s="64"/>
      <c r="L927" s="64"/>
      <c r="M927" s="67" t="str">
        <f aca="false">IF(A927="","",IF(AND(B927&gt;=WeekStart,B927&lt;=WeekEnd),"Yes","No"))</f>
        <v/>
      </c>
      <c r="N927" s="67" t="str">
        <f aca="false">IF(A927="","",IF(L927&lt;&gt;"Verified","Not verified",IF(COUNTIFS(in_CGID,C927,in_ClientID,E927,in_Svc,G927)&gt;0,"Yes","Not entered")))</f>
        <v/>
      </c>
    </row>
    <row r="928" customFormat="false" ht="15" hidden="false" customHeight="false" outlineLevel="0" collapsed="false">
      <c r="A928" s="64"/>
      <c r="B928" s="65"/>
      <c r="C928" s="64"/>
      <c r="D928" s="64"/>
      <c r="E928" s="64"/>
      <c r="F928" s="64"/>
      <c r="G928" s="64"/>
      <c r="H928" s="66"/>
      <c r="I928" s="66"/>
      <c r="J928" s="64"/>
      <c r="K928" s="64"/>
      <c r="L928" s="64"/>
      <c r="M928" s="67" t="str">
        <f aca="false">IF(A928="","",IF(AND(B928&gt;=WeekStart,B928&lt;=WeekEnd),"Yes","No"))</f>
        <v/>
      </c>
      <c r="N928" s="67" t="str">
        <f aca="false">IF(A928="","",IF(L928&lt;&gt;"Verified","Not verified",IF(COUNTIFS(in_CGID,C928,in_ClientID,E928,in_Svc,G928)&gt;0,"Yes","Not entered")))</f>
        <v/>
      </c>
    </row>
    <row r="929" customFormat="false" ht="15" hidden="false" customHeight="false" outlineLevel="0" collapsed="false">
      <c r="A929" s="64"/>
      <c r="B929" s="65"/>
      <c r="C929" s="64"/>
      <c r="D929" s="64"/>
      <c r="E929" s="64"/>
      <c r="F929" s="64"/>
      <c r="G929" s="64"/>
      <c r="H929" s="66"/>
      <c r="I929" s="66"/>
      <c r="J929" s="64"/>
      <c r="K929" s="64"/>
      <c r="L929" s="64"/>
      <c r="M929" s="67" t="str">
        <f aca="false">IF(A929="","",IF(AND(B929&gt;=WeekStart,B929&lt;=WeekEnd),"Yes","No"))</f>
        <v/>
      </c>
      <c r="N929" s="67" t="str">
        <f aca="false">IF(A929="","",IF(L929&lt;&gt;"Verified","Not verified",IF(COUNTIFS(in_CGID,C929,in_ClientID,E929,in_Svc,G929)&gt;0,"Yes","Not entered")))</f>
        <v/>
      </c>
    </row>
    <row r="930" customFormat="false" ht="15" hidden="false" customHeight="false" outlineLevel="0" collapsed="false">
      <c r="A930" s="64"/>
      <c r="B930" s="65"/>
      <c r="C930" s="64"/>
      <c r="D930" s="64"/>
      <c r="E930" s="64"/>
      <c r="F930" s="64"/>
      <c r="G930" s="64"/>
      <c r="H930" s="66"/>
      <c r="I930" s="66"/>
      <c r="J930" s="64"/>
      <c r="K930" s="64"/>
      <c r="L930" s="64"/>
      <c r="M930" s="67" t="str">
        <f aca="false">IF(A930="","",IF(AND(B930&gt;=WeekStart,B930&lt;=WeekEnd),"Yes","No"))</f>
        <v/>
      </c>
      <c r="N930" s="67" t="str">
        <f aca="false">IF(A930="","",IF(L930&lt;&gt;"Verified","Not verified",IF(COUNTIFS(in_CGID,C930,in_ClientID,E930,in_Svc,G930)&gt;0,"Yes","Not entered")))</f>
        <v/>
      </c>
    </row>
    <row r="931" customFormat="false" ht="15" hidden="false" customHeight="false" outlineLevel="0" collapsed="false">
      <c r="A931" s="64"/>
      <c r="B931" s="65"/>
      <c r="C931" s="64"/>
      <c r="D931" s="64"/>
      <c r="E931" s="64"/>
      <c r="F931" s="64"/>
      <c r="G931" s="64"/>
      <c r="H931" s="66"/>
      <c r="I931" s="66"/>
      <c r="J931" s="64"/>
      <c r="K931" s="64"/>
      <c r="L931" s="64"/>
      <c r="M931" s="67" t="str">
        <f aca="false">IF(A931="","",IF(AND(B931&gt;=WeekStart,B931&lt;=WeekEnd),"Yes","No"))</f>
        <v/>
      </c>
      <c r="N931" s="67" t="str">
        <f aca="false">IF(A931="","",IF(L931&lt;&gt;"Verified","Not verified",IF(COUNTIFS(in_CGID,C931,in_ClientID,E931,in_Svc,G931)&gt;0,"Yes","Not entered")))</f>
        <v/>
      </c>
    </row>
    <row r="932" customFormat="false" ht="15" hidden="false" customHeight="false" outlineLevel="0" collapsed="false">
      <c r="A932" s="64"/>
      <c r="B932" s="65"/>
      <c r="C932" s="64"/>
      <c r="D932" s="64"/>
      <c r="E932" s="64"/>
      <c r="F932" s="64"/>
      <c r="G932" s="64"/>
      <c r="H932" s="66"/>
      <c r="I932" s="66"/>
      <c r="J932" s="64"/>
      <c r="K932" s="64"/>
      <c r="L932" s="64"/>
      <c r="M932" s="67" t="str">
        <f aca="false">IF(A932="","",IF(AND(B932&gt;=WeekStart,B932&lt;=WeekEnd),"Yes","No"))</f>
        <v/>
      </c>
      <c r="N932" s="67" t="str">
        <f aca="false">IF(A932="","",IF(L932&lt;&gt;"Verified","Not verified",IF(COUNTIFS(in_CGID,C932,in_ClientID,E932,in_Svc,G932)&gt;0,"Yes","Not entered")))</f>
        <v/>
      </c>
    </row>
    <row r="933" customFormat="false" ht="15" hidden="false" customHeight="false" outlineLevel="0" collapsed="false">
      <c r="A933" s="64"/>
      <c r="B933" s="65"/>
      <c r="C933" s="64"/>
      <c r="D933" s="64"/>
      <c r="E933" s="64"/>
      <c r="F933" s="64"/>
      <c r="G933" s="64"/>
      <c r="H933" s="66"/>
      <c r="I933" s="66"/>
      <c r="J933" s="64"/>
      <c r="K933" s="64"/>
      <c r="L933" s="64"/>
      <c r="M933" s="67" t="str">
        <f aca="false">IF(A933="","",IF(AND(B933&gt;=WeekStart,B933&lt;=WeekEnd),"Yes","No"))</f>
        <v/>
      </c>
      <c r="N933" s="67" t="str">
        <f aca="false">IF(A933="","",IF(L933&lt;&gt;"Verified","Not verified",IF(COUNTIFS(in_CGID,C933,in_ClientID,E933,in_Svc,G933)&gt;0,"Yes","Not entered")))</f>
        <v/>
      </c>
    </row>
    <row r="934" customFormat="false" ht="15" hidden="false" customHeight="false" outlineLevel="0" collapsed="false">
      <c r="A934" s="64"/>
      <c r="B934" s="65"/>
      <c r="C934" s="64"/>
      <c r="D934" s="64"/>
      <c r="E934" s="64"/>
      <c r="F934" s="64"/>
      <c r="G934" s="64"/>
      <c r="H934" s="66"/>
      <c r="I934" s="66"/>
      <c r="J934" s="64"/>
      <c r="K934" s="64"/>
      <c r="L934" s="64"/>
      <c r="M934" s="67" t="str">
        <f aca="false">IF(A934="","",IF(AND(B934&gt;=WeekStart,B934&lt;=WeekEnd),"Yes","No"))</f>
        <v/>
      </c>
      <c r="N934" s="67" t="str">
        <f aca="false">IF(A934="","",IF(L934&lt;&gt;"Verified","Not verified",IF(COUNTIFS(in_CGID,C934,in_ClientID,E934,in_Svc,G934)&gt;0,"Yes","Not entered")))</f>
        <v/>
      </c>
    </row>
    <row r="935" customFormat="false" ht="15" hidden="false" customHeight="false" outlineLevel="0" collapsed="false">
      <c r="A935" s="64"/>
      <c r="B935" s="65"/>
      <c r="C935" s="64"/>
      <c r="D935" s="64"/>
      <c r="E935" s="64"/>
      <c r="F935" s="64"/>
      <c r="G935" s="64"/>
      <c r="H935" s="66"/>
      <c r="I935" s="66"/>
      <c r="J935" s="64"/>
      <c r="K935" s="64"/>
      <c r="L935" s="64"/>
      <c r="M935" s="67" t="str">
        <f aca="false">IF(A935="","",IF(AND(B935&gt;=WeekStart,B935&lt;=WeekEnd),"Yes","No"))</f>
        <v/>
      </c>
      <c r="N935" s="67" t="str">
        <f aca="false">IF(A935="","",IF(L935&lt;&gt;"Verified","Not verified",IF(COUNTIFS(in_CGID,C935,in_ClientID,E935,in_Svc,G935)&gt;0,"Yes","Not entered")))</f>
        <v/>
      </c>
    </row>
    <row r="936" customFormat="false" ht="15" hidden="false" customHeight="false" outlineLevel="0" collapsed="false">
      <c r="A936" s="64"/>
      <c r="B936" s="65"/>
      <c r="C936" s="64"/>
      <c r="D936" s="64"/>
      <c r="E936" s="64"/>
      <c r="F936" s="64"/>
      <c r="G936" s="64"/>
      <c r="H936" s="66"/>
      <c r="I936" s="66"/>
      <c r="J936" s="64"/>
      <c r="K936" s="64"/>
      <c r="L936" s="64"/>
      <c r="M936" s="67" t="str">
        <f aca="false">IF(A936="","",IF(AND(B936&gt;=WeekStart,B936&lt;=WeekEnd),"Yes","No"))</f>
        <v/>
      </c>
      <c r="N936" s="67" t="str">
        <f aca="false">IF(A936="","",IF(L936&lt;&gt;"Verified","Not verified",IF(COUNTIFS(in_CGID,C936,in_ClientID,E936,in_Svc,G936)&gt;0,"Yes","Not entered")))</f>
        <v/>
      </c>
    </row>
    <row r="937" customFormat="false" ht="15" hidden="false" customHeight="false" outlineLevel="0" collapsed="false">
      <c r="A937" s="64"/>
      <c r="B937" s="65"/>
      <c r="C937" s="64"/>
      <c r="D937" s="64"/>
      <c r="E937" s="64"/>
      <c r="F937" s="64"/>
      <c r="G937" s="64"/>
      <c r="H937" s="66"/>
      <c r="I937" s="66"/>
      <c r="J937" s="64"/>
      <c r="K937" s="64"/>
      <c r="L937" s="64"/>
      <c r="M937" s="67" t="str">
        <f aca="false">IF(A937="","",IF(AND(B937&gt;=WeekStart,B937&lt;=WeekEnd),"Yes","No"))</f>
        <v/>
      </c>
      <c r="N937" s="67" t="str">
        <f aca="false">IF(A937="","",IF(L937&lt;&gt;"Verified","Not verified",IF(COUNTIFS(in_CGID,C937,in_ClientID,E937,in_Svc,G937)&gt;0,"Yes","Not entered")))</f>
        <v/>
      </c>
    </row>
    <row r="938" customFormat="false" ht="15" hidden="false" customHeight="false" outlineLevel="0" collapsed="false">
      <c r="A938" s="64"/>
      <c r="B938" s="65"/>
      <c r="C938" s="64"/>
      <c r="D938" s="64"/>
      <c r="E938" s="64"/>
      <c r="F938" s="64"/>
      <c r="G938" s="64"/>
      <c r="H938" s="66"/>
      <c r="I938" s="66"/>
      <c r="J938" s="64"/>
      <c r="K938" s="64"/>
      <c r="L938" s="64"/>
      <c r="M938" s="67" t="str">
        <f aca="false">IF(A938="","",IF(AND(B938&gt;=WeekStart,B938&lt;=WeekEnd),"Yes","No"))</f>
        <v/>
      </c>
      <c r="N938" s="67" t="str">
        <f aca="false">IF(A938="","",IF(L938&lt;&gt;"Verified","Not verified",IF(COUNTIFS(in_CGID,C938,in_ClientID,E938,in_Svc,G938)&gt;0,"Yes","Not entered")))</f>
        <v/>
      </c>
    </row>
    <row r="939" customFormat="false" ht="15" hidden="false" customHeight="false" outlineLevel="0" collapsed="false">
      <c r="A939" s="64"/>
      <c r="B939" s="65"/>
      <c r="C939" s="64"/>
      <c r="D939" s="64"/>
      <c r="E939" s="64"/>
      <c r="F939" s="64"/>
      <c r="G939" s="64"/>
      <c r="H939" s="66"/>
      <c r="I939" s="66"/>
      <c r="J939" s="64"/>
      <c r="K939" s="64"/>
      <c r="L939" s="64"/>
      <c r="M939" s="67" t="str">
        <f aca="false">IF(A939="","",IF(AND(B939&gt;=WeekStart,B939&lt;=WeekEnd),"Yes","No"))</f>
        <v/>
      </c>
      <c r="N939" s="67" t="str">
        <f aca="false">IF(A939="","",IF(L939&lt;&gt;"Verified","Not verified",IF(COUNTIFS(in_CGID,C939,in_ClientID,E939,in_Svc,G939)&gt;0,"Yes","Not entered")))</f>
        <v/>
      </c>
    </row>
    <row r="940" customFormat="false" ht="15" hidden="false" customHeight="false" outlineLevel="0" collapsed="false">
      <c r="A940" s="64"/>
      <c r="B940" s="65"/>
      <c r="C940" s="64"/>
      <c r="D940" s="64"/>
      <c r="E940" s="64"/>
      <c r="F940" s="64"/>
      <c r="G940" s="64"/>
      <c r="H940" s="66"/>
      <c r="I940" s="66"/>
      <c r="J940" s="64"/>
      <c r="K940" s="64"/>
      <c r="L940" s="64"/>
      <c r="M940" s="67" t="str">
        <f aca="false">IF(A940="","",IF(AND(B940&gt;=WeekStart,B940&lt;=WeekEnd),"Yes","No"))</f>
        <v/>
      </c>
      <c r="N940" s="67" t="str">
        <f aca="false">IF(A940="","",IF(L940&lt;&gt;"Verified","Not verified",IF(COUNTIFS(in_CGID,C940,in_ClientID,E940,in_Svc,G940)&gt;0,"Yes","Not entered")))</f>
        <v/>
      </c>
    </row>
    <row r="941" customFormat="false" ht="15" hidden="false" customHeight="false" outlineLevel="0" collapsed="false">
      <c r="A941" s="64"/>
      <c r="B941" s="65"/>
      <c r="C941" s="64"/>
      <c r="D941" s="64"/>
      <c r="E941" s="64"/>
      <c r="F941" s="64"/>
      <c r="G941" s="64"/>
      <c r="H941" s="66"/>
      <c r="I941" s="66"/>
      <c r="J941" s="64"/>
      <c r="K941" s="64"/>
      <c r="L941" s="64"/>
      <c r="M941" s="67" t="str">
        <f aca="false">IF(A941="","",IF(AND(B941&gt;=WeekStart,B941&lt;=WeekEnd),"Yes","No"))</f>
        <v/>
      </c>
      <c r="N941" s="67" t="str">
        <f aca="false">IF(A941="","",IF(L941&lt;&gt;"Verified","Not verified",IF(COUNTIFS(in_CGID,C941,in_ClientID,E941,in_Svc,G941)&gt;0,"Yes","Not entered")))</f>
        <v/>
      </c>
    </row>
    <row r="942" customFormat="false" ht="15" hidden="false" customHeight="false" outlineLevel="0" collapsed="false">
      <c r="A942" s="64"/>
      <c r="B942" s="65"/>
      <c r="C942" s="64"/>
      <c r="D942" s="64"/>
      <c r="E942" s="64"/>
      <c r="F942" s="64"/>
      <c r="G942" s="64"/>
      <c r="H942" s="66"/>
      <c r="I942" s="66"/>
      <c r="J942" s="64"/>
      <c r="K942" s="64"/>
      <c r="L942" s="64"/>
      <c r="M942" s="67" t="str">
        <f aca="false">IF(A942="","",IF(AND(B942&gt;=WeekStart,B942&lt;=WeekEnd),"Yes","No"))</f>
        <v/>
      </c>
      <c r="N942" s="67" t="str">
        <f aca="false">IF(A942="","",IF(L942&lt;&gt;"Verified","Not verified",IF(COUNTIFS(in_CGID,C942,in_ClientID,E942,in_Svc,G942)&gt;0,"Yes","Not entered")))</f>
        <v/>
      </c>
    </row>
    <row r="943" customFormat="false" ht="15" hidden="false" customHeight="false" outlineLevel="0" collapsed="false">
      <c r="A943" s="64"/>
      <c r="B943" s="65"/>
      <c r="C943" s="64"/>
      <c r="D943" s="64"/>
      <c r="E943" s="64"/>
      <c r="F943" s="64"/>
      <c r="G943" s="64"/>
      <c r="H943" s="66"/>
      <c r="I943" s="66"/>
      <c r="J943" s="64"/>
      <c r="K943" s="64"/>
      <c r="L943" s="64"/>
      <c r="M943" s="67" t="str">
        <f aca="false">IF(A943="","",IF(AND(B943&gt;=WeekStart,B943&lt;=WeekEnd),"Yes","No"))</f>
        <v/>
      </c>
      <c r="N943" s="67" t="str">
        <f aca="false">IF(A943="","",IF(L943&lt;&gt;"Verified","Not verified",IF(COUNTIFS(in_CGID,C943,in_ClientID,E943,in_Svc,G943)&gt;0,"Yes","Not entered")))</f>
        <v/>
      </c>
    </row>
    <row r="944" customFormat="false" ht="15" hidden="false" customHeight="false" outlineLevel="0" collapsed="false">
      <c r="A944" s="64"/>
      <c r="B944" s="65"/>
      <c r="C944" s="64"/>
      <c r="D944" s="64"/>
      <c r="E944" s="64"/>
      <c r="F944" s="64"/>
      <c r="G944" s="64"/>
      <c r="H944" s="66"/>
      <c r="I944" s="66"/>
      <c r="J944" s="64"/>
      <c r="K944" s="64"/>
      <c r="L944" s="64"/>
      <c r="M944" s="67" t="str">
        <f aca="false">IF(A944="","",IF(AND(B944&gt;=WeekStart,B944&lt;=WeekEnd),"Yes","No"))</f>
        <v/>
      </c>
      <c r="N944" s="67" t="str">
        <f aca="false">IF(A944="","",IF(L944&lt;&gt;"Verified","Not verified",IF(COUNTIFS(in_CGID,C944,in_ClientID,E944,in_Svc,G944)&gt;0,"Yes","Not entered")))</f>
        <v/>
      </c>
    </row>
    <row r="945" customFormat="false" ht="15" hidden="false" customHeight="false" outlineLevel="0" collapsed="false">
      <c r="A945" s="64"/>
      <c r="B945" s="65"/>
      <c r="C945" s="64"/>
      <c r="D945" s="64"/>
      <c r="E945" s="64"/>
      <c r="F945" s="64"/>
      <c r="G945" s="64"/>
      <c r="H945" s="66"/>
      <c r="I945" s="66"/>
      <c r="J945" s="64"/>
      <c r="K945" s="64"/>
      <c r="L945" s="64"/>
      <c r="M945" s="67" t="str">
        <f aca="false">IF(A945="","",IF(AND(B945&gt;=WeekStart,B945&lt;=WeekEnd),"Yes","No"))</f>
        <v/>
      </c>
      <c r="N945" s="67" t="str">
        <f aca="false">IF(A945="","",IF(L945&lt;&gt;"Verified","Not verified",IF(COUNTIFS(in_CGID,C945,in_ClientID,E945,in_Svc,G945)&gt;0,"Yes","Not entered")))</f>
        <v/>
      </c>
    </row>
    <row r="946" customFormat="false" ht="15" hidden="false" customHeight="false" outlineLevel="0" collapsed="false">
      <c r="A946" s="64"/>
      <c r="B946" s="65"/>
      <c r="C946" s="64"/>
      <c r="D946" s="64"/>
      <c r="E946" s="64"/>
      <c r="F946" s="64"/>
      <c r="G946" s="64"/>
      <c r="H946" s="66"/>
      <c r="I946" s="66"/>
      <c r="J946" s="64"/>
      <c r="K946" s="64"/>
      <c r="L946" s="64"/>
      <c r="M946" s="67" t="str">
        <f aca="false">IF(A946="","",IF(AND(B946&gt;=WeekStart,B946&lt;=WeekEnd),"Yes","No"))</f>
        <v/>
      </c>
      <c r="N946" s="67" t="str">
        <f aca="false">IF(A946="","",IF(L946&lt;&gt;"Verified","Not verified",IF(COUNTIFS(in_CGID,C946,in_ClientID,E946,in_Svc,G946)&gt;0,"Yes","Not entered")))</f>
        <v/>
      </c>
    </row>
    <row r="947" customFormat="false" ht="15" hidden="false" customHeight="false" outlineLevel="0" collapsed="false">
      <c r="A947" s="64"/>
      <c r="B947" s="65"/>
      <c r="C947" s="64"/>
      <c r="D947" s="64"/>
      <c r="E947" s="64"/>
      <c r="F947" s="64"/>
      <c r="G947" s="64"/>
      <c r="H947" s="66"/>
      <c r="I947" s="66"/>
      <c r="J947" s="64"/>
      <c r="K947" s="64"/>
      <c r="L947" s="64"/>
      <c r="M947" s="67" t="str">
        <f aca="false">IF(A947="","",IF(AND(B947&gt;=WeekStart,B947&lt;=WeekEnd),"Yes","No"))</f>
        <v/>
      </c>
      <c r="N947" s="67" t="str">
        <f aca="false">IF(A947="","",IF(L947&lt;&gt;"Verified","Not verified",IF(COUNTIFS(in_CGID,C947,in_ClientID,E947,in_Svc,G947)&gt;0,"Yes","Not entered")))</f>
        <v/>
      </c>
    </row>
    <row r="948" customFormat="false" ht="15" hidden="false" customHeight="false" outlineLevel="0" collapsed="false">
      <c r="A948" s="64"/>
      <c r="B948" s="65"/>
      <c r="C948" s="64"/>
      <c r="D948" s="64"/>
      <c r="E948" s="64"/>
      <c r="F948" s="64"/>
      <c r="G948" s="64"/>
      <c r="H948" s="66"/>
      <c r="I948" s="66"/>
      <c r="J948" s="64"/>
      <c r="K948" s="64"/>
      <c r="L948" s="64"/>
      <c r="M948" s="67" t="str">
        <f aca="false">IF(A948="","",IF(AND(B948&gt;=WeekStart,B948&lt;=WeekEnd),"Yes","No"))</f>
        <v/>
      </c>
      <c r="N948" s="67" t="str">
        <f aca="false">IF(A948="","",IF(L948&lt;&gt;"Verified","Not verified",IF(COUNTIFS(in_CGID,C948,in_ClientID,E948,in_Svc,G948)&gt;0,"Yes","Not entered")))</f>
        <v/>
      </c>
    </row>
    <row r="949" customFormat="false" ht="15" hidden="false" customHeight="false" outlineLevel="0" collapsed="false">
      <c r="A949" s="64"/>
      <c r="B949" s="65"/>
      <c r="C949" s="64"/>
      <c r="D949" s="64"/>
      <c r="E949" s="64"/>
      <c r="F949" s="64"/>
      <c r="G949" s="64"/>
      <c r="H949" s="66"/>
      <c r="I949" s="66"/>
      <c r="J949" s="64"/>
      <c r="K949" s="64"/>
      <c r="L949" s="64"/>
      <c r="M949" s="67" t="str">
        <f aca="false">IF(A949="","",IF(AND(B949&gt;=WeekStart,B949&lt;=WeekEnd),"Yes","No"))</f>
        <v/>
      </c>
      <c r="N949" s="67" t="str">
        <f aca="false">IF(A949="","",IF(L949&lt;&gt;"Verified","Not verified",IF(COUNTIFS(in_CGID,C949,in_ClientID,E949,in_Svc,G949)&gt;0,"Yes","Not entered")))</f>
        <v/>
      </c>
    </row>
    <row r="950" customFormat="false" ht="15" hidden="false" customHeight="false" outlineLevel="0" collapsed="false">
      <c r="A950" s="64"/>
      <c r="B950" s="65"/>
      <c r="C950" s="64"/>
      <c r="D950" s="64"/>
      <c r="E950" s="64"/>
      <c r="F950" s="64"/>
      <c r="G950" s="64"/>
      <c r="H950" s="66"/>
      <c r="I950" s="66"/>
      <c r="J950" s="64"/>
      <c r="K950" s="64"/>
      <c r="L950" s="64"/>
      <c r="M950" s="67" t="str">
        <f aca="false">IF(A950="","",IF(AND(B950&gt;=WeekStart,B950&lt;=WeekEnd),"Yes","No"))</f>
        <v/>
      </c>
      <c r="N950" s="67" t="str">
        <f aca="false">IF(A950="","",IF(L950&lt;&gt;"Verified","Not verified",IF(COUNTIFS(in_CGID,C950,in_ClientID,E950,in_Svc,G950)&gt;0,"Yes","Not entered")))</f>
        <v/>
      </c>
    </row>
    <row r="951" customFormat="false" ht="15" hidden="false" customHeight="false" outlineLevel="0" collapsed="false">
      <c r="A951" s="64"/>
      <c r="B951" s="65"/>
      <c r="C951" s="64"/>
      <c r="D951" s="64"/>
      <c r="E951" s="64"/>
      <c r="F951" s="64"/>
      <c r="G951" s="64"/>
      <c r="H951" s="66"/>
      <c r="I951" s="66"/>
      <c r="J951" s="64"/>
      <c r="K951" s="64"/>
      <c r="L951" s="64"/>
      <c r="M951" s="67" t="str">
        <f aca="false">IF(A951="","",IF(AND(B951&gt;=WeekStart,B951&lt;=WeekEnd),"Yes","No"))</f>
        <v/>
      </c>
      <c r="N951" s="67" t="str">
        <f aca="false">IF(A951="","",IF(L951&lt;&gt;"Verified","Not verified",IF(COUNTIFS(in_CGID,C951,in_ClientID,E951,in_Svc,G951)&gt;0,"Yes","Not entered")))</f>
        <v/>
      </c>
    </row>
    <row r="952" customFormat="false" ht="15" hidden="false" customHeight="false" outlineLevel="0" collapsed="false">
      <c r="A952" s="64"/>
      <c r="B952" s="65"/>
      <c r="C952" s="64"/>
      <c r="D952" s="64"/>
      <c r="E952" s="64"/>
      <c r="F952" s="64"/>
      <c r="G952" s="64"/>
      <c r="H952" s="66"/>
      <c r="I952" s="66"/>
      <c r="J952" s="64"/>
      <c r="K952" s="64"/>
      <c r="L952" s="64"/>
      <c r="M952" s="67" t="str">
        <f aca="false">IF(A952="","",IF(AND(B952&gt;=WeekStart,B952&lt;=WeekEnd),"Yes","No"))</f>
        <v/>
      </c>
      <c r="N952" s="67" t="str">
        <f aca="false">IF(A952="","",IF(L952&lt;&gt;"Verified","Not verified",IF(COUNTIFS(in_CGID,C952,in_ClientID,E952,in_Svc,G952)&gt;0,"Yes","Not entered")))</f>
        <v/>
      </c>
    </row>
    <row r="953" customFormat="false" ht="15" hidden="false" customHeight="false" outlineLevel="0" collapsed="false">
      <c r="A953" s="64"/>
      <c r="B953" s="65"/>
      <c r="C953" s="64"/>
      <c r="D953" s="64"/>
      <c r="E953" s="64"/>
      <c r="F953" s="64"/>
      <c r="G953" s="64"/>
      <c r="H953" s="66"/>
      <c r="I953" s="66"/>
      <c r="J953" s="64"/>
      <c r="K953" s="64"/>
      <c r="L953" s="64"/>
      <c r="M953" s="67" t="str">
        <f aca="false">IF(A953="","",IF(AND(B953&gt;=WeekStart,B953&lt;=WeekEnd),"Yes","No"))</f>
        <v/>
      </c>
      <c r="N953" s="67" t="str">
        <f aca="false">IF(A953="","",IF(L953&lt;&gt;"Verified","Not verified",IF(COUNTIFS(in_CGID,C953,in_ClientID,E953,in_Svc,G953)&gt;0,"Yes","Not entered")))</f>
        <v/>
      </c>
    </row>
    <row r="954" customFormat="false" ht="15" hidden="false" customHeight="false" outlineLevel="0" collapsed="false">
      <c r="A954" s="64"/>
      <c r="B954" s="65"/>
      <c r="C954" s="64"/>
      <c r="D954" s="64"/>
      <c r="E954" s="64"/>
      <c r="F954" s="64"/>
      <c r="G954" s="64"/>
      <c r="H954" s="66"/>
      <c r="I954" s="66"/>
      <c r="J954" s="64"/>
      <c r="K954" s="64"/>
      <c r="L954" s="64"/>
      <c r="M954" s="67" t="str">
        <f aca="false">IF(A954="","",IF(AND(B954&gt;=WeekStart,B954&lt;=WeekEnd),"Yes","No"))</f>
        <v/>
      </c>
      <c r="N954" s="67" t="str">
        <f aca="false">IF(A954="","",IF(L954&lt;&gt;"Verified","Not verified",IF(COUNTIFS(in_CGID,C954,in_ClientID,E954,in_Svc,G954)&gt;0,"Yes","Not entered")))</f>
        <v/>
      </c>
    </row>
    <row r="955" customFormat="false" ht="15" hidden="false" customHeight="false" outlineLevel="0" collapsed="false">
      <c r="A955" s="64"/>
      <c r="B955" s="65"/>
      <c r="C955" s="64"/>
      <c r="D955" s="64"/>
      <c r="E955" s="64"/>
      <c r="F955" s="64"/>
      <c r="G955" s="64"/>
      <c r="H955" s="66"/>
      <c r="I955" s="66"/>
      <c r="J955" s="64"/>
      <c r="K955" s="64"/>
      <c r="L955" s="64"/>
      <c r="M955" s="67" t="str">
        <f aca="false">IF(A955="","",IF(AND(B955&gt;=WeekStart,B955&lt;=WeekEnd),"Yes","No"))</f>
        <v/>
      </c>
      <c r="N955" s="67" t="str">
        <f aca="false">IF(A955="","",IF(L955&lt;&gt;"Verified","Not verified",IF(COUNTIFS(in_CGID,C955,in_ClientID,E955,in_Svc,G955)&gt;0,"Yes","Not entered")))</f>
        <v/>
      </c>
    </row>
    <row r="956" customFormat="false" ht="15" hidden="false" customHeight="false" outlineLevel="0" collapsed="false">
      <c r="A956" s="64"/>
      <c r="B956" s="65"/>
      <c r="C956" s="64"/>
      <c r="D956" s="64"/>
      <c r="E956" s="64"/>
      <c r="F956" s="64"/>
      <c r="G956" s="64"/>
      <c r="H956" s="66"/>
      <c r="I956" s="66"/>
      <c r="J956" s="64"/>
      <c r="K956" s="64"/>
      <c r="L956" s="64"/>
      <c r="M956" s="67" t="str">
        <f aca="false">IF(A956="","",IF(AND(B956&gt;=WeekStart,B956&lt;=WeekEnd),"Yes","No"))</f>
        <v/>
      </c>
      <c r="N956" s="67" t="str">
        <f aca="false">IF(A956="","",IF(L956&lt;&gt;"Verified","Not verified",IF(COUNTIFS(in_CGID,C956,in_ClientID,E956,in_Svc,G956)&gt;0,"Yes","Not entered")))</f>
        <v/>
      </c>
    </row>
    <row r="957" customFormat="false" ht="15" hidden="false" customHeight="false" outlineLevel="0" collapsed="false">
      <c r="A957" s="64"/>
      <c r="B957" s="65"/>
      <c r="C957" s="64"/>
      <c r="D957" s="64"/>
      <c r="E957" s="64"/>
      <c r="F957" s="64"/>
      <c r="G957" s="64"/>
      <c r="H957" s="66"/>
      <c r="I957" s="66"/>
      <c r="J957" s="64"/>
      <c r="K957" s="64"/>
      <c r="L957" s="64"/>
      <c r="M957" s="67" t="str">
        <f aca="false">IF(A957="","",IF(AND(B957&gt;=WeekStart,B957&lt;=WeekEnd),"Yes","No"))</f>
        <v/>
      </c>
      <c r="N957" s="67" t="str">
        <f aca="false">IF(A957="","",IF(L957&lt;&gt;"Verified","Not verified",IF(COUNTIFS(in_CGID,C957,in_ClientID,E957,in_Svc,G957)&gt;0,"Yes","Not entered")))</f>
        <v/>
      </c>
    </row>
    <row r="958" customFormat="false" ht="15" hidden="false" customHeight="false" outlineLevel="0" collapsed="false">
      <c r="A958" s="64"/>
      <c r="B958" s="65"/>
      <c r="C958" s="64"/>
      <c r="D958" s="64"/>
      <c r="E958" s="64"/>
      <c r="F958" s="64"/>
      <c r="G958" s="64"/>
      <c r="H958" s="66"/>
      <c r="I958" s="66"/>
      <c r="J958" s="64"/>
      <c r="K958" s="64"/>
      <c r="L958" s="64"/>
      <c r="M958" s="67" t="str">
        <f aca="false">IF(A958="","",IF(AND(B958&gt;=WeekStart,B958&lt;=WeekEnd),"Yes","No"))</f>
        <v/>
      </c>
      <c r="N958" s="67" t="str">
        <f aca="false">IF(A958="","",IF(L958&lt;&gt;"Verified","Not verified",IF(COUNTIFS(in_CGID,C958,in_ClientID,E958,in_Svc,G958)&gt;0,"Yes","Not entered")))</f>
        <v/>
      </c>
    </row>
    <row r="959" customFormat="false" ht="15" hidden="false" customHeight="false" outlineLevel="0" collapsed="false">
      <c r="A959" s="64"/>
      <c r="B959" s="65"/>
      <c r="C959" s="64"/>
      <c r="D959" s="64"/>
      <c r="E959" s="64"/>
      <c r="F959" s="64"/>
      <c r="G959" s="64"/>
      <c r="H959" s="66"/>
      <c r="I959" s="66"/>
      <c r="J959" s="64"/>
      <c r="K959" s="64"/>
      <c r="L959" s="64"/>
      <c r="M959" s="67" t="str">
        <f aca="false">IF(A959="","",IF(AND(B959&gt;=WeekStart,B959&lt;=WeekEnd),"Yes","No"))</f>
        <v/>
      </c>
      <c r="N959" s="67" t="str">
        <f aca="false">IF(A959="","",IF(L959&lt;&gt;"Verified","Not verified",IF(COUNTIFS(in_CGID,C959,in_ClientID,E959,in_Svc,G959)&gt;0,"Yes","Not entered")))</f>
        <v/>
      </c>
    </row>
    <row r="960" customFormat="false" ht="15" hidden="false" customHeight="false" outlineLevel="0" collapsed="false">
      <c r="A960" s="64"/>
      <c r="B960" s="65"/>
      <c r="C960" s="64"/>
      <c r="D960" s="64"/>
      <c r="E960" s="64"/>
      <c r="F960" s="64"/>
      <c r="G960" s="64"/>
      <c r="H960" s="66"/>
      <c r="I960" s="66"/>
      <c r="J960" s="64"/>
      <c r="K960" s="64"/>
      <c r="L960" s="64"/>
      <c r="M960" s="67" t="str">
        <f aca="false">IF(A960="","",IF(AND(B960&gt;=WeekStart,B960&lt;=WeekEnd),"Yes","No"))</f>
        <v/>
      </c>
      <c r="N960" s="67" t="str">
        <f aca="false">IF(A960="","",IF(L960&lt;&gt;"Verified","Not verified",IF(COUNTIFS(in_CGID,C960,in_ClientID,E960,in_Svc,G960)&gt;0,"Yes","Not entered")))</f>
        <v/>
      </c>
    </row>
    <row r="961" customFormat="false" ht="15" hidden="false" customHeight="false" outlineLevel="0" collapsed="false">
      <c r="A961" s="64"/>
      <c r="B961" s="65"/>
      <c r="C961" s="64"/>
      <c r="D961" s="64"/>
      <c r="E961" s="64"/>
      <c r="F961" s="64"/>
      <c r="G961" s="64"/>
      <c r="H961" s="66"/>
      <c r="I961" s="66"/>
      <c r="J961" s="64"/>
      <c r="K961" s="64"/>
      <c r="L961" s="64"/>
      <c r="M961" s="67" t="str">
        <f aca="false">IF(A961="","",IF(AND(B961&gt;=WeekStart,B961&lt;=WeekEnd),"Yes","No"))</f>
        <v/>
      </c>
      <c r="N961" s="67" t="str">
        <f aca="false">IF(A961="","",IF(L961&lt;&gt;"Verified","Not verified",IF(COUNTIFS(in_CGID,C961,in_ClientID,E961,in_Svc,G961)&gt;0,"Yes","Not entered")))</f>
        <v/>
      </c>
    </row>
    <row r="962" customFormat="false" ht="15" hidden="false" customHeight="false" outlineLevel="0" collapsed="false">
      <c r="A962" s="64"/>
      <c r="B962" s="65"/>
      <c r="C962" s="64"/>
      <c r="D962" s="64"/>
      <c r="E962" s="64"/>
      <c r="F962" s="64"/>
      <c r="G962" s="64"/>
      <c r="H962" s="66"/>
      <c r="I962" s="66"/>
      <c r="J962" s="64"/>
      <c r="K962" s="64"/>
      <c r="L962" s="64"/>
      <c r="M962" s="67" t="str">
        <f aca="false">IF(A962="","",IF(AND(B962&gt;=WeekStart,B962&lt;=WeekEnd),"Yes","No"))</f>
        <v/>
      </c>
      <c r="N962" s="67" t="str">
        <f aca="false">IF(A962="","",IF(L962&lt;&gt;"Verified","Not verified",IF(COUNTIFS(in_CGID,C962,in_ClientID,E962,in_Svc,G962)&gt;0,"Yes","Not entered")))</f>
        <v/>
      </c>
    </row>
    <row r="963" customFormat="false" ht="15" hidden="false" customHeight="false" outlineLevel="0" collapsed="false">
      <c r="A963" s="64"/>
      <c r="B963" s="65"/>
      <c r="C963" s="64"/>
      <c r="D963" s="64"/>
      <c r="E963" s="64"/>
      <c r="F963" s="64"/>
      <c r="G963" s="64"/>
      <c r="H963" s="66"/>
      <c r="I963" s="66"/>
      <c r="J963" s="64"/>
      <c r="K963" s="64"/>
      <c r="L963" s="64"/>
      <c r="M963" s="67" t="str">
        <f aca="false">IF(A963="","",IF(AND(B963&gt;=WeekStart,B963&lt;=WeekEnd),"Yes","No"))</f>
        <v/>
      </c>
      <c r="N963" s="67" t="str">
        <f aca="false">IF(A963="","",IF(L963&lt;&gt;"Verified","Not verified",IF(COUNTIFS(in_CGID,C963,in_ClientID,E963,in_Svc,G963)&gt;0,"Yes","Not entered")))</f>
        <v/>
      </c>
    </row>
    <row r="964" customFormat="false" ht="15" hidden="false" customHeight="false" outlineLevel="0" collapsed="false">
      <c r="A964" s="64"/>
      <c r="B964" s="65"/>
      <c r="C964" s="64"/>
      <c r="D964" s="64"/>
      <c r="E964" s="64"/>
      <c r="F964" s="64"/>
      <c r="G964" s="64"/>
      <c r="H964" s="66"/>
      <c r="I964" s="66"/>
      <c r="J964" s="64"/>
      <c r="K964" s="64"/>
      <c r="L964" s="64"/>
      <c r="M964" s="67" t="str">
        <f aca="false">IF(A964="","",IF(AND(B964&gt;=WeekStart,B964&lt;=WeekEnd),"Yes","No"))</f>
        <v/>
      </c>
      <c r="N964" s="67" t="str">
        <f aca="false">IF(A964="","",IF(L964&lt;&gt;"Verified","Not verified",IF(COUNTIFS(in_CGID,C964,in_ClientID,E964,in_Svc,G964)&gt;0,"Yes","Not entered")))</f>
        <v/>
      </c>
    </row>
    <row r="965" customFormat="false" ht="15" hidden="false" customHeight="false" outlineLevel="0" collapsed="false">
      <c r="A965" s="64"/>
      <c r="B965" s="65"/>
      <c r="C965" s="64"/>
      <c r="D965" s="64"/>
      <c r="E965" s="64"/>
      <c r="F965" s="64"/>
      <c r="G965" s="64"/>
      <c r="H965" s="66"/>
      <c r="I965" s="66"/>
      <c r="J965" s="64"/>
      <c r="K965" s="64"/>
      <c r="L965" s="64"/>
      <c r="M965" s="67" t="str">
        <f aca="false">IF(A965="","",IF(AND(B965&gt;=WeekStart,B965&lt;=WeekEnd),"Yes","No"))</f>
        <v/>
      </c>
      <c r="N965" s="67" t="str">
        <f aca="false">IF(A965="","",IF(L965&lt;&gt;"Verified","Not verified",IF(COUNTIFS(in_CGID,C965,in_ClientID,E965,in_Svc,G965)&gt;0,"Yes","Not entered")))</f>
        <v/>
      </c>
    </row>
    <row r="966" customFormat="false" ht="15" hidden="false" customHeight="false" outlineLevel="0" collapsed="false">
      <c r="A966" s="64"/>
      <c r="B966" s="65"/>
      <c r="C966" s="64"/>
      <c r="D966" s="64"/>
      <c r="E966" s="64"/>
      <c r="F966" s="64"/>
      <c r="G966" s="64"/>
      <c r="H966" s="66"/>
      <c r="I966" s="66"/>
      <c r="J966" s="64"/>
      <c r="K966" s="64"/>
      <c r="L966" s="64"/>
      <c r="M966" s="67" t="str">
        <f aca="false">IF(A966="","",IF(AND(B966&gt;=WeekStart,B966&lt;=WeekEnd),"Yes","No"))</f>
        <v/>
      </c>
      <c r="N966" s="67" t="str">
        <f aca="false">IF(A966="","",IF(L966&lt;&gt;"Verified","Not verified",IF(COUNTIFS(in_CGID,C966,in_ClientID,E966,in_Svc,G966)&gt;0,"Yes","Not entered")))</f>
        <v/>
      </c>
    </row>
    <row r="967" customFormat="false" ht="15" hidden="false" customHeight="false" outlineLevel="0" collapsed="false">
      <c r="A967" s="64"/>
      <c r="B967" s="65"/>
      <c r="C967" s="64"/>
      <c r="D967" s="64"/>
      <c r="E967" s="64"/>
      <c r="F967" s="64"/>
      <c r="G967" s="64"/>
      <c r="H967" s="66"/>
      <c r="I967" s="66"/>
      <c r="J967" s="64"/>
      <c r="K967" s="64"/>
      <c r="L967" s="64"/>
      <c r="M967" s="67" t="str">
        <f aca="false">IF(A967="","",IF(AND(B967&gt;=WeekStart,B967&lt;=WeekEnd),"Yes","No"))</f>
        <v/>
      </c>
      <c r="N967" s="67" t="str">
        <f aca="false">IF(A967="","",IF(L967&lt;&gt;"Verified","Not verified",IF(COUNTIFS(in_CGID,C967,in_ClientID,E967,in_Svc,G967)&gt;0,"Yes","Not entered")))</f>
        <v/>
      </c>
    </row>
    <row r="968" customFormat="false" ht="15" hidden="false" customHeight="false" outlineLevel="0" collapsed="false">
      <c r="A968" s="64"/>
      <c r="B968" s="65"/>
      <c r="C968" s="64"/>
      <c r="D968" s="64"/>
      <c r="E968" s="64"/>
      <c r="F968" s="64"/>
      <c r="G968" s="64"/>
      <c r="H968" s="66"/>
      <c r="I968" s="66"/>
      <c r="J968" s="64"/>
      <c r="K968" s="64"/>
      <c r="L968" s="64"/>
      <c r="M968" s="67" t="str">
        <f aca="false">IF(A968="","",IF(AND(B968&gt;=WeekStart,B968&lt;=WeekEnd),"Yes","No"))</f>
        <v/>
      </c>
      <c r="N968" s="67" t="str">
        <f aca="false">IF(A968="","",IF(L968&lt;&gt;"Verified","Not verified",IF(COUNTIFS(in_CGID,C968,in_ClientID,E968,in_Svc,G968)&gt;0,"Yes","Not entered")))</f>
        <v/>
      </c>
    </row>
    <row r="969" customFormat="false" ht="15" hidden="false" customHeight="false" outlineLevel="0" collapsed="false">
      <c r="A969" s="64"/>
      <c r="B969" s="65"/>
      <c r="C969" s="64"/>
      <c r="D969" s="64"/>
      <c r="E969" s="64"/>
      <c r="F969" s="64"/>
      <c r="G969" s="64"/>
      <c r="H969" s="66"/>
      <c r="I969" s="66"/>
      <c r="J969" s="64"/>
      <c r="K969" s="64"/>
      <c r="L969" s="64"/>
      <c r="M969" s="67" t="str">
        <f aca="false">IF(A969="","",IF(AND(B969&gt;=WeekStart,B969&lt;=WeekEnd),"Yes","No"))</f>
        <v/>
      </c>
      <c r="N969" s="67" t="str">
        <f aca="false">IF(A969="","",IF(L969&lt;&gt;"Verified","Not verified",IF(COUNTIFS(in_CGID,C969,in_ClientID,E969,in_Svc,G969)&gt;0,"Yes","Not entered")))</f>
        <v/>
      </c>
    </row>
    <row r="970" customFormat="false" ht="15" hidden="false" customHeight="false" outlineLevel="0" collapsed="false">
      <c r="A970" s="64"/>
      <c r="B970" s="65"/>
      <c r="C970" s="64"/>
      <c r="D970" s="64"/>
      <c r="E970" s="64"/>
      <c r="F970" s="64"/>
      <c r="G970" s="64"/>
      <c r="H970" s="66"/>
      <c r="I970" s="66"/>
      <c r="J970" s="64"/>
      <c r="K970" s="64"/>
      <c r="L970" s="64"/>
      <c r="M970" s="67" t="str">
        <f aca="false">IF(A970="","",IF(AND(B970&gt;=WeekStart,B970&lt;=WeekEnd),"Yes","No"))</f>
        <v/>
      </c>
      <c r="N970" s="67" t="str">
        <f aca="false">IF(A970="","",IF(L970&lt;&gt;"Verified","Not verified",IF(COUNTIFS(in_CGID,C970,in_ClientID,E970,in_Svc,G970)&gt;0,"Yes","Not entered")))</f>
        <v/>
      </c>
    </row>
    <row r="971" customFormat="false" ht="15" hidden="false" customHeight="false" outlineLevel="0" collapsed="false">
      <c r="A971" s="64"/>
      <c r="B971" s="65"/>
      <c r="C971" s="64"/>
      <c r="D971" s="64"/>
      <c r="E971" s="64"/>
      <c r="F971" s="64"/>
      <c r="G971" s="64"/>
      <c r="H971" s="66"/>
      <c r="I971" s="66"/>
      <c r="J971" s="64"/>
      <c r="K971" s="64"/>
      <c r="L971" s="64"/>
      <c r="M971" s="67" t="str">
        <f aca="false">IF(A971="","",IF(AND(B971&gt;=WeekStart,B971&lt;=WeekEnd),"Yes","No"))</f>
        <v/>
      </c>
      <c r="N971" s="67" t="str">
        <f aca="false">IF(A971="","",IF(L971&lt;&gt;"Verified","Not verified",IF(COUNTIFS(in_CGID,C971,in_ClientID,E971,in_Svc,G971)&gt;0,"Yes","Not entered")))</f>
        <v/>
      </c>
    </row>
    <row r="972" customFormat="false" ht="15" hidden="false" customHeight="false" outlineLevel="0" collapsed="false">
      <c r="A972" s="64"/>
      <c r="B972" s="65"/>
      <c r="C972" s="64"/>
      <c r="D972" s="64"/>
      <c r="E972" s="64"/>
      <c r="F972" s="64"/>
      <c r="G972" s="64"/>
      <c r="H972" s="66"/>
      <c r="I972" s="66"/>
      <c r="J972" s="64"/>
      <c r="K972" s="64"/>
      <c r="L972" s="64"/>
      <c r="M972" s="67" t="str">
        <f aca="false">IF(A972="","",IF(AND(B972&gt;=WeekStart,B972&lt;=WeekEnd),"Yes","No"))</f>
        <v/>
      </c>
      <c r="N972" s="67" t="str">
        <f aca="false">IF(A972="","",IF(L972&lt;&gt;"Verified","Not verified",IF(COUNTIFS(in_CGID,C972,in_ClientID,E972,in_Svc,G972)&gt;0,"Yes","Not entered")))</f>
        <v/>
      </c>
    </row>
    <row r="973" customFormat="false" ht="15" hidden="false" customHeight="false" outlineLevel="0" collapsed="false">
      <c r="A973" s="64"/>
      <c r="B973" s="65"/>
      <c r="C973" s="64"/>
      <c r="D973" s="64"/>
      <c r="E973" s="64"/>
      <c r="F973" s="64"/>
      <c r="G973" s="64"/>
      <c r="H973" s="66"/>
      <c r="I973" s="66"/>
      <c r="J973" s="64"/>
      <c r="K973" s="64"/>
      <c r="L973" s="64"/>
      <c r="M973" s="67" t="str">
        <f aca="false">IF(A973="","",IF(AND(B973&gt;=WeekStart,B973&lt;=WeekEnd),"Yes","No"))</f>
        <v/>
      </c>
      <c r="N973" s="67" t="str">
        <f aca="false">IF(A973="","",IF(L973&lt;&gt;"Verified","Not verified",IF(COUNTIFS(in_CGID,C973,in_ClientID,E973,in_Svc,G973)&gt;0,"Yes","Not entered")))</f>
        <v/>
      </c>
    </row>
    <row r="974" customFormat="false" ht="15" hidden="false" customHeight="false" outlineLevel="0" collapsed="false">
      <c r="A974" s="64"/>
      <c r="B974" s="65"/>
      <c r="C974" s="64"/>
      <c r="D974" s="64"/>
      <c r="E974" s="64"/>
      <c r="F974" s="64"/>
      <c r="G974" s="64"/>
      <c r="H974" s="66"/>
      <c r="I974" s="66"/>
      <c r="J974" s="64"/>
      <c r="K974" s="64"/>
      <c r="L974" s="64"/>
      <c r="M974" s="67" t="str">
        <f aca="false">IF(A974="","",IF(AND(B974&gt;=WeekStart,B974&lt;=WeekEnd),"Yes","No"))</f>
        <v/>
      </c>
      <c r="N974" s="67" t="str">
        <f aca="false">IF(A974="","",IF(L974&lt;&gt;"Verified","Not verified",IF(COUNTIFS(in_CGID,C974,in_ClientID,E974,in_Svc,G974)&gt;0,"Yes","Not entered")))</f>
        <v/>
      </c>
    </row>
    <row r="975" customFormat="false" ht="15" hidden="false" customHeight="false" outlineLevel="0" collapsed="false">
      <c r="A975" s="64"/>
      <c r="B975" s="65"/>
      <c r="C975" s="64"/>
      <c r="D975" s="64"/>
      <c r="E975" s="64"/>
      <c r="F975" s="64"/>
      <c r="G975" s="64"/>
      <c r="H975" s="66"/>
      <c r="I975" s="66"/>
      <c r="J975" s="64"/>
      <c r="K975" s="64"/>
      <c r="L975" s="64"/>
      <c r="M975" s="67" t="str">
        <f aca="false">IF(A975="","",IF(AND(B975&gt;=WeekStart,B975&lt;=WeekEnd),"Yes","No"))</f>
        <v/>
      </c>
      <c r="N975" s="67" t="str">
        <f aca="false">IF(A975="","",IF(L975&lt;&gt;"Verified","Not verified",IF(COUNTIFS(in_CGID,C975,in_ClientID,E975,in_Svc,G975)&gt;0,"Yes","Not entered")))</f>
        <v/>
      </c>
    </row>
    <row r="976" customFormat="false" ht="15" hidden="false" customHeight="false" outlineLevel="0" collapsed="false">
      <c r="A976" s="64"/>
      <c r="B976" s="65"/>
      <c r="C976" s="64"/>
      <c r="D976" s="64"/>
      <c r="E976" s="64"/>
      <c r="F976" s="64"/>
      <c r="G976" s="64"/>
      <c r="H976" s="66"/>
      <c r="I976" s="66"/>
      <c r="J976" s="64"/>
      <c r="K976" s="64"/>
      <c r="L976" s="64"/>
      <c r="M976" s="67" t="str">
        <f aca="false">IF(A976="","",IF(AND(B976&gt;=WeekStart,B976&lt;=WeekEnd),"Yes","No"))</f>
        <v/>
      </c>
      <c r="N976" s="67" t="str">
        <f aca="false">IF(A976="","",IF(L976&lt;&gt;"Verified","Not verified",IF(COUNTIFS(in_CGID,C976,in_ClientID,E976,in_Svc,G976)&gt;0,"Yes","Not entered")))</f>
        <v/>
      </c>
    </row>
    <row r="977" customFormat="false" ht="15" hidden="false" customHeight="false" outlineLevel="0" collapsed="false">
      <c r="A977" s="64"/>
      <c r="B977" s="65"/>
      <c r="C977" s="64"/>
      <c r="D977" s="64"/>
      <c r="E977" s="64"/>
      <c r="F977" s="64"/>
      <c r="G977" s="64"/>
      <c r="H977" s="66"/>
      <c r="I977" s="66"/>
      <c r="J977" s="64"/>
      <c r="K977" s="64"/>
      <c r="L977" s="64"/>
      <c r="M977" s="67" t="str">
        <f aca="false">IF(A977="","",IF(AND(B977&gt;=WeekStart,B977&lt;=WeekEnd),"Yes","No"))</f>
        <v/>
      </c>
      <c r="N977" s="67" t="str">
        <f aca="false">IF(A977="","",IF(L977&lt;&gt;"Verified","Not verified",IF(COUNTIFS(in_CGID,C977,in_ClientID,E977,in_Svc,G977)&gt;0,"Yes","Not entered")))</f>
        <v/>
      </c>
    </row>
    <row r="978" customFormat="false" ht="15" hidden="false" customHeight="false" outlineLevel="0" collapsed="false">
      <c r="A978" s="64"/>
      <c r="B978" s="65"/>
      <c r="C978" s="64"/>
      <c r="D978" s="64"/>
      <c r="E978" s="64"/>
      <c r="F978" s="64"/>
      <c r="G978" s="64"/>
      <c r="H978" s="66"/>
      <c r="I978" s="66"/>
      <c r="J978" s="64"/>
      <c r="K978" s="64"/>
      <c r="L978" s="64"/>
      <c r="M978" s="67" t="str">
        <f aca="false">IF(A978="","",IF(AND(B978&gt;=WeekStart,B978&lt;=WeekEnd),"Yes","No"))</f>
        <v/>
      </c>
      <c r="N978" s="67" t="str">
        <f aca="false">IF(A978="","",IF(L978&lt;&gt;"Verified","Not verified",IF(COUNTIFS(in_CGID,C978,in_ClientID,E978,in_Svc,G978)&gt;0,"Yes","Not entered")))</f>
        <v/>
      </c>
    </row>
    <row r="979" customFormat="false" ht="15" hidden="false" customHeight="false" outlineLevel="0" collapsed="false">
      <c r="A979" s="64"/>
      <c r="B979" s="65"/>
      <c r="C979" s="64"/>
      <c r="D979" s="64"/>
      <c r="E979" s="64"/>
      <c r="F979" s="64"/>
      <c r="G979" s="64"/>
      <c r="H979" s="66"/>
      <c r="I979" s="66"/>
      <c r="J979" s="64"/>
      <c r="K979" s="64"/>
      <c r="L979" s="64"/>
      <c r="M979" s="67" t="str">
        <f aca="false">IF(A979="","",IF(AND(B979&gt;=WeekStart,B979&lt;=WeekEnd),"Yes","No"))</f>
        <v/>
      </c>
      <c r="N979" s="67" t="str">
        <f aca="false">IF(A979="","",IF(L979&lt;&gt;"Verified","Not verified",IF(COUNTIFS(in_CGID,C979,in_ClientID,E979,in_Svc,G979)&gt;0,"Yes","Not entered")))</f>
        <v/>
      </c>
    </row>
    <row r="980" customFormat="false" ht="15" hidden="false" customHeight="false" outlineLevel="0" collapsed="false">
      <c r="A980" s="64"/>
      <c r="B980" s="65"/>
      <c r="C980" s="64"/>
      <c r="D980" s="64"/>
      <c r="E980" s="64"/>
      <c r="F980" s="64"/>
      <c r="G980" s="64"/>
      <c r="H980" s="66"/>
      <c r="I980" s="66"/>
      <c r="J980" s="64"/>
      <c r="K980" s="64"/>
      <c r="L980" s="64"/>
      <c r="M980" s="67" t="str">
        <f aca="false">IF(A980="","",IF(AND(B980&gt;=WeekStart,B980&lt;=WeekEnd),"Yes","No"))</f>
        <v/>
      </c>
      <c r="N980" s="67" t="str">
        <f aca="false">IF(A980="","",IF(L980&lt;&gt;"Verified","Not verified",IF(COUNTIFS(in_CGID,C980,in_ClientID,E980,in_Svc,G980)&gt;0,"Yes","Not entered")))</f>
        <v/>
      </c>
    </row>
    <row r="981" customFormat="false" ht="15" hidden="false" customHeight="false" outlineLevel="0" collapsed="false">
      <c r="A981" s="64"/>
      <c r="B981" s="65"/>
      <c r="C981" s="64"/>
      <c r="D981" s="64"/>
      <c r="E981" s="64"/>
      <c r="F981" s="64"/>
      <c r="G981" s="64"/>
      <c r="H981" s="66"/>
      <c r="I981" s="66"/>
      <c r="J981" s="64"/>
      <c r="K981" s="64"/>
      <c r="L981" s="64"/>
      <c r="M981" s="67" t="str">
        <f aca="false">IF(A981="","",IF(AND(B981&gt;=WeekStart,B981&lt;=WeekEnd),"Yes","No"))</f>
        <v/>
      </c>
      <c r="N981" s="67" t="str">
        <f aca="false">IF(A981="","",IF(L981&lt;&gt;"Verified","Not verified",IF(COUNTIFS(in_CGID,C981,in_ClientID,E981,in_Svc,G981)&gt;0,"Yes","Not entered")))</f>
        <v/>
      </c>
    </row>
    <row r="982" customFormat="false" ht="15" hidden="false" customHeight="false" outlineLevel="0" collapsed="false">
      <c r="A982" s="64"/>
      <c r="B982" s="65"/>
      <c r="C982" s="64"/>
      <c r="D982" s="64"/>
      <c r="E982" s="64"/>
      <c r="F982" s="64"/>
      <c r="G982" s="64"/>
      <c r="H982" s="66"/>
      <c r="I982" s="66"/>
      <c r="J982" s="64"/>
      <c r="K982" s="64"/>
      <c r="L982" s="64"/>
      <c r="M982" s="67" t="str">
        <f aca="false">IF(A982="","",IF(AND(B982&gt;=WeekStart,B982&lt;=WeekEnd),"Yes","No"))</f>
        <v/>
      </c>
      <c r="N982" s="67" t="str">
        <f aca="false">IF(A982="","",IF(L982&lt;&gt;"Verified","Not verified",IF(COUNTIFS(in_CGID,C982,in_ClientID,E982,in_Svc,G982)&gt;0,"Yes","Not entered")))</f>
        <v/>
      </c>
    </row>
    <row r="983" customFormat="false" ht="15" hidden="false" customHeight="false" outlineLevel="0" collapsed="false">
      <c r="A983" s="64"/>
      <c r="B983" s="65"/>
      <c r="C983" s="64"/>
      <c r="D983" s="64"/>
      <c r="E983" s="64"/>
      <c r="F983" s="64"/>
      <c r="G983" s="64"/>
      <c r="H983" s="66"/>
      <c r="I983" s="66"/>
      <c r="J983" s="64"/>
      <c r="K983" s="64"/>
      <c r="L983" s="64"/>
      <c r="M983" s="67" t="str">
        <f aca="false">IF(A983="","",IF(AND(B983&gt;=WeekStart,B983&lt;=WeekEnd),"Yes","No"))</f>
        <v/>
      </c>
      <c r="N983" s="67" t="str">
        <f aca="false">IF(A983="","",IF(L983&lt;&gt;"Verified","Not verified",IF(COUNTIFS(in_CGID,C983,in_ClientID,E983,in_Svc,G983)&gt;0,"Yes","Not entered")))</f>
        <v/>
      </c>
    </row>
    <row r="984" customFormat="false" ht="15" hidden="false" customHeight="false" outlineLevel="0" collapsed="false">
      <c r="A984" s="64"/>
      <c r="B984" s="65"/>
      <c r="C984" s="64"/>
      <c r="D984" s="64"/>
      <c r="E984" s="64"/>
      <c r="F984" s="64"/>
      <c r="G984" s="64"/>
      <c r="H984" s="66"/>
      <c r="I984" s="66"/>
      <c r="J984" s="64"/>
      <c r="K984" s="64"/>
      <c r="L984" s="64"/>
      <c r="M984" s="67" t="str">
        <f aca="false">IF(A984="","",IF(AND(B984&gt;=WeekStart,B984&lt;=WeekEnd),"Yes","No"))</f>
        <v/>
      </c>
      <c r="N984" s="67" t="str">
        <f aca="false">IF(A984="","",IF(L984&lt;&gt;"Verified","Not verified",IF(COUNTIFS(in_CGID,C984,in_ClientID,E984,in_Svc,G984)&gt;0,"Yes","Not entered")))</f>
        <v/>
      </c>
    </row>
    <row r="985" customFormat="false" ht="15" hidden="false" customHeight="false" outlineLevel="0" collapsed="false">
      <c r="A985" s="64"/>
      <c r="B985" s="65"/>
      <c r="C985" s="64"/>
      <c r="D985" s="64"/>
      <c r="E985" s="64"/>
      <c r="F985" s="64"/>
      <c r="G985" s="64"/>
      <c r="H985" s="66"/>
      <c r="I985" s="66"/>
      <c r="J985" s="64"/>
      <c r="K985" s="64"/>
      <c r="L985" s="64"/>
      <c r="M985" s="67" t="str">
        <f aca="false">IF(A985="","",IF(AND(B985&gt;=WeekStart,B985&lt;=WeekEnd),"Yes","No"))</f>
        <v/>
      </c>
      <c r="N985" s="67" t="str">
        <f aca="false">IF(A985="","",IF(L985&lt;&gt;"Verified","Not verified",IF(COUNTIFS(in_CGID,C985,in_ClientID,E985,in_Svc,G985)&gt;0,"Yes","Not entered")))</f>
        <v/>
      </c>
    </row>
    <row r="986" customFormat="false" ht="15" hidden="false" customHeight="false" outlineLevel="0" collapsed="false">
      <c r="A986" s="64"/>
      <c r="B986" s="65"/>
      <c r="C986" s="64"/>
      <c r="D986" s="64"/>
      <c r="E986" s="64"/>
      <c r="F986" s="64"/>
      <c r="G986" s="64"/>
      <c r="H986" s="66"/>
      <c r="I986" s="66"/>
      <c r="J986" s="64"/>
      <c r="K986" s="64"/>
      <c r="L986" s="64"/>
      <c r="M986" s="67" t="str">
        <f aca="false">IF(A986="","",IF(AND(B986&gt;=WeekStart,B986&lt;=WeekEnd),"Yes","No"))</f>
        <v/>
      </c>
      <c r="N986" s="67" t="str">
        <f aca="false">IF(A986="","",IF(L986&lt;&gt;"Verified","Not verified",IF(COUNTIFS(in_CGID,C986,in_ClientID,E986,in_Svc,G986)&gt;0,"Yes","Not entered")))</f>
        <v/>
      </c>
    </row>
    <row r="987" customFormat="false" ht="15" hidden="false" customHeight="false" outlineLevel="0" collapsed="false">
      <c r="A987" s="64"/>
      <c r="B987" s="65"/>
      <c r="C987" s="64"/>
      <c r="D987" s="64"/>
      <c r="E987" s="64"/>
      <c r="F987" s="64"/>
      <c r="G987" s="64"/>
      <c r="H987" s="66"/>
      <c r="I987" s="66"/>
      <c r="J987" s="64"/>
      <c r="K987" s="64"/>
      <c r="L987" s="64"/>
      <c r="M987" s="67" t="str">
        <f aca="false">IF(A987="","",IF(AND(B987&gt;=WeekStart,B987&lt;=WeekEnd),"Yes","No"))</f>
        <v/>
      </c>
      <c r="N987" s="67" t="str">
        <f aca="false">IF(A987="","",IF(L987&lt;&gt;"Verified","Not verified",IF(COUNTIFS(in_CGID,C987,in_ClientID,E987,in_Svc,G987)&gt;0,"Yes","Not entered")))</f>
        <v/>
      </c>
    </row>
    <row r="988" customFormat="false" ht="15" hidden="false" customHeight="false" outlineLevel="0" collapsed="false">
      <c r="A988" s="64"/>
      <c r="B988" s="65"/>
      <c r="C988" s="64"/>
      <c r="D988" s="64"/>
      <c r="E988" s="64"/>
      <c r="F988" s="64"/>
      <c r="G988" s="64"/>
      <c r="H988" s="66"/>
      <c r="I988" s="66"/>
      <c r="J988" s="64"/>
      <c r="K988" s="64"/>
      <c r="L988" s="64"/>
      <c r="M988" s="67" t="str">
        <f aca="false">IF(A988="","",IF(AND(B988&gt;=WeekStart,B988&lt;=WeekEnd),"Yes","No"))</f>
        <v/>
      </c>
      <c r="N988" s="67" t="str">
        <f aca="false">IF(A988="","",IF(L988&lt;&gt;"Verified","Not verified",IF(COUNTIFS(in_CGID,C988,in_ClientID,E988,in_Svc,G988)&gt;0,"Yes","Not entered")))</f>
        <v/>
      </c>
    </row>
    <row r="989" customFormat="false" ht="15" hidden="false" customHeight="false" outlineLevel="0" collapsed="false">
      <c r="A989" s="64"/>
      <c r="B989" s="65"/>
      <c r="C989" s="64"/>
      <c r="D989" s="64"/>
      <c r="E989" s="64"/>
      <c r="F989" s="64"/>
      <c r="G989" s="64"/>
      <c r="H989" s="66"/>
      <c r="I989" s="66"/>
      <c r="J989" s="64"/>
      <c r="K989" s="64"/>
      <c r="L989" s="64"/>
      <c r="M989" s="67" t="str">
        <f aca="false">IF(A989="","",IF(AND(B989&gt;=WeekStart,B989&lt;=WeekEnd),"Yes","No"))</f>
        <v/>
      </c>
      <c r="N989" s="67" t="str">
        <f aca="false">IF(A989="","",IF(L989&lt;&gt;"Verified","Not verified",IF(COUNTIFS(in_CGID,C989,in_ClientID,E989,in_Svc,G989)&gt;0,"Yes","Not entered")))</f>
        <v/>
      </c>
    </row>
    <row r="990" customFormat="false" ht="15" hidden="false" customHeight="false" outlineLevel="0" collapsed="false">
      <c r="A990" s="64"/>
      <c r="B990" s="65"/>
      <c r="C990" s="64"/>
      <c r="D990" s="64"/>
      <c r="E990" s="64"/>
      <c r="F990" s="64"/>
      <c r="G990" s="64"/>
      <c r="H990" s="66"/>
      <c r="I990" s="66"/>
      <c r="J990" s="64"/>
      <c r="K990" s="64"/>
      <c r="L990" s="64"/>
      <c r="M990" s="67" t="str">
        <f aca="false">IF(A990="","",IF(AND(B990&gt;=WeekStart,B990&lt;=WeekEnd),"Yes","No"))</f>
        <v/>
      </c>
      <c r="N990" s="67" t="str">
        <f aca="false">IF(A990="","",IF(L990&lt;&gt;"Verified","Not verified",IF(COUNTIFS(in_CGID,C990,in_ClientID,E990,in_Svc,G990)&gt;0,"Yes","Not entered")))</f>
        <v/>
      </c>
    </row>
    <row r="991" customFormat="false" ht="15" hidden="false" customHeight="false" outlineLevel="0" collapsed="false">
      <c r="A991" s="64"/>
      <c r="B991" s="65"/>
      <c r="C991" s="64"/>
      <c r="D991" s="64"/>
      <c r="E991" s="64"/>
      <c r="F991" s="64"/>
      <c r="G991" s="64"/>
      <c r="H991" s="66"/>
      <c r="I991" s="66"/>
      <c r="J991" s="64"/>
      <c r="K991" s="64"/>
      <c r="L991" s="64"/>
      <c r="M991" s="67" t="str">
        <f aca="false">IF(A991="","",IF(AND(B991&gt;=WeekStart,B991&lt;=WeekEnd),"Yes","No"))</f>
        <v/>
      </c>
      <c r="N991" s="67" t="str">
        <f aca="false">IF(A991="","",IF(L991&lt;&gt;"Verified","Not verified",IF(COUNTIFS(in_CGID,C991,in_ClientID,E991,in_Svc,G991)&gt;0,"Yes","Not entered")))</f>
        <v/>
      </c>
    </row>
    <row r="992" customFormat="false" ht="15" hidden="false" customHeight="false" outlineLevel="0" collapsed="false">
      <c r="A992" s="64"/>
      <c r="B992" s="65"/>
      <c r="C992" s="64"/>
      <c r="D992" s="64"/>
      <c r="E992" s="64"/>
      <c r="F992" s="64"/>
      <c r="G992" s="64"/>
      <c r="H992" s="66"/>
      <c r="I992" s="66"/>
      <c r="J992" s="64"/>
      <c r="K992" s="64"/>
      <c r="L992" s="64"/>
      <c r="M992" s="67" t="str">
        <f aca="false">IF(A992="","",IF(AND(B992&gt;=WeekStart,B992&lt;=WeekEnd),"Yes","No"))</f>
        <v/>
      </c>
      <c r="N992" s="67" t="str">
        <f aca="false">IF(A992="","",IF(L992&lt;&gt;"Verified","Not verified",IF(COUNTIFS(in_CGID,C992,in_ClientID,E992,in_Svc,G992)&gt;0,"Yes","Not entered")))</f>
        <v/>
      </c>
    </row>
    <row r="993" customFormat="false" ht="15" hidden="false" customHeight="false" outlineLevel="0" collapsed="false">
      <c r="A993" s="64"/>
      <c r="B993" s="65"/>
      <c r="C993" s="64"/>
      <c r="D993" s="64"/>
      <c r="E993" s="64"/>
      <c r="F993" s="64"/>
      <c r="G993" s="64"/>
      <c r="H993" s="66"/>
      <c r="I993" s="66"/>
      <c r="J993" s="64"/>
      <c r="K993" s="64"/>
      <c r="L993" s="64"/>
      <c r="M993" s="67" t="str">
        <f aca="false">IF(A993="","",IF(AND(B993&gt;=WeekStart,B993&lt;=WeekEnd),"Yes","No"))</f>
        <v/>
      </c>
      <c r="N993" s="67" t="str">
        <f aca="false">IF(A993="","",IF(L993&lt;&gt;"Verified","Not verified",IF(COUNTIFS(in_CGID,C993,in_ClientID,E993,in_Svc,G993)&gt;0,"Yes","Not entered")))</f>
        <v/>
      </c>
    </row>
    <row r="994" customFormat="false" ht="15" hidden="false" customHeight="false" outlineLevel="0" collapsed="false">
      <c r="A994" s="64"/>
      <c r="B994" s="65"/>
      <c r="C994" s="64"/>
      <c r="D994" s="64"/>
      <c r="E994" s="64"/>
      <c r="F994" s="64"/>
      <c r="G994" s="64"/>
      <c r="H994" s="66"/>
      <c r="I994" s="66"/>
      <c r="J994" s="64"/>
      <c r="K994" s="64"/>
      <c r="L994" s="64"/>
      <c r="M994" s="67" t="str">
        <f aca="false">IF(A994="","",IF(AND(B994&gt;=WeekStart,B994&lt;=WeekEnd),"Yes","No"))</f>
        <v/>
      </c>
      <c r="N994" s="67" t="str">
        <f aca="false">IF(A994="","",IF(L994&lt;&gt;"Verified","Not verified",IF(COUNTIFS(in_CGID,C994,in_ClientID,E994,in_Svc,G994)&gt;0,"Yes","Not entered")))</f>
        <v/>
      </c>
    </row>
    <row r="995" customFormat="false" ht="15" hidden="false" customHeight="false" outlineLevel="0" collapsed="false">
      <c r="A995" s="64"/>
      <c r="B995" s="65"/>
      <c r="C995" s="64"/>
      <c r="D995" s="64"/>
      <c r="E995" s="64"/>
      <c r="F995" s="64"/>
      <c r="G995" s="64"/>
      <c r="H995" s="66"/>
      <c r="I995" s="66"/>
      <c r="J995" s="64"/>
      <c r="K995" s="64"/>
      <c r="L995" s="64"/>
      <c r="M995" s="67" t="str">
        <f aca="false">IF(A995="","",IF(AND(B995&gt;=WeekStart,B995&lt;=WeekEnd),"Yes","No"))</f>
        <v/>
      </c>
      <c r="N995" s="67" t="str">
        <f aca="false">IF(A995="","",IF(L995&lt;&gt;"Verified","Not verified",IF(COUNTIFS(in_CGID,C995,in_ClientID,E995,in_Svc,G995)&gt;0,"Yes","Not entered")))</f>
        <v/>
      </c>
    </row>
    <row r="996" customFormat="false" ht="15" hidden="false" customHeight="false" outlineLevel="0" collapsed="false">
      <c r="A996" s="64"/>
      <c r="B996" s="65"/>
      <c r="C996" s="64"/>
      <c r="D996" s="64"/>
      <c r="E996" s="64"/>
      <c r="F996" s="64"/>
      <c r="G996" s="64"/>
      <c r="H996" s="66"/>
      <c r="I996" s="66"/>
      <c r="J996" s="64"/>
      <c r="K996" s="64"/>
      <c r="L996" s="64"/>
      <c r="M996" s="67" t="str">
        <f aca="false">IF(A996="","",IF(AND(B996&gt;=WeekStart,B996&lt;=WeekEnd),"Yes","No"))</f>
        <v/>
      </c>
      <c r="N996" s="67" t="str">
        <f aca="false">IF(A996="","",IF(L996&lt;&gt;"Verified","Not verified",IF(COUNTIFS(in_CGID,C996,in_ClientID,E996,in_Svc,G996)&gt;0,"Yes","Not entered")))</f>
        <v/>
      </c>
    </row>
    <row r="997" customFormat="false" ht="15" hidden="false" customHeight="false" outlineLevel="0" collapsed="false">
      <c r="A997" s="64"/>
      <c r="B997" s="65"/>
      <c r="C997" s="64"/>
      <c r="D997" s="64"/>
      <c r="E997" s="64"/>
      <c r="F997" s="64"/>
      <c r="G997" s="64"/>
      <c r="H997" s="66"/>
      <c r="I997" s="66"/>
      <c r="J997" s="64"/>
      <c r="K997" s="64"/>
      <c r="L997" s="64"/>
      <c r="M997" s="67" t="str">
        <f aca="false">IF(A997="","",IF(AND(B997&gt;=WeekStart,B997&lt;=WeekEnd),"Yes","No"))</f>
        <v/>
      </c>
      <c r="N997" s="67" t="str">
        <f aca="false">IF(A997="","",IF(L997&lt;&gt;"Verified","Not verified",IF(COUNTIFS(in_CGID,C997,in_ClientID,E997,in_Svc,G997)&gt;0,"Yes","Not entered")))</f>
        <v/>
      </c>
    </row>
    <row r="998" customFormat="false" ht="15" hidden="false" customHeight="false" outlineLevel="0" collapsed="false">
      <c r="A998" s="64"/>
      <c r="B998" s="65"/>
      <c r="C998" s="64"/>
      <c r="D998" s="64"/>
      <c r="E998" s="64"/>
      <c r="F998" s="64"/>
      <c r="G998" s="64"/>
      <c r="H998" s="66"/>
      <c r="I998" s="66"/>
      <c r="J998" s="64"/>
      <c r="K998" s="64"/>
      <c r="L998" s="64"/>
      <c r="M998" s="67" t="str">
        <f aca="false">IF(A998="","",IF(AND(B998&gt;=WeekStart,B998&lt;=WeekEnd),"Yes","No"))</f>
        <v/>
      </c>
      <c r="N998" s="67" t="str">
        <f aca="false">IF(A998="","",IF(L998&lt;&gt;"Verified","Not verified",IF(COUNTIFS(in_CGID,C998,in_ClientID,E998,in_Svc,G998)&gt;0,"Yes","Not entered")))</f>
        <v/>
      </c>
    </row>
    <row r="999" customFormat="false" ht="15" hidden="false" customHeight="false" outlineLevel="0" collapsed="false">
      <c r="A999" s="64"/>
      <c r="B999" s="65"/>
      <c r="C999" s="64"/>
      <c r="D999" s="64"/>
      <c r="E999" s="64"/>
      <c r="F999" s="64"/>
      <c r="G999" s="64"/>
      <c r="H999" s="66"/>
      <c r="I999" s="66"/>
      <c r="J999" s="64"/>
      <c r="K999" s="64"/>
      <c r="L999" s="64"/>
      <c r="M999" s="67" t="str">
        <f aca="false">IF(A999="","",IF(AND(B999&gt;=WeekStart,B999&lt;=WeekEnd),"Yes","No"))</f>
        <v/>
      </c>
      <c r="N999" s="67" t="str">
        <f aca="false">IF(A999="","",IF(L999&lt;&gt;"Verified","Not verified",IF(COUNTIFS(in_CGID,C999,in_ClientID,E999,in_Svc,G999)&gt;0,"Yes","Not entered")))</f>
        <v/>
      </c>
    </row>
    <row r="1000" customFormat="false" ht="15" hidden="false" customHeight="false" outlineLevel="0" collapsed="false">
      <c r="A1000" s="64"/>
      <c r="B1000" s="65"/>
      <c r="C1000" s="64"/>
      <c r="D1000" s="64"/>
      <c r="E1000" s="64"/>
      <c r="F1000" s="64"/>
      <c r="G1000" s="64"/>
      <c r="H1000" s="66"/>
      <c r="I1000" s="66"/>
      <c r="J1000" s="64"/>
      <c r="K1000" s="64"/>
      <c r="L1000" s="64"/>
      <c r="M1000" s="67" t="str">
        <f aca="false">IF(A1000="","",IF(AND(B1000&gt;=WeekStart,B1000&lt;=WeekEnd),"Yes","No"))</f>
        <v/>
      </c>
      <c r="N1000" s="67" t="str">
        <f aca="false">IF(A1000="","",IF(L1000&lt;&gt;"Verified","Not verified",IF(COUNTIFS(in_CGID,C1000,in_ClientID,E1000,in_Svc,G1000)&gt;0,"Yes","Not entered")))</f>
        <v/>
      </c>
    </row>
    <row r="1001" customFormat="false" ht="15" hidden="false" customHeight="false" outlineLevel="0" collapsed="false">
      <c r="A1001" s="64"/>
      <c r="B1001" s="65"/>
      <c r="C1001" s="64"/>
      <c r="D1001" s="64"/>
      <c r="E1001" s="64"/>
      <c r="F1001" s="64"/>
      <c r="G1001" s="64"/>
      <c r="H1001" s="66"/>
      <c r="I1001" s="66"/>
      <c r="J1001" s="64"/>
      <c r="K1001" s="64"/>
      <c r="L1001" s="64"/>
      <c r="M1001" s="67" t="str">
        <f aca="false">IF(A1001="","",IF(AND(B1001&gt;=WeekStart,B1001&lt;=WeekEnd),"Yes","No"))</f>
        <v/>
      </c>
      <c r="N1001" s="67" t="str">
        <f aca="false">IF(A1001="","",IF(L1001&lt;&gt;"Verified","Not verified",IF(COUNTIFS(in_CGID,C1001,in_ClientID,E1001,in_Svc,G1001)&gt;0,"Yes","Not entered")))</f>
        <v/>
      </c>
    </row>
  </sheetData>
  <sheetProtection sheet="true" formatColumns="false" formatRows="false" sort="false" autoFilter="false"/>
  <autoFilter ref="A1:N1001"/>
  <conditionalFormatting sqref="N2:N1001">
    <cfRule type="expression" priority="2" aboveAverage="0" equalAverage="0" bottom="0" percent="0" rank="0" text="" dxfId="17">
      <formula>$N2="Not entered"</formula>
    </cfRule>
  </conditionalFormatting>
  <conditionalFormatting sqref="M2:M1001">
    <cfRule type="expression" priority="3" aboveAverage="0" equalAverage="0" bottom="0" percent="0" rank="0" text="" dxfId="18">
      <formula>$M2="No"</formula>
    </cfRule>
  </conditionalFormatting>
  <conditionalFormatting sqref="L2:L1001">
    <cfRule type="expression" priority="4" aboveAverage="0" equalAverage="0" bottom="0" percent="0" rank="0" text="" dxfId="17">
      <formula>AND($L2&lt;&gt;"",$L2&lt;&gt;"Verified")</formula>
    </cfRule>
  </conditionalFormatting>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7791F"/>
    <pageSetUpPr fitToPage="true"/>
  </sheetPr>
  <dimension ref="B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9"/>
    <col collapsed="false" customWidth="true" hidden="false" outlineLevel="0" max="3" min="3" style="0" width="22"/>
    <col collapsed="false" customWidth="true" hidden="false" outlineLevel="0" max="4" min="4" style="0" width="13"/>
    <col collapsed="false" customWidth="true" hidden="false" outlineLevel="0" max="6" min="5" style="0" width="12"/>
    <col collapsed="false" customWidth="true" hidden="false" outlineLevel="0" max="7" min="7" style="0" width="32"/>
    <col collapsed="false" customWidth="true" hidden="false" outlineLevel="0" max="8" min="8" style="0" width="40"/>
  </cols>
  <sheetData>
    <row r="1" customFormat="false" ht="33.75" hidden="false" customHeight="true" outlineLevel="0" collapsed="false">
      <c r="B1" s="1" t="s">
        <v>586</v>
      </c>
    </row>
    <row r="2" customFormat="false" ht="18" hidden="false" customHeight="true" outlineLevel="0" collapsed="false">
      <c r="B2" s="30" t="s">
        <v>587</v>
      </c>
    </row>
    <row r="4" customFormat="false" ht="30" hidden="false" customHeight="true" outlineLevel="0" collapsed="false">
      <c r="B4" s="34" t="s">
        <v>588</v>
      </c>
      <c r="C4" s="34" t="s">
        <v>94</v>
      </c>
      <c r="D4" s="34" t="s">
        <v>589</v>
      </c>
      <c r="E4" s="34" t="s">
        <v>590</v>
      </c>
      <c r="F4" s="34" t="s">
        <v>591</v>
      </c>
      <c r="G4" s="34" t="s">
        <v>592</v>
      </c>
      <c r="H4" s="34" t="s">
        <v>99</v>
      </c>
    </row>
    <row r="5" customFormat="false" ht="15" hidden="false" customHeight="false" outlineLevel="0" collapsed="false">
      <c r="B5" s="37" t="s">
        <v>113</v>
      </c>
      <c r="C5" s="37" t="s">
        <v>593</v>
      </c>
      <c r="D5" s="37" t="s">
        <v>594</v>
      </c>
      <c r="E5" s="68" t="n">
        <v>5.5</v>
      </c>
      <c r="F5" s="69" t="s">
        <v>595</v>
      </c>
      <c r="G5" s="37" t="s">
        <v>596</v>
      </c>
      <c r="H5" s="37" t="s">
        <v>597</v>
      </c>
    </row>
    <row r="6" customFormat="false" ht="15" hidden="false" customHeight="false" outlineLevel="0" collapsed="false">
      <c r="B6" s="37" t="s">
        <v>133</v>
      </c>
      <c r="C6" s="37" t="s">
        <v>598</v>
      </c>
      <c r="D6" s="37" t="s">
        <v>594</v>
      </c>
      <c r="E6" s="68" t="n">
        <v>4.6</v>
      </c>
      <c r="F6" s="69" t="s">
        <v>599</v>
      </c>
      <c r="G6" s="37" t="s">
        <v>600</v>
      </c>
      <c r="H6" s="37" t="s">
        <v>601</v>
      </c>
    </row>
    <row r="7" customFormat="false" ht="15" hidden="false" customHeight="false" outlineLevel="0" collapsed="false">
      <c r="B7" s="37" t="s">
        <v>110</v>
      </c>
      <c r="C7" s="37" t="s">
        <v>602</v>
      </c>
      <c r="D7" s="37" t="s">
        <v>594</v>
      </c>
      <c r="E7" s="68" t="n">
        <v>4.25</v>
      </c>
      <c r="F7" s="69" t="s">
        <v>603</v>
      </c>
      <c r="G7" s="37" t="s">
        <v>604</v>
      </c>
      <c r="H7" s="37" t="s">
        <v>605</v>
      </c>
    </row>
    <row r="8" customFormat="false" ht="15" hidden="false" customHeight="false" outlineLevel="0" collapsed="false">
      <c r="B8" s="37" t="s">
        <v>117</v>
      </c>
      <c r="C8" s="37" t="s">
        <v>606</v>
      </c>
      <c r="D8" s="37" t="s">
        <v>594</v>
      </c>
      <c r="E8" s="68" t="n">
        <v>5.1</v>
      </c>
      <c r="F8" s="69" t="s">
        <v>607</v>
      </c>
      <c r="G8" s="37" t="s">
        <v>608</v>
      </c>
      <c r="H8" s="37" t="s">
        <v>609</v>
      </c>
    </row>
    <row r="9" customFormat="false" ht="15" hidden="false" customHeight="false" outlineLevel="0" collapsed="false">
      <c r="B9" s="37" t="s">
        <v>157</v>
      </c>
      <c r="C9" s="37" t="s">
        <v>610</v>
      </c>
      <c r="D9" s="37" t="s">
        <v>611</v>
      </c>
      <c r="E9" s="68" t="n">
        <v>62</v>
      </c>
      <c r="F9" s="69" t="s">
        <v>612</v>
      </c>
      <c r="G9" s="37" t="s">
        <v>613</v>
      </c>
      <c r="H9" s="37" t="s">
        <v>614</v>
      </c>
    </row>
    <row r="10" customFormat="false" ht="15" hidden="false" customHeight="false" outlineLevel="0" collapsed="false">
      <c r="B10" s="37"/>
      <c r="C10" s="37"/>
      <c r="D10" s="37"/>
      <c r="E10" s="68"/>
      <c r="F10" s="69"/>
      <c r="G10" s="37"/>
      <c r="H10" s="37"/>
    </row>
    <row r="11" customFormat="false" ht="15" hidden="false" customHeight="false" outlineLevel="0" collapsed="false">
      <c r="B11" s="37"/>
      <c r="C11" s="37"/>
      <c r="D11" s="37"/>
      <c r="E11" s="68"/>
      <c r="F11" s="69"/>
      <c r="G11" s="37"/>
      <c r="H11" s="37"/>
    </row>
    <row r="12" customFormat="false" ht="15" hidden="false" customHeight="false" outlineLevel="0" collapsed="false">
      <c r="B12" s="37"/>
      <c r="C12" s="37"/>
      <c r="D12" s="37"/>
      <c r="E12" s="68"/>
      <c r="F12" s="69"/>
      <c r="G12" s="37"/>
      <c r="H12" s="37"/>
    </row>
    <row r="13" customFormat="false" ht="15" hidden="false" customHeight="false" outlineLevel="0" collapsed="false">
      <c r="B13" s="37"/>
      <c r="C13" s="37"/>
      <c r="D13" s="37"/>
      <c r="E13" s="68"/>
      <c r="F13" s="69"/>
      <c r="G13" s="37"/>
      <c r="H13" s="37"/>
    </row>
    <row r="14" customFormat="false" ht="15" hidden="false" customHeight="false" outlineLevel="0" collapsed="false">
      <c r="B14" s="37"/>
      <c r="C14" s="37"/>
      <c r="D14" s="37"/>
      <c r="E14" s="68"/>
      <c r="F14" s="69"/>
      <c r="G14" s="37"/>
      <c r="H14" s="37"/>
    </row>
    <row r="16" customFormat="false" ht="15" hidden="false" customHeight="false" outlineLevel="0" collapsed="false">
      <c r="B16" s="29" t="s">
        <v>615</v>
      </c>
    </row>
  </sheetData>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7791F"/>
    <pageSetUpPr fitToPage="true"/>
  </sheetPr>
  <dimension ref="B1:O1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0"/>
    <col collapsed="false" customWidth="true" hidden="false" outlineLevel="0" max="3" min="3" style="0" width="22"/>
    <col collapsed="false" customWidth="true" hidden="false" outlineLevel="0" max="4" min="4" style="0" width="11"/>
    <col collapsed="false" customWidth="true" hidden="false" outlineLevel="0" max="5" min="5" style="0" width="30"/>
    <col collapsed="false" customWidth="true" hidden="false" outlineLevel="0" max="6" min="6" style="0" width="11"/>
    <col collapsed="false" customWidth="true" hidden="false" outlineLevel="0" max="7" min="7" style="0" width="10"/>
    <col collapsed="false" customWidth="true" hidden="false" outlineLevel="0" max="9" min="8" style="0" width="12"/>
    <col collapsed="false" customWidth="true" hidden="false" outlineLevel="0" max="10" min="10" style="0" width="10"/>
    <col collapsed="false" customWidth="true" hidden="false" outlineLevel="0" max="11" min="11" style="0" width="11"/>
    <col collapsed="false" customWidth="true" hidden="false" outlineLevel="0" max="12" min="12" style="0" width="3"/>
    <col collapsed="false" customWidth="true" hidden="false" outlineLevel="0" max="13" min="13" style="0" width="10"/>
    <col collapsed="false" customWidth="true" hidden="false" outlineLevel="0" max="14" min="14" style="0" width="18"/>
    <col collapsed="false" customWidth="true" hidden="false" outlineLevel="0" max="15" min="15" style="0" width="24"/>
  </cols>
  <sheetData>
    <row r="1" customFormat="false" ht="33.75" hidden="false" customHeight="true" outlineLevel="0" collapsed="false">
      <c r="B1" s="1" t="s">
        <v>616</v>
      </c>
    </row>
    <row r="2" customFormat="false" ht="18" hidden="false" customHeight="true" outlineLevel="0" collapsed="false">
      <c r="B2" s="30" t="s">
        <v>617</v>
      </c>
    </row>
    <row r="4" customFormat="false" ht="30" hidden="false" customHeight="true" outlineLevel="0" collapsed="false">
      <c r="B4" s="34" t="s">
        <v>100</v>
      </c>
      <c r="C4" s="34" t="s">
        <v>618</v>
      </c>
      <c r="D4" s="34" t="s">
        <v>619</v>
      </c>
      <c r="E4" s="34" t="s">
        <v>620</v>
      </c>
      <c r="F4" s="34" t="s">
        <v>213</v>
      </c>
      <c r="G4" s="34" t="s">
        <v>621</v>
      </c>
      <c r="H4" s="34" t="s">
        <v>237</v>
      </c>
      <c r="I4" s="34" t="s">
        <v>238</v>
      </c>
      <c r="J4" s="34" t="s">
        <v>260</v>
      </c>
      <c r="K4" s="34" t="s">
        <v>622</v>
      </c>
      <c r="M4" s="34" t="s">
        <v>101</v>
      </c>
      <c r="N4" s="34" t="s">
        <v>623</v>
      </c>
      <c r="O4" s="34" t="s">
        <v>624</v>
      </c>
    </row>
    <row r="5" customFormat="false" ht="15" hidden="false" customHeight="false" outlineLevel="0" collapsed="false">
      <c r="B5" s="37" t="s">
        <v>282</v>
      </c>
      <c r="C5" s="37" t="s">
        <v>145</v>
      </c>
      <c r="D5" s="37" t="s">
        <v>625</v>
      </c>
      <c r="E5" s="37"/>
      <c r="F5" s="37" t="s">
        <v>626</v>
      </c>
      <c r="G5" s="37" t="s">
        <v>627</v>
      </c>
      <c r="H5" s="37" t="s">
        <v>628</v>
      </c>
      <c r="I5" s="37" t="s">
        <v>629</v>
      </c>
      <c r="J5" s="37" t="s">
        <v>630</v>
      </c>
      <c r="K5" s="70" t="n">
        <v>44963</v>
      </c>
      <c r="M5" s="37" t="s">
        <v>631</v>
      </c>
      <c r="N5" s="37" t="s">
        <v>632</v>
      </c>
      <c r="O5" s="37" t="s">
        <v>633</v>
      </c>
    </row>
    <row r="6" customFormat="false" ht="15" hidden="false" customHeight="false" outlineLevel="0" collapsed="false">
      <c r="B6" s="37" t="s">
        <v>302</v>
      </c>
      <c r="C6" s="37" t="s">
        <v>119</v>
      </c>
      <c r="D6" s="37" t="s">
        <v>625</v>
      </c>
      <c r="E6" s="37"/>
      <c r="F6" s="37" t="s">
        <v>626</v>
      </c>
      <c r="G6" s="37" t="s">
        <v>627</v>
      </c>
      <c r="H6" s="37" t="s">
        <v>634</v>
      </c>
      <c r="I6" s="37" t="s">
        <v>635</v>
      </c>
      <c r="J6" s="37" t="s">
        <v>636</v>
      </c>
      <c r="K6" s="70" t="n">
        <v>44977</v>
      </c>
      <c r="M6" s="37" t="s">
        <v>637</v>
      </c>
      <c r="N6" s="37" t="s">
        <v>638</v>
      </c>
      <c r="O6" s="37" t="s">
        <v>639</v>
      </c>
    </row>
    <row r="7" customFormat="false" ht="15" hidden="false" customHeight="false" outlineLevel="0" collapsed="false">
      <c r="B7" s="37" t="s">
        <v>297</v>
      </c>
      <c r="C7" s="37" t="s">
        <v>169</v>
      </c>
      <c r="D7" s="37" t="s">
        <v>625</v>
      </c>
      <c r="E7" s="37"/>
      <c r="F7" s="37" t="s">
        <v>626</v>
      </c>
      <c r="G7" s="37" t="s">
        <v>627</v>
      </c>
      <c r="H7" s="37" t="s">
        <v>640</v>
      </c>
      <c r="I7" s="37" t="s">
        <v>641</v>
      </c>
      <c r="J7" s="37" t="s">
        <v>642</v>
      </c>
      <c r="K7" s="70" t="n">
        <v>45572</v>
      </c>
      <c r="M7" s="37" t="s">
        <v>643</v>
      </c>
      <c r="N7" s="37" t="s">
        <v>644</v>
      </c>
      <c r="O7" s="37" t="s">
        <v>645</v>
      </c>
    </row>
    <row r="8" customFormat="false" ht="15" hidden="false" customHeight="false" outlineLevel="0" collapsed="false">
      <c r="B8" s="37" t="s">
        <v>400</v>
      </c>
      <c r="C8" s="37" t="s">
        <v>162</v>
      </c>
      <c r="D8" s="37" t="s">
        <v>646</v>
      </c>
      <c r="E8" s="37" t="s">
        <v>647</v>
      </c>
      <c r="F8" s="37" t="s">
        <v>646</v>
      </c>
      <c r="G8" s="37" t="s">
        <v>627</v>
      </c>
      <c r="H8" s="37" t="s">
        <v>648</v>
      </c>
      <c r="I8" s="37" t="s">
        <v>649</v>
      </c>
      <c r="J8" s="37" t="s">
        <v>650</v>
      </c>
      <c r="K8" s="70" t="n">
        <v>43855</v>
      </c>
      <c r="M8" s="37" t="s">
        <v>651</v>
      </c>
      <c r="N8" s="37" t="s">
        <v>652</v>
      </c>
      <c r="O8" s="37" t="s">
        <v>645</v>
      </c>
    </row>
    <row r="9" customFormat="false" ht="15" hidden="false" customHeight="false" outlineLevel="0" collapsed="false">
      <c r="B9" s="37" t="s">
        <v>315</v>
      </c>
      <c r="C9" s="37" t="s">
        <v>158</v>
      </c>
      <c r="D9" s="37" t="s">
        <v>625</v>
      </c>
      <c r="E9" s="37"/>
      <c r="F9" s="37" t="s">
        <v>626</v>
      </c>
      <c r="G9" s="37" t="s">
        <v>627</v>
      </c>
      <c r="H9" s="37" t="s">
        <v>653</v>
      </c>
      <c r="I9" s="37" t="s">
        <v>654</v>
      </c>
      <c r="J9" s="37" t="s">
        <v>655</v>
      </c>
      <c r="K9" s="70" t="n">
        <v>45882</v>
      </c>
      <c r="M9" s="37" t="s">
        <v>366</v>
      </c>
      <c r="N9" s="37" t="s">
        <v>188</v>
      </c>
      <c r="O9" s="37" t="s">
        <v>656</v>
      </c>
    </row>
    <row r="10" customFormat="false" ht="15" hidden="false" customHeight="false" outlineLevel="0" collapsed="false">
      <c r="B10" s="37" t="s">
        <v>657</v>
      </c>
      <c r="C10" s="37" t="s">
        <v>658</v>
      </c>
      <c r="D10" s="37" t="s">
        <v>625</v>
      </c>
      <c r="E10" s="37"/>
      <c r="F10" s="37" t="s">
        <v>626</v>
      </c>
      <c r="G10" s="37" t="s">
        <v>627</v>
      </c>
      <c r="H10" s="37" t="s">
        <v>659</v>
      </c>
      <c r="I10" s="37" t="s">
        <v>660</v>
      </c>
      <c r="J10" s="37" t="s">
        <v>661</v>
      </c>
      <c r="K10" s="70" t="n">
        <v>44230</v>
      </c>
      <c r="M10" s="37" t="s">
        <v>310</v>
      </c>
      <c r="N10" s="37" t="s">
        <v>118</v>
      </c>
      <c r="O10" s="37" t="s">
        <v>662</v>
      </c>
    </row>
    <row r="11" customFormat="false" ht="15" hidden="false" customHeight="false" outlineLevel="0" collapsed="false">
      <c r="B11" s="37" t="s">
        <v>342</v>
      </c>
      <c r="C11" s="37" t="s">
        <v>137</v>
      </c>
      <c r="D11" s="37" t="s">
        <v>625</v>
      </c>
      <c r="E11" s="37"/>
      <c r="F11" s="37" t="s">
        <v>626</v>
      </c>
      <c r="G11" s="37" t="s">
        <v>627</v>
      </c>
      <c r="H11" s="37" t="s">
        <v>663</v>
      </c>
      <c r="I11" s="37" t="s">
        <v>664</v>
      </c>
      <c r="J11" s="37" t="s">
        <v>665</v>
      </c>
      <c r="K11" s="70" t="n">
        <v>45849</v>
      </c>
      <c r="M11" s="37" t="s">
        <v>316</v>
      </c>
      <c r="N11" s="37" t="s">
        <v>159</v>
      </c>
      <c r="O11" s="37" t="s">
        <v>662</v>
      </c>
    </row>
    <row r="12" customFormat="false" ht="15" hidden="false" customHeight="false" outlineLevel="0" collapsed="false">
      <c r="B12" s="37" t="s">
        <v>347</v>
      </c>
      <c r="C12" s="37" t="s">
        <v>134</v>
      </c>
      <c r="D12" s="37" t="s">
        <v>625</v>
      </c>
      <c r="E12" s="37"/>
      <c r="F12" s="37" t="s">
        <v>626</v>
      </c>
      <c r="G12" s="37" t="s">
        <v>627</v>
      </c>
      <c r="H12" s="37" t="s">
        <v>666</v>
      </c>
      <c r="I12" s="37" t="s">
        <v>667</v>
      </c>
      <c r="J12" s="37" t="s">
        <v>668</v>
      </c>
      <c r="K12" s="70" t="n">
        <v>45330</v>
      </c>
      <c r="M12" s="37" t="s">
        <v>333</v>
      </c>
      <c r="N12" s="37" t="s">
        <v>172</v>
      </c>
      <c r="O12" s="37" t="s">
        <v>645</v>
      </c>
    </row>
    <row r="13" customFormat="false" ht="15" hidden="false" customHeight="false" outlineLevel="0" collapsed="false">
      <c r="B13" s="37" t="s">
        <v>323</v>
      </c>
      <c r="C13" s="37" t="s">
        <v>115</v>
      </c>
      <c r="D13" s="37" t="s">
        <v>625</v>
      </c>
      <c r="E13" s="37"/>
      <c r="F13" s="37" t="s">
        <v>626</v>
      </c>
      <c r="G13" s="37" t="s">
        <v>669</v>
      </c>
      <c r="H13" s="37" t="s">
        <v>670</v>
      </c>
      <c r="I13" s="37" t="s">
        <v>671</v>
      </c>
      <c r="J13" s="37" t="s">
        <v>672</v>
      </c>
      <c r="K13" s="70" t="n">
        <v>44953</v>
      </c>
      <c r="M13" s="37" t="s">
        <v>388</v>
      </c>
      <c r="N13" s="37" t="s">
        <v>186</v>
      </c>
      <c r="O13" s="37" t="s">
        <v>645</v>
      </c>
    </row>
    <row r="14" customFormat="false" ht="15" hidden="false" customHeight="false" outlineLevel="0" collapsed="false">
      <c r="B14" s="37" t="s">
        <v>673</v>
      </c>
      <c r="C14" s="37" t="s">
        <v>674</v>
      </c>
      <c r="D14" s="37" t="s">
        <v>625</v>
      </c>
      <c r="E14" s="37"/>
      <c r="F14" s="37" t="s">
        <v>626</v>
      </c>
      <c r="G14" s="37" t="s">
        <v>627</v>
      </c>
      <c r="H14" s="37" t="s">
        <v>675</v>
      </c>
      <c r="I14" s="37" t="s">
        <v>676</v>
      </c>
      <c r="J14" s="37" t="s">
        <v>677</v>
      </c>
      <c r="K14" s="70" t="n">
        <v>44506</v>
      </c>
      <c r="M14" s="37" t="s">
        <v>678</v>
      </c>
      <c r="N14" s="37" t="s">
        <v>679</v>
      </c>
      <c r="O14" s="37" t="s">
        <v>633</v>
      </c>
    </row>
    <row r="15" customFormat="false" ht="15" hidden="false" customHeight="false" outlineLevel="0" collapsed="false">
      <c r="B15" s="37" t="s">
        <v>305</v>
      </c>
      <c r="C15" s="37" t="s">
        <v>121</v>
      </c>
      <c r="D15" s="37" t="s">
        <v>625</v>
      </c>
      <c r="E15" s="37"/>
      <c r="F15" s="37" t="s">
        <v>626</v>
      </c>
      <c r="G15" s="37" t="s">
        <v>627</v>
      </c>
      <c r="H15" s="37" t="s">
        <v>680</v>
      </c>
      <c r="I15" s="37" t="s">
        <v>681</v>
      </c>
      <c r="J15" s="37" t="s">
        <v>682</v>
      </c>
      <c r="K15" s="70" t="n">
        <v>43542</v>
      </c>
      <c r="M15" s="37" t="s">
        <v>455</v>
      </c>
      <c r="N15" s="37" t="s">
        <v>183</v>
      </c>
      <c r="O15" s="37" t="s">
        <v>645</v>
      </c>
    </row>
    <row r="16" customFormat="false" ht="15" hidden="false" customHeight="false" outlineLevel="0" collapsed="false">
      <c r="B16" s="37" t="s">
        <v>350</v>
      </c>
      <c r="C16" s="37" t="s">
        <v>142</v>
      </c>
      <c r="D16" s="37" t="s">
        <v>646</v>
      </c>
      <c r="E16" s="37" t="s">
        <v>683</v>
      </c>
      <c r="F16" s="37" t="s">
        <v>646</v>
      </c>
      <c r="G16" s="37" t="s">
        <v>627</v>
      </c>
      <c r="H16" s="37" t="s">
        <v>684</v>
      </c>
      <c r="I16" s="37" t="s">
        <v>685</v>
      </c>
      <c r="J16" s="37" t="s">
        <v>686</v>
      </c>
      <c r="K16" s="70" t="n">
        <v>45141</v>
      </c>
      <c r="M16" s="37" t="s">
        <v>401</v>
      </c>
      <c r="N16" s="37" t="s">
        <v>163</v>
      </c>
      <c r="O16" s="37" t="s">
        <v>656</v>
      </c>
    </row>
    <row r="17" customFormat="false" ht="15" hidden="false" customHeight="false" outlineLevel="0" collapsed="false">
      <c r="B17" s="37" t="s">
        <v>385</v>
      </c>
      <c r="C17" s="37" t="s">
        <v>184</v>
      </c>
      <c r="D17" s="37" t="s">
        <v>625</v>
      </c>
      <c r="E17" s="37"/>
      <c r="F17" s="37" t="s">
        <v>626</v>
      </c>
      <c r="G17" s="37" t="s">
        <v>669</v>
      </c>
      <c r="H17" s="37" t="s">
        <v>687</v>
      </c>
      <c r="I17" s="37" t="s">
        <v>688</v>
      </c>
      <c r="J17" s="37" t="s">
        <v>689</v>
      </c>
      <c r="K17" s="70" t="n">
        <v>45647</v>
      </c>
      <c r="M17" s="37" t="s">
        <v>351</v>
      </c>
      <c r="N17" s="37" t="s">
        <v>144</v>
      </c>
      <c r="O17" s="37" t="s">
        <v>662</v>
      </c>
    </row>
    <row r="18" customFormat="false" ht="15" hidden="false" customHeight="false" outlineLevel="0" collapsed="false">
      <c r="B18" s="37" t="s">
        <v>357</v>
      </c>
      <c r="C18" s="37" t="s">
        <v>160</v>
      </c>
      <c r="D18" s="37" t="s">
        <v>646</v>
      </c>
      <c r="E18" s="37" t="s">
        <v>690</v>
      </c>
      <c r="F18" s="37" t="s">
        <v>646</v>
      </c>
      <c r="G18" s="37" t="s">
        <v>627</v>
      </c>
      <c r="H18" s="37" t="s">
        <v>691</v>
      </c>
      <c r="I18" s="37" t="s">
        <v>692</v>
      </c>
      <c r="J18" s="37" t="s">
        <v>693</v>
      </c>
      <c r="K18" s="70" t="n">
        <v>45973</v>
      </c>
      <c r="M18" s="37" t="s">
        <v>330</v>
      </c>
      <c r="N18" s="37" t="s">
        <v>152</v>
      </c>
      <c r="O18" s="37" t="s">
        <v>639</v>
      </c>
    </row>
    <row r="19" customFormat="false" ht="15" hidden="false" customHeight="false" outlineLevel="0" collapsed="false">
      <c r="B19" s="37" t="s">
        <v>580</v>
      </c>
      <c r="C19" s="37" t="s">
        <v>156</v>
      </c>
      <c r="D19" s="37" t="s">
        <v>625</v>
      </c>
      <c r="E19" s="37"/>
      <c r="F19" s="37" t="s">
        <v>626</v>
      </c>
      <c r="G19" s="37" t="s">
        <v>627</v>
      </c>
      <c r="H19" s="37" t="s">
        <v>694</v>
      </c>
      <c r="I19" s="37" t="s">
        <v>695</v>
      </c>
      <c r="J19" s="37" t="s">
        <v>696</v>
      </c>
      <c r="K19" s="70" t="n">
        <v>45307</v>
      </c>
      <c r="M19" s="37" t="s">
        <v>697</v>
      </c>
      <c r="N19" s="37" t="s">
        <v>698</v>
      </c>
      <c r="O19" s="37" t="s">
        <v>662</v>
      </c>
    </row>
    <row r="20" customFormat="false" ht="15" hidden="false" customHeight="false" outlineLevel="0" collapsed="false">
      <c r="B20" s="37" t="s">
        <v>427</v>
      </c>
      <c r="C20" s="37" t="s">
        <v>175</v>
      </c>
      <c r="D20" s="37" t="s">
        <v>625</v>
      </c>
      <c r="E20" s="37"/>
      <c r="F20" s="37" t="s">
        <v>626</v>
      </c>
      <c r="G20" s="37" t="s">
        <v>627</v>
      </c>
      <c r="H20" s="37" t="s">
        <v>699</v>
      </c>
      <c r="I20" s="37" t="s">
        <v>700</v>
      </c>
      <c r="J20" s="37" t="s">
        <v>701</v>
      </c>
      <c r="K20" s="70" t="n">
        <v>45449</v>
      </c>
      <c r="M20" s="37" t="s">
        <v>364</v>
      </c>
      <c r="N20" s="37" t="s">
        <v>149</v>
      </c>
      <c r="O20" s="37" t="s">
        <v>645</v>
      </c>
    </row>
    <row r="21" customFormat="false" ht="15" hidden="false" customHeight="false" outlineLevel="0" collapsed="false">
      <c r="B21" s="37" t="s">
        <v>447</v>
      </c>
      <c r="C21" s="37" t="s">
        <v>181</v>
      </c>
      <c r="D21" s="37" t="s">
        <v>625</v>
      </c>
      <c r="E21" s="37"/>
      <c r="F21" s="37" t="s">
        <v>626</v>
      </c>
      <c r="G21" s="37" t="s">
        <v>627</v>
      </c>
      <c r="H21" s="37" t="s">
        <v>702</v>
      </c>
      <c r="I21" s="37" t="s">
        <v>703</v>
      </c>
      <c r="J21" s="37" t="s">
        <v>704</v>
      </c>
      <c r="K21" s="70" t="n">
        <v>45539</v>
      </c>
      <c r="M21" s="37" t="s">
        <v>705</v>
      </c>
      <c r="N21" s="37" t="s">
        <v>706</v>
      </c>
      <c r="O21" s="37" t="s">
        <v>645</v>
      </c>
    </row>
    <row r="22" customFormat="false" ht="15" hidden="false" customHeight="false" outlineLevel="0" collapsed="false">
      <c r="B22" s="37" t="s">
        <v>369</v>
      </c>
      <c r="C22" s="37" t="s">
        <v>173</v>
      </c>
      <c r="D22" s="37" t="s">
        <v>625</v>
      </c>
      <c r="E22" s="37"/>
      <c r="F22" s="37" t="s">
        <v>626</v>
      </c>
      <c r="G22" s="37" t="s">
        <v>627</v>
      </c>
      <c r="H22" s="37" t="s">
        <v>707</v>
      </c>
      <c r="I22" s="37" t="s">
        <v>708</v>
      </c>
      <c r="J22" s="37" t="s">
        <v>709</v>
      </c>
      <c r="K22" s="70" t="n">
        <v>45550</v>
      </c>
      <c r="M22" s="37" t="s">
        <v>417</v>
      </c>
      <c r="N22" s="37" t="s">
        <v>128</v>
      </c>
      <c r="O22" s="37" t="s">
        <v>656</v>
      </c>
    </row>
    <row r="23" customFormat="false" ht="15" hidden="false" customHeight="false" outlineLevel="0" collapsed="false">
      <c r="B23" s="37" t="s">
        <v>528</v>
      </c>
      <c r="C23" s="37" t="s">
        <v>148</v>
      </c>
      <c r="D23" s="37" t="s">
        <v>625</v>
      </c>
      <c r="E23" s="37"/>
      <c r="F23" s="37" t="s">
        <v>626</v>
      </c>
      <c r="G23" s="37" t="s">
        <v>627</v>
      </c>
      <c r="H23" s="37" t="s">
        <v>710</v>
      </c>
      <c r="I23" s="37" t="s">
        <v>711</v>
      </c>
      <c r="J23" s="37" t="s">
        <v>712</v>
      </c>
      <c r="K23" s="70" t="n">
        <v>44211</v>
      </c>
      <c r="M23" s="37" t="s">
        <v>713</v>
      </c>
      <c r="N23" s="37" t="s">
        <v>714</v>
      </c>
      <c r="O23" s="37" t="s">
        <v>645</v>
      </c>
    </row>
    <row r="24" customFormat="false" ht="15" hidden="false" customHeight="false" outlineLevel="0" collapsed="false">
      <c r="B24" s="37" t="s">
        <v>353</v>
      </c>
      <c r="C24" s="37" t="s">
        <v>189</v>
      </c>
      <c r="D24" s="37" t="s">
        <v>625</v>
      </c>
      <c r="E24" s="37"/>
      <c r="F24" s="37" t="s">
        <v>626</v>
      </c>
      <c r="G24" s="37" t="s">
        <v>627</v>
      </c>
      <c r="H24" s="37" t="s">
        <v>715</v>
      </c>
      <c r="I24" s="37" t="s">
        <v>716</v>
      </c>
      <c r="J24" s="37" t="s">
        <v>717</v>
      </c>
      <c r="K24" s="70" t="n">
        <v>45372</v>
      </c>
      <c r="M24" s="37" t="s">
        <v>283</v>
      </c>
      <c r="N24" s="37" t="s">
        <v>147</v>
      </c>
      <c r="O24" s="37" t="s">
        <v>645</v>
      </c>
    </row>
    <row r="25" customFormat="false" ht="15" hidden="false" customHeight="false" outlineLevel="0" collapsed="false">
      <c r="B25" s="37" t="s">
        <v>307</v>
      </c>
      <c r="C25" s="37" t="s">
        <v>166</v>
      </c>
      <c r="D25" s="37" t="s">
        <v>625</v>
      </c>
      <c r="E25" s="37"/>
      <c r="F25" s="37" t="s">
        <v>626</v>
      </c>
      <c r="G25" s="37" t="s">
        <v>627</v>
      </c>
      <c r="H25" s="37" t="s">
        <v>718</v>
      </c>
      <c r="I25" s="37" t="s">
        <v>719</v>
      </c>
      <c r="J25" s="37" t="s">
        <v>720</v>
      </c>
      <c r="K25" s="70" t="n">
        <v>45610</v>
      </c>
      <c r="M25" s="37" t="s">
        <v>721</v>
      </c>
      <c r="N25" s="37" t="s">
        <v>722</v>
      </c>
      <c r="O25" s="37" t="s">
        <v>656</v>
      </c>
    </row>
    <row r="26" customFormat="false" ht="15" hidden="false" customHeight="false" outlineLevel="0" collapsed="false">
      <c r="B26" s="37" t="s">
        <v>309</v>
      </c>
      <c r="C26" s="37" t="s">
        <v>167</v>
      </c>
      <c r="D26" s="37" t="s">
        <v>646</v>
      </c>
      <c r="E26" s="37" t="s">
        <v>723</v>
      </c>
      <c r="F26" s="37" t="s">
        <v>646</v>
      </c>
      <c r="G26" s="37" t="s">
        <v>627</v>
      </c>
      <c r="H26" s="37" t="s">
        <v>724</v>
      </c>
      <c r="I26" s="37" t="s">
        <v>725</v>
      </c>
      <c r="J26" s="37" t="s">
        <v>726</v>
      </c>
      <c r="K26" s="70" t="n">
        <v>44143</v>
      </c>
      <c r="M26" s="37" t="s">
        <v>361</v>
      </c>
      <c r="N26" s="37" t="s">
        <v>132</v>
      </c>
      <c r="O26" s="37" t="s">
        <v>656</v>
      </c>
    </row>
    <row r="27" customFormat="false" ht="15" hidden="false" customHeight="false" outlineLevel="0" collapsed="false">
      <c r="B27" s="37" t="s">
        <v>286</v>
      </c>
      <c r="C27" s="37" t="s">
        <v>139</v>
      </c>
      <c r="D27" s="37" t="s">
        <v>625</v>
      </c>
      <c r="E27" s="37"/>
      <c r="F27" s="37" t="s">
        <v>626</v>
      </c>
      <c r="G27" s="37" t="s">
        <v>669</v>
      </c>
      <c r="H27" s="37" t="s">
        <v>727</v>
      </c>
      <c r="I27" s="37" t="s">
        <v>728</v>
      </c>
      <c r="J27" s="37" t="s">
        <v>729</v>
      </c>
      <c r="K27" s="70" t="n">
        <v>43679</v>
      </c>
      <c r="M27" s="37" t="s">
        <v>730</v>
      </c>
      <c r="N27" s="37" t="s">
        <v>731</v>
      </c>
      <c r="O27" s="37" t="s">
        <v>662</v>
      </c>
    </row>
    <row r="28" customFormat="false" ht="15" hidden="false" customHeight="false" outlineLevel="0" collapsed="false">
      <c r="B28" s="37" t="s">
        <v>327</v>
      </c>
      <c r="C28" s="37" t="s">
        <v>187</v>
      </c>
      <c r="D28" s="37" t="s">
        <v>625</v>
      </c>
      <c r="E28" s="37"/>
      <c r="F28" s="37" t="s">
        <v>626</v>
      </c>
      <c r="G28" s="37" t="s">
        <v>627</v>
      </c>
      <c r="H28" s="37" t="s">
        <v>732</v>
      </c>
      <c r="I28" s="37" t="s">
        <v>733</v>
      </c>
      <c r="J28" s="37" t="s">
        <v>734</v>
      </c>
      <c r="K28" s="70" t="n">
        <v>43619</v>
      </c>
      <c r="M28" s="37" t="s">
        <v>735</v>
      </c>
      <c r="N28" s="37" t="s">
        <v>736</v>
      </c>
      <c r="O28" s="37" t="s">
        <v>656</v>
      </c>
    </row>
    <row r="29" customFormat="false" ht="15" hidden="false" customHeight="false" outlineLevel="0" collapsed="false">
      <c r="B29" s="37" t="s">
        <v>335</v>
      </c>
      <c r="C29" s="37" t="s">
        <v>151</v>
      </c>
      <c r="D29" s="37" t="s">
        <v>646</v>
      </c>
      <c r="E29" s="37" t="s">
        <v>737</v>
      </c>
      <c r="F29" s="37" t="s">
        <v>646</v>
      </c>
      <c r="G29" s="37" t="s">
        <v>627</v>
      </c>
      <c r="H29" s="37" t="s">
        <v>738</v>
      </c>
      <c r="I29" s="37" t="s">
        <v>739</v>
      </c>
      <c r="J29" s="37" t="s">
        <v>740</v>
      </c>
      <c r="K29" s="70" t="n">
        <v>45762</v>
      </c>
      <c r="M29" s="37" t="s">
        <v>303</v>
      </c>
      <c r="N29" s="37" t="s">
        <v>120</v>
      </c>
      <c r="O29" s="37" t="s">
        <v>656</v>
      </c>
    </row>
    <row r="30" customFormat="false" ht="15" hidden="false" customHeight="false" outlineLevel="0" collapsed="false">
      <c r="B30" s="37" t="s">
        <v>318</v>
      </c>
      <c r="C30" s="37" t="s">
        <v>194</v>
      </c>
      <c r="D30" s="37" t="s">
        <v>625</v>
      </c>
      <c r="E30" s="37"/>
      <c r="F30" s="37" t="s">
        <v>626</v>
      </c>
      <c r="G30" s="37" t="s">
        <v>627</v>
      </c>
      <c r="H30" s="37" t="s">
        <v>741</v>
      </c>
      <c r="I30" s="37" t="s">
        <v>742</v>
      </c>
      <c r="J30" s="37" t="s">
        <v>743</v>
      </c>
      <c r="K30" s="70" t="n">
        <v>44040</v>
      </c>
      <c r="M30" s="37" t="s">
        <v>373</v>
      </c>
      <c r="N30" s="37" t="s">
        <v>140</v>
      </c>
      <c r="O30" s="37" t="s">
        <v>656</v>
      </c>
    </row>
    <row r="31" customFormat="false" ht="15" hidden="false" customHeight="false" outlineLevel="0" collapsed="false">
      <c r="B31" s="37" t="s">
        <v>421</v>
      </c>
      <c r="C31" s="37" t="s">
        <v>127</v>
      </c>
      <c r="D31" s="37" t="s">
        <v>625</v>
      </c>
      <c r="E31" s="37"/>
      <c r="F31" s="37" t="s">
        <v>626</v>
      </c>
      <c r="G31" s="37" t="s">
        <v>627</v>
      </c>
      <c r="H31" s="37" t="s">
        <v>744</v>
      </c>
      <c r="I31" s="37" t="s">
        <v>745</v>
      </c>
      <c r="J31" s="37" t="s">
        <v>746</v>
      </c>
      <c r="K31" s="70" t="n">
        <v>44750</v>
      </c>
      <c r="M31" s="37" t="s">
        <v>295</v>
      </c>
      <c r="N31" s="37" t="s">
        <v>153</v>
      </c>
      <c r="O31" s="37" t="s">
        <v>639</v>
      </c>
    </row>
    <row r="32" customFormat="false" ht="15" hidden="false" customHeight="false" outlineLevel="0" collapsed="false">
      <c r="B32" s="37" t="s">
        <v>475</v>
      </c>
      <c r="C32" s="37" t="s">
        <v>129</v>
      </c>
      <c r="D32" s="37" t="s">
        <v>625</v>
      </c>
      <c r="E32" s="37"/>
      <c r="F32" s="37" t="s">
        <v>626</v>
      </c>
      <c r="G32" s="37" t="s">
        <v>627</v>
      </c>
      <c r="H32" s="37" t="s">
        <v>747</v>
      </c>
      <c r="I32" s="37" t="s">
        <v>748</v>
      </c>
      <c r="J32" s="37" t="s">
        <v>749</v>
      </c>
      <c r="K32" s="70" t="n">
        <v>45575</v>
      </c>
      <c r="M32" s="37" t="s">
        <v>750</v>
      </c>
      <c r="N32" s="37" t="s">
        <v>751</v>
      </c>
      <c r="O32" s="37" t="s">
        <v>645</v>
      </c>
    </row>
    <row r="33" customFormat="false" ht="15" hidden="false" customHeight="false" outlineLevel="0" collapsed="false">
      <c r="B33" s="37" t="s">
        <v>395</v>
      </c>
      <c r="C33" s="37" t="s">
        <v>179</v>
      </c>
      <c r="D33" s="37" t="s">
        <v>646</v>
      </c>
      <c r="E33" s="37" t="s">
        <v>752</v>
      </c>
      <c r="F33" s="37" t="s">
        <v>646</v>
      </c>
      <c r="G33" s="37" t="s">
        <v>627</v>
      </c>
      <c r="H33" s="37" t="s">
        <v>753</v>
      </c>
      <c r="I33" s="37" t="s">
        <v>754</v>
      </c>
      <c r="J33" s="37" t="s">
        <v>755</v>
      </c>
      <c r="K33" s="70" t="n">
        <v>45356</v>
      </c>
      <c r="M33" s="37" t="s">
        <v>756</v>
      </c>
      <c r="N33" s="37" t="s">
        <v>757</v>
      </c>
      <c r="O33" s="37" t="s">
        <v>656</v>
      </c>
    </row>
    <row r="34" customFormat="false" ht="15" hidden="false" customHeight="false" outlineLevel="0" collapsed="false">
      <c r="B34" s="37" t="s">
        <v>375</v>
      </c>
      <c r="C34" s="37" t="s">
        <v>191</v>
      </c>
      <c r="D34" s="37" t="s">
        <v>625</v>
      </c>
      <c r="E34" s="37"/>
      <c r="F34" s="37" t="s">
        <v>626</v>
      </c>
      <c r="G34" s="37" t="s">
        <v>627</v>
      </c>
      <c r="H34" s="37" t="s">
        <v>758</v>
      </c>
      <c r="I34" s="37" t="s">
        <v>759</v>
      </c>
      <c r="J34" s="37" t="s">
        <v>760</v>
      </c>
      <c r="K34" s="70" t="n">
        <v>45492</v>
      </c>
      <c r="M34" s="37" t="s">
        <v>298</v>
      </c>
      <c r="N34" s="37" t="s">
        <v>170</v>
      </c>
      <c r="O34" s="37" t="s">
        <v>662</v>
      </c>
    </row>
    <row r="35" customFormat="false" ht="15" hidden="false" customHeight="false" outlineLevel="0" collapsed="false">
      <c r="B35" s="37" t="s">
        <v>332</v>
      </c>
      <c r="C35" s="37" t="s">
        <v>171</v>
      </c>
      <c r="D35" s="37" t="s">
        <v>646</v>
      </c>
      <c r="E35" s="37" t="s">
        <v>761</v>
      </c>
      <c r="F35" s="37" t="s">
        <v>646</v>
      </c>
      <c r="G35" s="37" t="s">
        <v>627</v>
      </c>
      <c r="H35" s="37" t="s">
        <v>762</v>
      </c>
      <c r="I35" s="37" t="s">
        <v>763</v>
      </c>
      <c r="J35" s="37" t="s">
        <v>764</v>
      </c>
      <c r="K35" s="70" t="n">
        <v>44379</v>
      </c>
      <c r="M35" s="37" t="s">
        <v>292</v>
      </c>
      <c r="N35" s="37" t="s">
        <v>114</v>
      </c>
      <c r="O35" s="37" t="s">
        <v>633</v>
      </c>
    </row>
    <row r="36" customFormat="false" ht="15" hidden="false" customHeight="false" outlineLevel="0" collapsed="false">
      <c r="B36" s="37" t="s">
        <v>312</v>
      </c>
      <c r="C36" s="37" t="s">
        <v>154</v>
      </c>
      <c r="D36" s="37" t="s">
        <v>625</v>
      </c>
      <c r="E36" s="37"/>
      <c r="F36" s="37" t="s">
        <v>626</v>
      </c>
      <c r="G36" s="37" t="s">
        <v>627</v>
      </c>
      <c r="H36" s="37" t="s">
        <v>765</v>
      </c>
      <c r="I36" s="37" t="s">
        <v>766</v>
      </c>
      <c r="J36" s="37" t="s">
        <v>767</v>
      </c>
      <c r="K36" s="70" t="n">
        <v>43756</v>
      </c>
      <c r="M36" s="37" t="s">
        <v>348</v>
      </c>
      <c r="N36" s="37" t="s">
        <v>136</v>
      </c>
      <c r="O36" s="37" t="s">
        <v>633</v>
      </c>
    </row>
    <row r="37" customFormat="false" ht="15" hidden="false" customHeight="false" outlineLevel="0" collapsed="false">
      <c r="B37" s="37" t="s">
        <v>329</v>
      </c>
      <c r="C37" s="37" t="s">
        <v>176</v>
      </c>
      <c r="D37" s="37" t="s">
        <v>625</v>
      </c>
      <c r="E37" s="37"/>
      <c r="F37" s="37" t="s">
        <v>626</v>
      </c>
      <c r="G37" s="37" t="s">
        <v>669</v>
      </c>
      <c r="H37" s="37" t="s">
        <v>768</v>
      </c>
      <c r="I37" s="37" t="s">
        <v>769</v>
      </c>
      <c r="J37" s="37" t="s">
        <v>770</v>
      </c>
      <c r="K37" s="70" t="n">
        <v>44900</v>
      </c>
      <c r="M37" s="37" t="s">
        <v>403</v>
      </c>
      <c r="N37" s="37" t="s">
        <v>116</v>
      </c>
      <c r="O37" s="37" t="s">
        <v>645</v>
      </c>
    </row>
    <row r="38" customFormat="false" ht="15" hidden="false" customHeight="false" outlineLevel="0" collapsed="false">
      <c r="B38" s="37" t="s">
        <v>339</v>
      </c>
      <c r="C38" s="37" t="s">
        <v>177</v>
      </c>
      <c r="D38" s="37" t="s">
        <v>625</v>
      </c>
      <c r="E38" s="37"/>
      <c r="F38" s="37" t="s">
        <v>626</v>
      </c>
      <c r="G38" s="37" t="s">
        <v>627</v>
      </c>
      <c r="H38" s="37" t="s">
        <v>771</v>
      </c>
      <c r="I38" s="37" t="s">
        <v>772</v>
      </c>
      <c r="J38" s="37" t="s">
        <v>773</v>
      </c>
      <c r="K38" s="70" t="n">
        <v>44516</v>
      </c>
      <c r="M38" s="37" t="s">
        <v>290</v>
      </c>
      <c r="N38" s="37" t="s">
        <v>122</v>
      </c>
      <c r="O38" s="37" t="s">
        <v>662</v>
      </c>
    </row>
    <row r="39" customFormat="false" ht="15" hidden="false" customHeight="false" outlineLevel="0" collapsed="false">
      <c r="B39" s="37" t="s">
        <v>387</v>
      </c>
      <c r="C39" s="37" t="s">
        <v>185</v>
      </c>
      <c r="D39" s="37" t="s">
        <v>625</v>
      </c>
      <c r="E39" s="37"/>
      <c r="F39" s="37" t="s">
        <v>626</v>
      </c>
      <c r="G39" s="37" t="s">
        <v>669</v>
      </c>
      <c r="H39" s="37" t="s">
        <v>774</v>
      </c>
      <c r="I39" s="37" t="s">
        <v>775</v>
      </c>
      <c r="J39" s="37" t="s">
        <v>776</v>
      </c>
      <c r="K39" s="70" t="n">
        <v>44535</v>
      </c>
      <c r="M39" s="37" t="s">
        <v>411</v>
      </c>
      <c r="N39" s="37" t="s">
        <v>124</v>
      </c>
      <c r="O39" s="37" t="s">
        <v>662</v>
      </c>
    </row>
    <row r="40" customFormat="false" ht="15" hidden="false" customHeight="false" outlineLevel="0" collapsed="false">
      <c r="B40" s="37" t="s">
        <v>277</v>
      </c>
      <c r="C40" s="37" t="s">
        <v>108</v>
      </c>
      <c r="D40" s="37" t="s">
        <v>625</v>
      </c>
      <c r="E40" s="37"/>
      <c r="F40" s="37" t="s">
        <v>626</v>
      </c>
      <c r="G40" s="37" t="s">
        <v>627</v>
      </c>
      <c r="H40" s="37" t="s">
        <v>777</v>
      </c>
      <c r="I40" s="37" t="s">
        <v>778</v>
      </c>
      <c r="J40" s="37" t="s">
        <v>779</v>
      </c>
      <c r="K40" s="70" t="n">
        <v>43560</v>
      </c>
      <c r="M40" s="37" t="s">
        <v>508</v>
      </c>
      <c r="N40" s="37" t="s">
        <v>126</v>
      </c>
      <c r="O40" s="37" t="s">
        <v>645</v>
      </c>
    </row>
    <row r="41" customFormat="false" ht="15" hidden="false" customHeight="false" outlineLevel="0" collapsed="false">
      <c r="B41" s="37" t="s">
        <v>294</v>
      </c>
      <c r="C41" s="37" t="s">
        <v>190</v>
      </c>
      <c r="D41" s="37" t="s">
        <v>625</v>
      </c>
      <c r="E41" s="37"/>
      <c r="F41" s="37" t="s">
        <v>626</v>
      </c>
      <c r="G41" s="37" t="s">
        <v>627</v>
      </c>
      <c r="H41" s="37" t="s">
        <v>780</v>
      </c>
      <c r="I41" s="37" t="s">
        <v>781</v>
      </c>
      <c r="J41" s="37" t="s">
        <v>782</v>
      </c>
      <c r="K41" s="70" t="n">
        <v>44411</v>
      </c>
      <c r="M41" s="37" t="s">
        <v>783</v>
      </c>
      <c r="N41" s="37" t="s">
        <v>784</v>
      </c>
      <c r="O41" s="37" t="s">
        <v>639</v>
      </c>
    </row>
    <row r="42" customFormat="false" ht="15" hidden="false" customHeight="false" outlineLevel="0" collapsed="false">
      <c r="B42" s="37" t="s">
        <v>507</v>
      </c>
      <c r="C42" s="37" t="s">
        <v>125</v>
      </c>
      <c r="D42" s="37" t="s">
        <v>625</v>
      </c>
      <c r="E42" s="37"/>
      <c r="F42" s="37" t="s">
        <v>626</v>
      </c>
      <c r="G42" s="37" t="s">
        <v>627</v>
      </c>
      <c r="H42" s="37" t="s">
        <v>785</v>
      </c>
      <c r="I42" s="37" t="s">
        <v>786</v>
      </c>
      <c r="J42" s="37" t="s">
        <v>787</v>
      </c>
      <c r="K42" s="70" t="n">
        <v>44297</v>
      </c>
      <c r="M42" s="37" t="s">
        <v>343</v>
      </c>
      <c r="N42" s="37" t="s">
        <v>138</v>
      </c>
      <c r="O42" s="37" t="s">
        <v>656</v>
      </c>
    </row>
    <row r="43" customFormat="false" ht="15" hidden="false" customHeight="false" outlineLevel="0" collapsed="false">
      <c r="B43" s="37" t="s">
        <v>788</v>
      </c>
      <c r="C43" s="37" t="s">
        <v>789</v>
      </c>
      <c r="D43" s="37" t="s">
        <v>625</v>
      </c>
      <c r="E43" s="37"/>
      <c r="F43" s="37" t="s">
        <v>626</v>
      </c>
      <c r="G43" s="37" t="s">
        <v>627</v>
      </c>
      <c r="H43" s="37" t="s">
        <v>790</v>
      </c>
      <c r="I43" s="37" t="s">
        <v>791</v>
      </c>
      <c r="J43" s="37" t="s">
        <v>792</v>
      </c>
      <c r="K43" s="70" t="n">
        <v>44849</v>
      </c>
      <c r="M43" s="37" t="s">
        <v>793</v>
      </c>
      <c r="N43" s="37" t="s">
        <v>794</v>
      </c>
      <c r="O43" s="37" t="s">
        <v>645</v>
      </c>
    </row>
    <row r="44" customFormat="false" ht="15" hidden="false" customHeight="false" outlineLevel="0" collapsed="false">
      <c r="B44" s="37" t="s">
        <v>355</v>
      </c>
      <c r="C44" s="37" t="s">
        <v>193</v>
      </c>
      <c r="D44" s="37" t="s">
        <v>646</v>
      </c>
      <c r="E44" s="37" t="s">
        <v>795</v>
      </c>
      <c r="F44" s="37" t="s">
        <v>646</v>
      </c>
      <c r="G44" s="37" t="s">
        <v>627</v>
      </c>
      <c r="H44" s="37" t="s">
        <v>796</v>
      </c>
      <c r="I44" s="37" t="s">
        <v>797</v>
      </c>
      <c r="J44" s="37" t="s">
        <v>798</v>
      </c>
      <c r="K44" s="70" t="n">
        <v>45001</v>
      </c>
      <c r="M44" s="37" t="s">
        <v>278</v>
      </c>
      <c r="N44" s="37" t="s">
        <v>109</v>
      </c>
      <c r="O44" s="37" t="s">
        <v>645</v>
      </c>
    </row>
    <row r="45" customFormat="false" ht="15" hidden="false" customHeight="false" outlineLevel="0" collapsed="false">
      <c r="B45" s="37" t="s">
        <v>363</v>
      </c>
      <c r="C45" s="37" t="s">
        <v>192</v>
      </c>
      <c r="D45" s="37" t="s">
        <v>625</v>
      </c>
      <c r="E45" s="37"/>
      <c r="F45" s="37" t="s">
        <v>626</v>
      </c>
      <c r="G45" s="37" t="s">
        <v>627</v>
      </c>
      <c r="H45" s="37" t="s">
        <v>799</v>
      </c>
      <c r="I45" s="37" t="s">
        <v>800</v>
      </c>
      <c r="J45" s="37" t="s">
        <v>801</v>
      </c>
      <c r="K45" s="70" t="n">
        <v>45751</v>
      </c>
      <c r="M45" s="37" t="s">
        <v>802</v>
      </c>
      <c r="N45" s="37" t="s">
        <v>803</v>
      </c>
      <c r="O45" s="37" t="s">
        <v>633</v>
      </c>
    </row>
    <row r="46" customFormat="false" ht="15" hidden="false" customHeight="false" outlineLevel="0" collapsed="false">
      <c r="B46" s="37" t="s">
        <v>416</v>
      </c>
      <c r="C46" s="37" t="s">
        <v>178</v>
      </c>
      <c r="D46" s="37" t="s">
        <v>625</v>
      </c>
      <c r="E46" s="37"/>
      <c r="F46" s="37" t="s">
        <v>626</v>
      </c>
      <c r="G46" s="37" t="s">
        <v>627</v>
      </c>
      <c r="H46" s="37" t="s">
        <v>804</v>
      </c>
      <c r="I46" s="37" t="s">
        <v>805</v>
      </c>
      <c r="J46" s="37" t="s">
        <v>806</v>
      </c>
      <c r="K46" s="70" t="n">
        <v>44757</v>
      </c>
      <c r="M46" s="37" t="s">
        <v>337</v>
      </c>
      <c r="N46" s="37" t="s">
        <v>123</v>
      </c>
      <c r="O46" s="37" t="s">
        <v>645</v>
      </c>
    </row>
    <row r="47" customFormat="false" ht="15" hidden="false" customHeight="false" outlineLevel="0" collapsed="false">
      <c r="B47" s="37" t="s">
        <v>360</v>
      </c>
      <c r="C47" s="37" t="s">
        <v>150</v>
      </c>
      <c r="D47" s="37" t="s">
        <v>646</v>
      </c>
      <c r="E47" s="37" t="s">
        <v>807</v>
      </c>
      <c r="F47" s="37" t="s">
        <v>646</v>
      </c>
      <c r="G47" s="37" t="s">
        <v>627</v>
      </c>
      <c r="H47" s="37" t="s">
        <v>808</v>
      </c>
      <c r="I47" s="37" t="s">
        <v>809</v>
      </c>
      <c r="J47" s="37" t="s">
        <v>810</v>
      </c>
      <c r="K47" s="70" t="n">
        <v>45950</v>
      </c>
      <c r="M47" s="37" t="s">
        <v>313</v>
      </c>
      <c r="N47" s="37" t="s">
        <v>155</v>
      </c>
      <c r="O47" s="37" t="s">
        <v>645</v>
      </c>
    </row>
    <row r="48" customFormat="false" ht="15" hidden="false" customHeight="false" outlineLevel="0" collapsed="false">
      <c r="B48" s="37" t="s">
        <v>454</v>
      </c>
      <c r="C48" s="37" t="s">
        <v>182</v>
      </c>
      <c r="D48" s="37" t="s">
        <v>625</v>
      </c>
      <c r="E48" s="37"/>
      <c r="F48" s="37" t="s">
        <v>626</v>
      </c>
      <c r="G48" s="37" t="s">
        <v>627</v>
      </c>
      <c r="H48" s="37" t="s">
        <v>732</v>
      </c>
      <c r="I48" s="37" t="s">
        <v>811</v>
      </c>
      <c r="J48" s="37" t="s">
        <v>812</v>
      </c>
      <c r="K48" s="70" t="n">
        <v>45409</v>
      </c>
      <c r="M48" s="37" t="s">
        <v>476</v>
      </c>
      <c r="N48" s="37" t="s">
        <v>130</v>
      </c>
      <c r="O48" s="37" t="s">
        <v>645</v>
      </c>
    </row>
    <row r="49" customFormat="false" ht="15" hidden="false" customHeight="false" outlineLevel="0" collapsed="false">
      <c r="B49" s="37" t="s">
        <v>425</v>
      </c>
      <c r="C49" s="37" t="s">
        <v>131</v>
      </c>
      <c r="D49" s="37" t="s">
        <v>625</v>
      </c>
      <c r="E49" s="37"/>
      <c r="F49" s="37" t="s">
        <v>626</v>
      </c>
      <c r="G49" s="37" t="s">
        <v>627</v>
      </c>
      <c r="H49" s="37"/>
      <c r="I49" s="37"/>
      <c r="J49" s="37" t="s">
        <v>813</v>
      </c>
      <c r="K49" s="70" t="n">
        <v>46279</v>
      </c>
      <c r="M49" s="37" t="s">
        <v>814</v>
      </c>
      <c r="N49" s="37" t="s">
        <v>815</v>
      </c>
      <c r="O49" s="37" t="s">
        <v>645</v>
      </c>
    </row>
    <row r="50" customFormat="false" ht="15" hidden="false" customHeight="false" outlineLevel="0" collapsed="false">
      <c r="B50" s="37"/>
      <c r="C50" s="37"/>
      <c r="D50" s="37"/>
      <c r="E50" s="37"/>
      <c r="F50" s="37"/>
      <c r="G50" s="37"/>
      <c r="H50" s="37"/>
      <c r="I50" s="37"/>
      <c r="J50" s="37"/>
      <c r="K50" s="70"/>
      <c r="M50" s="37" t="s">
        <v>816</v>
      </c>
      <c r="N50" s="37" t="s">
        <v>817</v>
      </c>
      <c r="O50" s="37" t="s">
        <v>645</v>
      </c>
    </row>
    <row r="51" customFormat="false" ht="15" hidden="false" customHeight="false" outlineLevel="0" collapsed="false">
      <c r="B51" s="37"/>
      <c r="C51" s="37"/>
      <c r="D51" s="37"/>
      <c r="E51" s="37"/>
      <c r="F51" s="37"/>
      <c r="G51" s="37"/>
      <c r="H51" s="37"/>
      <c r="I51" s="37"/>
      <c r="J51" s="37"/>
      <c r="K51" s="70"/>
      <c r="M51" s="37" t="s">
        <v>818</v>
      </c>
      <c r="N51" s="37" t="s">
        <v>819</v>
      </c>
      <c r="O51" s="37" t="s">
        <v>633</v>
      </c>
    </row>
    <row r="52" customFormat="false" ht="15" hidden="false" customHeight="false" outlineLevel="0" collapsed="false">
      <c r="B52" s="37"/>
      <c r="C52" s="37"/>
      <c r="D52" s="37"/>
      <c r="E52" s="37"/>
      <c r="F52" s="37"/>
      <c r="G52" s="37"/>
      <c r="H52" s="37"/>
      <c r="I52" s="37"/>
      <c r="J52" s="37"/>
      <c r="K52" s="70"/>
      <c r="M52" s="37" t="s">
        <v>325</v>
      </c>
      <c r="N52" s="37" t="s">
        <v>168</v>
      </c>
      <c r="O52" s="37" t="s">
        <v>662</v>
      </c>
    </row>
    <row r="53" customFormat="false" ht="15" hidden="false" customHeight="false" outlineLevel="0" collapsed="false">
      <c r="B53" s="37"/>
      <c r="C53" s="37"/>
      <c r="D53" s="37"/>
      <c r="E53" s="37"/>
      <c r="F53" s="37"/>
      <c r="G53" s="37"/>
      <c r="H53" s="37"/>
      <c r="I53" s="37"/>
      <c r="J53" s="37"/>
      <c r="K53" s="70"/>
      <c r="M53" s="37" t="s">
        <v>396</v>
      </c>
      <c r="N53" s="37" t="s">
        <v>180</v>
      </c>
      <c r="O53" s="37" t="s">
        <v>645</v>
      </c>
    </row>
    <row r="54" customFormat="false" ht="15" hidden="false" customHeight="false" outlineLevel="0" collapsed="false">
      <c r="B54" s="37"/>
      <c r="C54" s="37"/>
      <c r="D54" s="37"/>
      <c r="E54" s="37"/>
      <c r="F54" s="37"/>
      <c r="G54" s="37"/>
      <c r="H54" s="37"/>
      <c r="I54" s="37"/>
      <c r="J54" s="37"/>
      <c r="K54" s="70"/>
      <c r="M54" s="37" t="s">
        <v>820</v>
      </c>
      <c r="N54" s="37" t="s">
        <v>821</v>
      </c>
      <c r="O54" s="37" t="s">
        <v>662</v>
      </c>
    </row>
    <row r="55" customFormat="false" ht="15" hidden="false" customHeight="false" outlineLevel="0" collapsed="false">
      <c r="B55" s="37"/>
      <c r="C55" s="37"/>
      <c r="D55" s="37"/>
      <c r="E55" s="37"/>
      <c r="F55" s="37"/>
      <c r="G55" s="37"/>
      <c r="H55" s="37"/>
      <c r="I55" s="37"/>
      <c r="J55" s="37"/>
      <c r="K55" s="70"/>
      <c r="M55" s="37" t="s">
        <v>358</v>
      </c>
      <c r="N55" s="37" t="s">
        <v>161</v>
      </c>
      <c r="O55" s="37" t="s">
        <v>645</v>
      </c>
    </row>
    <row r="56" customFormat="false" ht="15" hidden="false" customHeight="false" outlineLevel="0" collapsed="false">
      <c r="B56" s="37"/>
      <c r="C56" s="37"/>
      <c r="D56" s="37"/>
      <c r="E56" s="37"/>
      <c r="F56" s="37"/>
      <c r="G56" s="37"/>
      <c r="H56" s="37"/>
      <c r="I56" s="37"/>
      <c r="J56" s="37"/>
      <c r="K56" s="70"/>
      <c r="M56" s="37" t="s">
        <v>822</v>
      </c>
      <c r="N56" s="37" t="s">
        <v>823</v>
      </c>
      <c r="O56" s="37" t="s">
        <v>639</v>
      </c>
    </row>
    <row r="57" customFormat="false" ht="15" hidden="false" customHeight="false" outlineLevel="0" collapsed="false">
      <c r="B57" s="37"/>
      <c r="C57" s="37"/>
      <c r="D57" s="37"/>
      <c r="E57" s="37"/>
      <c r="F57" s="37"/>
      <c r="G57" s="37"/>
      <c r="H57" s="37"/>
      <c r="I57" s="37"/>
      <c r="J57" s="37"/>
      <c r="K57" s="70"/>
      <c r="M57" s="37" t="s">
        <v>370</v>
      </c>
      <c r="N57" s="37" t="s">
        <v>174</v>
      </c>
      <c r="O57" s="37" t="s">
        <v>645</v>
      </c>
    </row>
    <row r="58" customFormat="false" ht="15" hidden="false" customHeight="false" outlineLevel="0" collapsed="false">
      <c r="B58" s="37"/>
      <c r="C58" s="37"/>
      <c r="D58" s="37"/>
      <c r="E58" s="37"/>
      <c r="F58" s="37"/>
      <c r="G58" s="37"/>
      <c r="H58" s="37"/>
      <c r="I58" s="37"/>
      <c r="J58" s="37"/>
      <c r="K58" s="70"/>
      <c r="M58" s="37" t="s">
        <v>300</v>
      </c>
      <c r="N58" s="37" t="s">
        <v>146</v>
      </c>
      <c r="O58" s="37" t="s">
        <v>662</v>
      </c>
    </row>
    <row r="59" customFormat="false" ht="15" hidden="false" customHeight="false" outlineLevel="0" collapsed="false">
      <c r="B59" s="37"/>
      <c r="C59" s="37"/>
      <c r="D59" s="37"/>
      <c r="E59" s="37"/>
      <c r="F59" s="37"/>
      <c r="G59" s="37"/>
      <c r="H59" s="37"/>
      <c r="I59" s="37"/>
      <c r="J59" s="37"/>
      <c r="K59" s="70"/>
      <c r="M59" s="37" t="s">
        <v>452</v>
      </c>
      <c r="N59" s="37" t="s">
        <v>135</v>
      </c>
      <c r="O59" s="37" t="s">
        <v>645</v>
      </c>
    </row>
    <row r="60" customFormat="false" ht="15" hidden="false" customHeight="false" outlineLevel="0" collapsed="false">
      <c r="B60" s="37"/>
      <c r="C60" s="37"/>
      <c r="D60" s="37"/>
      <c r="E60" s="37"/>
      <c r="F60" s="37"/>
      <c r="G60" s="37"/>
      <c r="H60" s="37"/>
      <c r="I60" s="37"/>
      <c r="J60" s="37"/>
      <c r="K60" s="70"/>
      <c r="M60" s="37" t="s">
        <v>824</v>
      </c>
      <c r="N60" s="37" t="s">
        <v>825</v>
      </c>
      <c r="O60" s="37" t="s">
        <v>645</v>
      </c>
    </row>
    <row r="61" customFormat="false" ht="15" hidden="false" customHeight="false" outlineLevel="0" collapsed="false">
      <c r="B61" s="37"/>
      <c r="C61" s="37"/>
      <c r="D61" s="37"/>
      <c r="E61" s="37"/>
      <c r="F61" s="37"/>
      <c r="G61" s="37"/>
      <c r="H61" s="37"/>
      <c r="I61" s="37"/>
      <c r="J61" s="37"/>
      <c r="K61" s="70"/>
      <c r="M61" s="37" t="s">
        <v>826</v>
      </c>
      <c r="N61" s="37" t="s">
        <v>827</v>
      </c>
      <c r="O61" s="37" t="s">
        <v>645</v>
      </c>
    </row>
    <row r="62" customFormat="false" ht="15" hidden="false" customHeight="false" outlineLevel="0" collapsed="false">
      <c r="B62" s="37"/>
      <c r="C62" s="37"/>
      <c r="D62" s="37"/>
      <c r="E62" s="37"/>
      <c r="F62" s="37"/>
      <c r="G62" s="37"/>
      <c r="H62" s="37"/>
      <c r="I62" s="37"/>
      <c r="J62" s="37"/>
      <c r="K62" s="70"/>
      <c r="M62" s="37" t="s">
        <v>340</v>
      </c>
      <c r="N62" s="37" t="s">
        <v>143</v>
      </c>
      <c r="O62" s="37" t="s">
        <v>645</v>
      </c>
    </row>
    <row r="63" customFormat="false" ht="15" hidden="false" customHeight="false" outlineLevel="0" collapsed="false">
      <c r="B63" s="37"/>
      <c r="C63" s="37"/>
      <c r="D63" s="37"/>
      <c r="E63" s="37"/>
      <c r="F63" s="37"/>
      <c r="G63" s="37"/>
      <c r="H63" s="37"/>
      <c r="I63" s="37"/>
      <c r="J63" s="37"/>
      <c r="K63" s="70"/>
      <c r="M63" s="37" t="s">
        <v>287</v>
      </c>
      <c r="N63" s="37" t="s">
        <v>141</v>
      </c>
      <c r="O63" s="37" t="s">
        <v>639</v>
      </c>
    </row>
    <row r="64" customFormat="false" ht="15" hidden="false" customHeight="false" outlineLevel="0" collapsed="false">
      <c r="B64" s="37"/>
      <c r="C64" s="37"/>
      <c r="D64" s="37"/>
      <c r="E64" s="37"/>
      <c r="F64" s="37"/>
      <c r="G64" s="37"/>
      <c r="H64" s="37"/>
      <c r="I64" s="37"/>
      <c r="J64" s="37"/>
      <c r="K64" s="70"/>
      <c r="M64" s="37" t="s">
        <v>828</v>
      </c>
      <c r="N64" s="37" t="s">
        <v>829</v>
      </c>
      <c r="O64" s="37" t="s">
        <v>633</v>
      </c>
    </row>
    <row r="65" customFormat="false" ht="15" hidden="false" customHeight="false" outlineLevel="0" collapsed="false">
      <c r="M65" s="37" t="s">
        <v>321</v>
      </c>
      <c r="N65" s="37" t="s">
        <v>112</v>
      </c>
      <c r="O65" s="37" t="s">
        <v>645</v>
      </c>
    </row>
    <row r="66" customFormat="false" ht="15" hidden="false" customHeight="false" outlineLevel="0" collapsed="false">
      <c r="M66" s="37" t="s">
        <v>830</v>
      </c>
      <c r="N66" s="37" t="s">
        <v>831</v>
      </c>
      <c r="O66" s="37" t="s">
        <v>662</v>
      </c>
    </row>
    <row r="67" customFormat="false" ht="15" hidden="false" customHeight="false" outlineLevel="0" collapsed="false">
      <c r="M67" s="37" t="s">
        <v>319</v>
      </c>
      <c r="N67" s="37" t="s">
        <v>195</v>
      </c>
      <c r="O67" s="37" t="s">
        <v>645</v>
      </c>
    </row>
    <row r="68" customFormat="false" ht="15" hidden="false" customHeight="false" outlineLevel="0" collapsed="false">
      <c r="M68" s="37" t="s">
        <v>832</v>
      </c>
      <c r="N68" s="37" t="s">
        <v>833</v>
      </c>
      <c r="O68" s="37" t="s">
        <v>645</v>
      </c>
    </row>
    <row r="69" customFormat="false" ht="15" hidden="false" customHeight="false" outlineLevel="0" collapsed="false">
      <c r="M69" s="37"/>
      <c r="N69" s="37"/>
      <c r="O69" s="37"/>
    </row>
    <row r="70" customFormat="false" ht="15" hidden="false" customHeight="false" outlineLevel="0" collapsed="false">
      <c r="M70" s="37"/>
      <c r="N70" s="37"/>
      <c r="O70" s="37"/>
    </row>
    <row r="71" customFormat="false" ht="15" hidden="false" customHeight="false" outlineLevel="0" collapsed="false">
      <c r="M71" s="37"/>
      <c r="N71" s="37"/>
      <c r="O71" s="37"/>
    </row>
    <row r="72" customFormat="false" ht="15" hidden="false" customHeight="false" outlineLevel="0" collapsed="false">
      <c r="M72" s="37"/>
      <c r="N72" s="37"/>
      <c r="O72" s="37"/>
    </row>
    <row r="73" customFormat="false" ht="15" hidden="false" customHeight="false" outlineLevel="0" collapsed="false">
      <c r="M73" s="37"/>
      <c r="N73" s="37"/>
      <c r="O73" s="37"/>
    </row>
    <row r="74" customFormat="false" ht="15" hidden="false" customHeight="false" outlineLevel="0" collapsed="false">
      <c r="M74" s="37"/>
      <c r="N74" s="37"/>
      <c r="O74" s="37"/>
    </row>
    <row r="75" customFormat="false" ht="15" hidden="false" customHeight="false" outlineLevel="0" collapsed="false">
      <c r="M75" s="37"/>
      <c r="N75" s="37"/>
      <c r="O75" s="37"/>
    </row>
    <row r="76" customFormat="false" ht="15" hidden="false" customHeight="false" outlineLevel="0" collapsed="false">
      <c r="M76" s="37"/>
      <c r="N76" s="37"/>
      <c r="O76" s="37"/>
    </row>
    <row r="77" customFormat="false" ht="15" hidden="false" customHeight="false" outlineLevel="0" collapsed="false">
      <c r="M77" s="37"/>
      <c r="N77" s="37"/>
      <c r="O77" s="37"/>
    </row>
    <row r="78" customFormat="false" ht="15" hidden="false" customHeight="false" outlineLevel="0" collapsed="false">
      <c r="M78" s="37"/>
      <c r="N78" s="37"/>
      <c r="O78" s="37"/>
    </row>
    <row r="79" customFormat="false" ht="15" hidden="false" customHeight="false" outlineLevel="0" collapsed="false">
      <c r="M79" s="37"/>
      <c r="N79" s="37"/>
      <c r="O79" s="37"/>
    </row>
    <row r="80" customFormat="false" ht="15" hidden="false" customHeight="false" outlineLevel="0" collapsed="false">
      <c r="M80" s="37"/>
      <c r="N80" s="37"/>
      <c r="O80" s="37"/>
    </row>
    <row r="81" customFormat="false" ht="15" hidden="false" customHeight="false" outlineLevel="0" collapsed="false">
      <c r="M81" s="37"/>
      <c r="N81" s="37"/>
      <c r="O81" s="37"/>
    </row>
    <row r="82" customFormat="false" ht="15" hidden="false" customHeight="false" outlineLevel="0" collapsed="false">
      <c r="M82" s="37"/>
      <c r="N82" s="37"/>
      <c r="O82" s="37"/>
    </row>
    <row r="83" customFormat="false" ht="15" hidden="false" customHeight="false" outlineLevel="0" collapsed="false">
      <c r="M83" s="37"/>
      <c r="N83" s="37"/>
      <c r="O83" s="37"/>
    </row>
    <row r="84" customFormat="false" ht="15" hidden="false" customHeight="false" outlineLevel="0" collapsed="false">
      <c r="M84" s="37"/>
      <c r="N84" s="37"/>
      <c r="O84" s="37"/>
    </row>
    <row r="85" customFormat="false" ht="15" hidden="false" customHeight="false" outlineLevel="0" collapsed="false">
      <c r="M85" s="37"/>
      <c r="N85" s="37"/>
      <c r="O85" s="37"/>
    </row>
    <row r="86" customFormat="false" ht="15" hidden="false" customHeight="false" outlineLevel="0" collapsed="false">
      <c r="M86" s="37"/>
      <c r="N86" s="37"/>
      <c r="O86" s="37"/>
    </row>
    <row r="87" customFormat="false" ht="15" hidden="false" customHeight="false" outlineLevel="0" collapsed="false">
      <c r="M87" s="37"/>
      <c r="N87" s="37"/>
      <c r="O87" s="37"/>
    </row>
    <row r="88" customFormat="false" ht="15" hidden="false" customHeight="false" outlineLevel="0" collapsed="false">
      <c r="M88" s="37"/>
      <c r="N88" s="37"/>
      <c r="O88" s="37"/>
    </row>
    <row r="89" customFormat="false" ht="15" hidden="false" customHeight="false" outlineLevel="0" collapsed="false">
      <c r="M89" s="37"/>
      <c r="N89" s="37"/>
      <c r="O89" s="37"/>
    </row>
    <row r="90" customFormat="false" ht="15" hidden="false" customHeight="false" outlineLevel="0" collapsed="false">
      <c r="M90" s="37"/>
      <c r="N90" s="37"/>
      <c r="O90" s="37"/>
    </row>
    <row r="91" customFormat="false" ht="15" hidden="false" customHeight="false" outlineLevel="0" collapsed="false">
      <c r="M91" s="37"/>
      <c r="N91" s="37"/>
      <c r="O91" s="37"/>
    </row>
    <row r="92" customFormat="false" ht="15" hidden="false" customHeight="false" outlineLevel="0" collapsed="false">
      <c r="M92" s="37"/>
      <c r="N92" s="37"/>
      <c r="O92" s="37"/>
    </row>
    <row r="93" customFormat="false" ht="15" hidden="false" customHeight="false" outlineLevel="0" collapsed="false">
      <c r="M93" s="37"/>
      <c r="N93" s="37"/>
      <c r="O93" s="37"/>
    </row>
    <row r="94" customFormat="false" ht="15" hidden="false" customHeight="false" outlineLevel="0" collapsed="false">
      <c r="M94" s="37"/>
      <c r="N94" s="37"/>
      <c r="O94" s="37"/>
    </row>
    <row r="95" customFormat="false" ht="15" hidden="false" customHeight="false" outlineLevel="0" collapsed="false">
      <c r="M95" s="37"/>
      <c r="N95" s="37"/>
      <c r="O95" s="37"/>
    </row>
    <row r="96" customFormat="false" ht="15" hidden="false" customHeight="false" outlineLevel="0" collapsed="false">
      <c r="M96" s="37"/>
      <c r="N96" s="37"/>
      <c r="O96" s="37"/>
    </row>
    <row r="97" customFormat="false" ht="15" hidden="false" customHeight="false" outlineLevel="0" collapsed="false">
      <c r="M97" s="37"/>
      <c r="N97" s="37"/>
      <c r="O97" s="37"/>
    </row>
    <row r="98" customFormat="false" ht="15" hidden="false" customHeight="false" outlineLevel="0" collapsed="false">
      <c r="M98" s="37"/>
      <c r="N98" s="37"/>
      <c r="O98" s="37"/>
    </row>
    <row r="99" customFormat="false" ht="15" hidden="false" customHeight="false" outlineLevel="0" collapsed="false">
      <c r="M99" s="37"/>
      <c r="N99" s="37"/>
      <c r="O99" s="37"/>
    </row>
    <row r="100" customFormat="false" ht="15" hidden="false" customHeight="false" outlineLevel="0" collapsed="false">
      <c r="M100" s="37"/>
      <c r="N100" s="37"/>
      <c r="O100" s="37"/>
    </row>
    <row r="101" customFormat="false" ht="15" hidden="false" customHeight="false" outlineLevel="0" collapsed="false">
      <c r="M101" s="37"/>
      <c r="N101" s="37"/>
      <c r="O101" s="37"/>
    </row>
    <row r="102" customFormat="false" ht="15" hidden="false" customHeight="false" outlineLevel="0" collapsed="false">
      <c r="M102" s="37"/>
      <c r="N102" s="37"/>
      <c r="O102" s="37"/>
    </row>
    <row r="103" customFormat="false" ht="15" hidden="false" customHeight="false" outlineLevel="0" collapsed="false">
      <c r="M103" s="37"/>
      <c r="N103" s="37"/>
      <c r="O103" s="37"/>
    </row>
    <row r="104" customFormat="false" ht="15" hidden="false" customHeight="false" outlineLevel="0" collapsed="false">
      <c r="M104" s="37"/>
      <c r="N104" s="37"/>
      <c r="O104" s="37"/>
    </row>
  </sheetData>
  <conditionalFormatting sqref="H5:I64">
    <cfRule type="expression" priority="2" aboveAverage="0" equalAverage="0" bottom="0" percent="0" rank="0" text="" dxfId="18">
      <formula>AND($C5&lt;&gt;"",H5="")</formula>
    </cfRule>
  </conditionalFormatting>
  <dataValidations count="4">
    <dataValidation allowBlank="true" error="Pick a value from the list." errorStyle="stop" errorTitle="Not on the list" operator="between" showDropDown="false" showErrorMessage="true" showInputMessage="false" sqref="D5:D64" type="list">
      <formula1>PayeeTypeList</formula1>
      <formula2>0</formula2>
    </dataValidation>
    <dataValidation allowBlank="true" error="Pick a value from the list." errorStyle="stop" errorTitle="Not on the list" operator="between" showDropDown="false" showErrorMessage="true" showInputMessage="false" sqref="F5:F64" type="list">
      <formula1>AcctClassList</formula1>
      <formula2>0</formula2>
    </dataValidation>
    <dataValidation allowBlank="true" error="Pick a value from the list." errorStyle="stop" errorTitle="Not on the list" operator="between" showDropDown="false" showErrorMessage="true" showInputMessage="false" sqref="G5:G64" type="list">
      <formula1>AcctKindList</formula1>
      <formula2>0</formula2>
    </dataValidation>
    <dataValidation allowBlank="true" error="Pick a value from the list." errorStyle="stop" errorTitle="Not on the list" operator="between" showDropDown="false" showErrorMessage="true" showInputMessage="false" sqref="O5:O104" type="list">
      <formula1>PayerList</formula1>
      <formula2>0</formula2>
    </dataValidation>
  </dataValidations>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1"/>
    <tablePart r:id="rId2"/>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F96"/>
    <pageSetUpPr fitToPage="true"/>
  </sheetPr>
  <dimension ref="B1:H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36"/>
    <col collapsed="false" customWidth="true" hidden="false" outlineLevel="0" max="4" min="4" style="0" width="54"/>
    <col collapsed="false" customWidth="true" hidden="false" outlineLevel="0" max="5" min="5" style="0" width="3"/>
    <col collapsed="false" customWidth="true" hidden="false" outlineLevel="0" max="7" min="6" style="0" width="16"/>
    <col collapsed="false" customWidth="true" hidden="false" outlineLevel="0" max="8" min="8" style="0" width="24"/>
  </cols>
  <sheetData>
    <row r="1" customFormat="false" ht="33.75" hidden="false" customHeight="true" outlineLevel="0" collapsed="false">
      <c r="B1" s="1" t="s">
        <v>834</v>
      </c>
    </row>
    <row r="2" customFormat="false" ht="18" hidden="false" customHeight="true" outlineLevel="0" collapsed="false">
      <c r="B2" s="30" t="s">
        <v>835</v>
      </c>
    </row>
    <row r="3" customFormat="false" ht="15" hidden="false" customHeight="false" outlineLevel="0" collapsed="false">
      <c r="F3" s="3" t="s">
        <v>836</v>
      </c>
    </row>
    <row r="4" customFormat="false" ht="30" hidden="false" customHeight="true" outlineLevel="0" collapsed="false">
      <c r="B4" s="71" t="s">
        <v>837</v>
      </c>
      <c r="C4" s="71" t="s">
        <v>838</v>
      </c>
      <c r="D4" s="71" t="s">
        <v>839</v>
      </c>
      <c r="F4" s="71" t="s">
        <v>98</v>
      </c>
      <c r="G4" s="71" t="s">
        <v>213</v>
      </c>
      <c r="H4" s="71" t="s">
        <v>840</v>
      </c>
    </row>
    <row r="5" customFormat="false" ht="18" hidden="false" customHeight="true" outlineLevel="0" collapsed="false">
      <c r="B5" s="72" t="s">
        <v>841</v>
      </c>
      <c r="C5" s="73" t="s">
        <v>842</v>
      </c>
      <c r="D5" s="74" t="s">
        <v>843</v>
      </c>
      <c r="F5" s="37" t="s">
        <v>111</v>
      </c>
      <c r="G5" s="37" t="s">
        <v>626</v>
      </c>
      <c r="H5" s="37" t="s">
        <v>656</v>
      </c>
    </row>
    <row r="6" customFormat="false" ht="18" hidden="false" customHeight="true" outlineLevel="0" collapsed="false">
      <c r="B6" s="72" t="s">
        <v>844</v>
      </c>
      <c r="C6" s="75" t="n">
        <v>46279</v>
      </c>
      <c r="D6" s="74" t="s">
        <v>845</v>
      </c>
      <c r="F6" s="37" t="s">
        <v>164</v>
      </c>
      <c r="G6" s="37" t="s">
        <v>646</v>
      </c>
      <c r="H6" s="37" t="s">
        <v>633</v>
      </c>
    </row>
    <row r="7" customFormat="false" ht="18" hidden="false" customHeight="true" outlineLevel="0" collapsed="false">
      <c r="B7" s="72" t="s">
        <v>846</v>
      </c>
      <c r="C7" s="76" t="n">
        <f aca="false">WeekStart+6</f>
        <v>46285</v>
      </c>
      <c r="D7" s="74" t="s">
        <v>847</v>
      </c>
      <c r="H7" s="37" t="s">
        <v>645</v>
      </c>
    </row>
    <row r="8" customFormat="false" ht="18" hidden="false" customHeight="true" outlineLevel="0" collapsed="false">
      <c r="B8" s="72" t="s">
        <v>848</v>
      </c>
      <c r="C8" s="75" t="n">
        <v>46290</v>
      </c>
      <c r="D8" s="74" t="s">
        <v>849</v>
      </c>
      <c r="F8" s="71" t="s">
        <v>621</v>
      </c>
      <c r="G8" s="71" t="s">
        <v>619</v>
      </c>
      <c r="H8" s="37" t="s">
        <v>662</v>
      </c>
    </row>
    <row r="9" customFormat="false" ht="18" hidden="false" customHeight="true" outlineLevel="0" collapsed="false">
      <c r="B9" s="72" t="s">
        <v>850</v>
      </c>
      <c r="C9" s="77" t="n">
        <v>0.62</v>
      </c>
      <c r="D9" s="74" t="s">
        <v>851</v>
      </c>
      <c r="F9" s="37" t="s">
        <v>627</v>
      </c>
      <c r="G9" s="37" t="s">
        <v>625</v>
      </c>
      <c r="H9" s="37" t="s">
        <v>639</v>
      </c>
    </row>
    <row r="10" customFormat="false" ht="18" hidden="false" customHeight="true" outlineLevel="0" collapsed="false">
      <c r="B10" s="72" t="s">
        <v>852</v>
      </c>
      <c r="C10" s="78" t="s">
        <v>853</v>
      </c>
      <c r="D10" s="74" t="s">
        <v>854</v>
      </c>
      <c r="F10" s="37" t="s">
        <v>669</v>
      </c>
      <c r="G10" s="37" t="s">
        <v>646</v>
      </c>
    </row>
    <row r="11" customFormat="false" ht="18" hidden="false" customHeight="true" outlineLevel="0" collapsed="false">
      <c r="B11" s="72" t="s">
        <v>855</v>
      </c>
      <c r="C11" s="73" t="s">
        <v>856</v>
      </c>
      <c r="D11" s="74" t="s">
        <v>857</v>
      </c>
    </row>
    <row r="12" customFormat="false" ht="18" hidden="false" customHeight="true" outlineLevel="0" collapsed="false">
      <c r="B12" s="72" t="s">
        <v>858</v>
      </c>
      <c r="C12" s="78" t="s">
        <v>859</v>
      </c>
      <c r="D12" s="74" t="s">
        <v>860</v>
      </c>
    </row>
    <row r="13" customFormat="false" ht="18" hidden="false" customHeight="true" outlineLevel="0" collapsed="false">
      <c r="B13" s="72" t="s">
        <v>861</v>
      </c>
      <c r="C13" s="73" t="s">
        <v>862</v>
      </c>
      <c r="D13" s="74" t="s">
        <v>857</v>
      </c>
    </row>
    <row r="14" customFormat="false" ht="18" hidden="false" customHeight="true" outlineLevel="0" collapsed="false">
      <c r="B14" s="72" t="s">
        <v>863</v>
      </c>
      <c r="C14" s="73" t="s">
        <v>864</v>
      </c>
      <c r="D14" s="74" t="s">
        <v>865</v>
      </c>
    </row>
    <row r="15" customFormat="false" ht="18" hidden="false" customHeight="true" outlineLevel="0" collapsed="false">
      <c r="B15" s="72" t="s">
        <v>866</v>
      </c>
      <c r="C15" s="73" t="s">
        <v>867</v>
      </c>
      <c r="D15" s="74" t="s">
        <v>868</v>
      </c>
    </row>
    <row r="16" customFormat="false" ht="18" hidden="false" customHeight="true" outlineLevel="0" collapsed="false">
      <c r="B16" s="72" t="s">
        <v>869</v>
      </c>
      <c r="C16" s="73" t="s">
        <v>870</v>
      </c>
      <c r="D16" s="74" t="s">
        <v>871</v>
      </c>
    </row>
    <row r="19" customFormat="false" ht="15" hidden="false" customHeight="false" outlineLevel="0" collapsed="false">
      <c r="B19" s="29" t="s">
        <v>54</v>
      </c>
    </row>
  </sheetData>
  <sheetProtection sheet="true" formatColumns="false" formatRows="false" sort="false" autoFilter="false"/>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2026-10-12T08:22:17Z</dcterms:created>
  <dc:creator>Brad Leake</dc:creator>
  <dc:description/>
  <dc:language>en-US</dc:language>
  <cp:lastModifiedBy>Brad Leake</cp:lastModifiedBy>
  <dcterms:modified xsi:type="dcterms:W3CDTF">2026-10-12T08:22:20Z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