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tables/table2.xml" ContentType="application/vnd.openxmlformats-officedocument.spreadsheetml.table+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HECKS" sheetId="2" state="visible" r:id="rId4"/>
    <sheet name="QUOTE BUILDER" sheetId="3" state="visible" r:id="rId5"/>
    <sheet name="QUOTE" sheetId="4" state="visible" r:id="rId6"/>
    <sheet name="QUOTE LOG" sheetId="5" state="visible" r:id="rId7"/>
    <sheet name="CATALOG" sheetId="6" state="visible" r:id="rId8"/>
    <sheet name="SETTINGS" sheetId="7" state="visible" r:id="rId9"/>
  </sheets>
  <definedNames>
    <definedName function="false" hidden="false" localSheetId="3" name="_xlnm.Print_Area" vbProcedure="false">QUOTE!$A$1:$H$43</definedName>
    <definedName function="false" hidden="false" name="AsOf" vbProcedure="false">SETTINGS!$C$19</definedName>
    <definedName function="false" hidden="false" name="BizName" vbProcedure="false">SETTINGS!$C$5</definedName>
    <definedName function="false" hidden="false" name="BizTag" vbProcedure="false">SETTINGS!$C$6</definedName>
    <definedName function="false" hidden="false" name="cat_Code" vbProcedure="false">CATALOG!$B$5:$B$44</definedName>
    <definedName function="false" hidden="false" name="cat_Desc" vbProcedure="false">CATALOG!$D$5:$D$44</definedName>
    <definedName function="false" hidden="false" name="cat_Hrs" vbProcedure="false">CATALOG!$G$5:$G$44</definedName>
    <definedName function="false" hidden="false" name="cat_Mat" vbProcedure="false">CATALOG!$F$5:$F$44</definedName>
    <definedName function="false" hidden="false" name="cat_Unit" vbProcedure="false">CATALOG!$E$5:$E$44</definedName>
    <definedName function="false" hidden="false" name="cat_Waste" vbProcedure="false">CATALOG!$H$5:$H$44</definedName>
    <definedName function="false" hidden="false" name="CrewSize" vbProcedure="false">SETTINGS!$C$16</definedName>
    <definedName function="false" hidden="false" name="DepositPct" vbProcedure="false">SETTINGS!$C$13</definedName>
    <definedName function="false" hidden="false" name="DiffFactor" vbProcedure="false">SETTINGS!$G$5:$G$7</definedName>
    <definedName function="false" hidden="false" name="DiffList" vbProcedure="false">SETTINGS!$F$5:$F$7</definedName>
    <definedName function="false" hidden="false" name="EstList" vbProcedure="false">SETTINGS!$I$5:$I$9</definedName>
    <definedName function="false" hidden="false" name="LaborCost" vbProcedure="false">SETTINGS!$C$8</definedName>
    <definedName function="false" hidden="false" name="LaborRate" vbProcedure="false">SETTINGS!$C$7</definedName>
    <definedName function="false" hidden="false" name="lg_Cust" vbProcedure="false">'QUOTE LOG'!$D$5:$D$204</definedName>
    <definedName function="false" hidden="false" name="lg_Date" vbProcedure="false">'QUOTE LOG'!$C$5:$C$204</definedName>
    <definedName function="false" hidden="false" name="lg_Flag" vbProcedure="false">'QUOTE LOG'!$L$5:$L$204</definedName>
    <definedName function="false" hidden="false" name="lg_No" vbProcedure="false">'QUOTE LOG'!$B$5:$B$204</definedName>
    <definedName function="false" hidden="false" name="lg_Status" vbProcedure="false">'QUOTE LOG'!$H$5:$H$204</definedName>
    <definedName function="false" hidden="false" name="lg_Total" vbProcedure="false">'QUOTE LOG'!$G$5:$G$204</definedName>
    <definedName function="false" hidden="false" name="MatMarkup" vbProcedure="false">SETTINGS!$C$9</definedName>
    <definedName function="false" hidden="false" name="MinJob" vbProcedure="false">SETTINGS!$C$12</definedName>
    <definedName function="false" hidden="false" name="NextNo" vbProcedure="false">SETTINGS!$C$18</definedName>
    <definedName function="false" hidden="false" name="QBalance" vbProcedure="false">'QUOTE BUILDER'!$P$15</definedName>
    <definedName function="false" hidden="false" name="QBy" vbProcedure="false">'QUOTE BUILDER'!$F$5</definedName>
    <definedName function="false" hidden="false" name="QCost" vbProcedure="false">'QUOTE BUILDER'!$P$17</definedName>
    <definedName function="false" hidden="false" name="QCustomer" vbProcedure="false">'QUOTE BUILDER'!$C$4</definedName>
    <definedName function="false" hidden="false" name="QDate" vbProcedure="false">'QUOTE BUILDER'!$F$4</definedName>
    <definedName function="false" hidden="false" name="QDays" vbProcedure="false">'QUOTE BUILDER'!$P$20</definedName>
    <definedName function="false" hidden="false" name="QDeposit" vbProcedure="false">'QUOTE BUILDER'!$P$14</definedName>
    <definedName function="false" hidden="false" name="QHours" vbProcedure="false">'QUOTE BUILDER'!$P$19</definedName>
    <definedName function="false" hidden="false" name="QLab" vbProcedure="false">'QUOTE BUILDER'!$P$9</definedName>
    <definedName function="false" hidden="false" name="ql_Cost" vbProcedure="false">'QUOTE BUILDER'!$M$8:$M$22</definedName>
    <definedName function="false" hidden="false" name="ql_Hours" vbProcedure="false">'QUOTE BUILDER'!$I$8:$I$22</definedName>
    <definedName function="false" hidden="false" name="ql_LabPrice" vbProcedure="false">'QUOTE BUILDER'!$K$8:$K$22</definedName>
    <definedName function="false" hidden="false" name="ql_MatCost" vbProcedure="false">'QUOTE BUILDER'!$H$8:$H$22</definedName>
    <definedName function="false" hidden="false" name="ql_MatPrice" vbProcedure="false">'QUOTE BUILDER'!$J$8:$J$22</definedName>
    <definedName function="false" hidden="false" name="ql_Note" vbProcedure="false">'QUOTE BUILDER'!$F$8:$F$22</definedName>
    <definedName function="false" hidden="false" name="ql_Price" vbProcedure="false">'QUOTE BUILDER'!$L$8:$L$22</definedName>
    <definedName function="false" hidden="false" name="ql_Qty" vbProcedure="false">'QUOTE BUILDER'!$D$8:$D$22</definedName>
    <definedName function="false" hidden="false" name="ql_Service" vbProcedure="false">'QUOTE BUILDER'!$C$8:$C$22</definedName>
    <definedName function="false" hidden="false" name="ql_TotalPrice" vbProcedure="false">'QUOTE BUILDER'!$L$23</definedName>
    <definedName function="false" hidden="false" name="ql_Unit" vbProcedure="false">'QUOTE BUILDER'!$G$8:$G$22</definedName>
    <definedName function="false" hidden="false" name="QMargin" vbProcedure="false">'QUOTE BUILDER'!$P$18</definedName>
    <definedName function="false" hidden="false" name="QMat" vbProcedure="false">'QUOTE BUILDER'!$P$8</definedName>
    <definedName function="false" hidden="false" name="QMinAdj" vbProcedure="false">'QUOTE BUILDER'!$P$11</definedName>
    <definedName function="false" hidden="false" name="QNumber" vbProcedure="false">'QUOTE BUILDER'!$H$5</definedName>
    <definedName function="false" hidden="false" name="QPrefix" vbProcedure="false">SETTINGS!$C$17</definedName>
    <definedName function="false" hidden="false" name="QProject" vbProcedure="false">'QUOTE BUILDER'!$C$5</definedName>
    <definedName function="false" hidden="false" name="qp_Amount" vbProcedure="false">QUOTE!$G$12:$G$26</definedName>
    <definedName function="false" hidden="false" name="qp_Tax" vbProcedure="false">QUOTE!$G$30</definedName>
    <definedName function="false" hidden="false" name="qp_Total" vbProcedure="false">QUOTE!$G$31</definedName>
    <definedName function="false" hidden="false" name="QSub" vbProcedure="false">'QUOTE BUILDER'!$P$10</definedName>
    <definedName function="false" hidden="false" name="QTax" vbProcedure="false">'QUOTE BUILDER'!$P$12</definedName>
    <definedName function="false" hidden="false" name="QTotal" vbProcedure="false">'QUOTE BUILDER'!$P$13</definedName>
    <definedName function="false" hidden="false" name="QValid" vbProcedure="false">'QUOTE BUILDER'!$J$5</definedName>
    <definedName function="false" hidden="false" name="ServiceList" vbProcedure="false">CATALOG!$D$5:$D$27</definedName>
    <definedName function="false" hidden="false" name="StatusList" vbProcedure="false">SETTINGS!$I$12:$I$16</definedName>
    <definedName function="false" hidden="false" name="TargetMargin" vbProcedure="false">SETTINGS!$C$15</definedName>
    <definedName function="false" hidden="false" name="TaxBasis" vbProcedure="false">SETTINGS!$C$11</definedName>
    <definedName function="false" hidden="false" name="TaxBasisList" vbProcedure="false">SETTINGS!$F$12:$F$13</definedName>
    <definedName function="false" hidden="false" name="TaxRate" vbProcedure="false">SETTINGS!$C$10</definedName>
    <definedName function="false" hidden="false" name="ValidDays" vbProcedure="false">SETTINGS!$C$14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<sst xmlns="http://schemas.openxmlformats.org/spreadsheetml/2006/main" count="552" uniqueCount="341">
  <si>
    <t xml:space="preserve">Project cost estimator</t>
  </si>
  <si>
    <t xml:space="preserve">Tallowfield Renovation builds and prints every customer quote from this workbook.</t>
  </si>
  <si>
    <t xml:space="preserve">What this workbook does</t>
  </si>
  <si>
    <t xml:space="preserve">The estimator picks services from a catalog and enters quantities. The workbook prices each line from material cost, waste, markup, labor hours, and the labor rate, adds sales tax using the rule on SETTINGS, and lays the result out as a clean one-page quote for the customer. A quote log keeps every quote sent, flags the ones that need a follow-up call, and shows quoted and won value by month.</t>
  </si>
  <si>
    <t xml:space="preserve">Each quote</t>
  </si>
  <si>
    <t xml:space="preserve">Fill in the header</t>
  </si>
  <si>
    <t xml:space="preserve">On QUOTE BUILDER, type the customer and project, then pick the quote date and estimator.</t>
  </si>
  <si>
    <t xml:space="preserve">Add services</t>
  </si>
  <si>
    <t xml:space="preserve">Pick a service in each row, type the quantity, and choose Standard, Moderate, or Complex. A short note prints under the service on the quote.</t>
  </si>
  <si>
    <t xml:space="preserve">Read the summary</t>
  </si>
  <si>
    <t xml:space="preserve">The panel on the right shows the total, deposit, estimated cost, gross margin, and crew days.</t>
  </si>
  <si>
    <t xml:space="preserve">Clear the checks</t>
  </si>
  <si>
    <t xml:space="preserve">Open CHECKS. Every quote check should read OK before printing.</t>
  </si>
  <si>
    <t xml:space="preserve">Print the quote</t>
  </si>
  <si>
    <t xml:space="preserve">Open QUOTE and print it or save it as PDF. It is set to fit on one page.</t>
  </si>
  <si>
    <t xml:space="preserve">Log it</t>
  </si>
  <si>
    <t xml:space="preserve">Copy the gray log line at the bottom of QUOTE BUILDER, paste it as values on QUOTE LOG, and raise the next quote number on SETTINGS.</t>
  </si>
  <si>
    <t xml:space="preserve">Colors used in this workbook</t>
  </si>
  <si>
    <t xml:space="preserve">Yellow cell</t>
  </si>
  <si>
    <t xml:space="preserve">You type or pick here. These are the only unlocked cells.</t>
  </si>
  <si>
    <t xml:space="preserve">White cell</t>
  </si>
  <si>
    <t xml:space="preserve">A formula fills this cell, and the cell is locked.</t>
  </si>
  <si>
    <t xml:space="preserve">OK</t>
  </si>
  <si>
    <t xml:space="preserve">The quote ties out, or margin meets the target.</t>
  </si>
  <si>
    <t xml:space="preserve">Review</t>
  </si>
  <si>
    <t xml:space="preserve">Something does not tie, or a logged quote is past its valid date.</t>
  </si>
  <si>
    <t xml:space="preserve">Follow up</t>
  </si>
  <si>
    <t xml:space="preserve">A sent quote is more than a week old.</t>
  </si>
  <si>
    <t xml:space="preserve">Sheet guide</t>
  </si>
  <si>
    <t xml:space="preserve">CHECKS</t>
  </si>
  <si>
    <t xml:space="preserve">This sheet ties the builder to the printed quote and counts quote log flags.</t>
  </si>
  <si>
    <t xml:space="preserve">QUOTE BUILDER</t>
  </si>
  <si>
    <t xml:space="preserve">The quote is built here. The summary panel is on the right.</t>
  </si>
  <si>
    <t xml:space="preserve">QUOTE</t>
  </si>
  <si>
    <t xml:space="preserve">This is the customer-facing page, and it is ready to print.</t>
  </si>
  <si>
    <t xml:space="preserve">QUOTE LOG</t>
  </si>
  <si>
    <t xml:space="preserve">Every quote sent is logged here with its status, follow-up flags, and a monthly chart.</t>
  </si>
  <si>
    <t xml:space="preserve">CATALOG</t>
  </si>
  <si>
    <t xml:space="preserve">Services are listed with units, material cost, labor hours, and waste.</t>
  </si>
  <si>
    <t xml:space="preserve">SETTINGS</t>
  </si>
  <si>
    <t xml:space="preserve">The business name, labor rate, markup, tax, deposit, minimum job, and lists live here.</t>
  </si>
  <si>
    <t xml:space="preserve">Sheets are protected without a password so formulas are not overwritten by accident. To change a formula, use Review, then Unprotect Sheet.</t>
  </si>
  <si>
    <t xml:space="preserve">Sample data. All names, organizations, and figures are fictional.</t>
  </si>
  <si>
    <t xml:space="preserve">Checks</t>
  </si>
  <si>
    <t xml:space="preserve">#</t>
  </si>
  <si>
    <t xml:space="preserve">Check</t>
  </si>
  <si>
    <t xml:space="preserve">This side</t>
  </si>
  <si>
    <t xml:space="preserve">Other side</t>
  </si>
  <si>
    <t xml:space="preserve">Difference</t>
  </si>
  <si>
    <t xml:space="preserve">Status</t>
  </si>
  <si>
    <t xml:space="preserve">Line prices on QUOTE BUILDER compared with the quote subtotal</t>
  </si>
  <si>
    <t xml:space="preserve">Amounts printed on QUOTE compared with line prices on QUOTE BUILDER</t>
  </si>
  <si>
    <t xml:space="preserve">Total printed on QUOTE compared with the total on QUOTE BUILDER</t>
  </si>
  <si>
    <t xml:space="preserve">Sales tax compared with the tax rate times the taxable amount</t>
  </si>
  <si>
    <t xml:space="preserve">Lines with a quantity but no service (should be zero)</t>
  </si>
  <si>
    <t xml:space="preserve">Lines with a service but no quantity (should be zero)</t>
  </si>
  <si>
    <t xml:space="preserve">Services that are not in CATALOG (should be zero)</t>
  </si>
  <si>
    <t xml:space="preserve">Gross margin below the target on SETTINGS (should be zero)</t>
  </si>
  <si>
    <t xml:space="preserve">This quote number already appears in the quote log (should be zero)</t>
  </si>
  <si>
    <t xml:space="preserve">Logged quotes still marked Sent after their valid date (should be zero)</t>
  </si>
  <si>
    <t xml:space="preserve">Where to look</t>
  </si>
  <si>
    <t xml:space="preserve">Checks 1 to 8 are about the quote on QUOTE BUILDER. Fix them before printing.</t>
  </si>
  <si>
    <t xml:space="preserve">Check 10 is about the quote log. Filter the Follow-up column on QUOTE LOG and change each old Sent quote to Expired, or call the customer.</t>
  </si>
  <si>
    <t xml:space="preserve">Quote builder</t>
  </si>
  <si>
    <t xml:space="preserve">Pick services from the drop-down, type quantities, and choose a difficulty. Pricing comes from CATALOG and SETTINGS.</t>
  </si>
  <si>
    <t xml:space="preserve">Customer and project</t>
  </si>
  <si>
    <t xml:space="preserve">Quote date and estimator</t>
  </si>
  <si>
    <t xml:space="preserve">R. Castellanos</t>
  </si>
  <si>
    <t xml:space="preserve">Quote number</t>
  </si>
  <si>
    <t xml:space="preserve">Valid until</t>
  </si>
  <si>
    <t xml:space="preserve">Kitchen and hallway refresh</t>
  </si>
  <si>
    <t xml:space="preserve">Lena Ortiz</t>
  </si>
  <si>
    <t xml:space="preserve">Service</t>
  </si>
  <si>
    <t xml:space="preserve">Quantity</t>
  </si>
  <si>
    <t xml:space="preserve">Difficulty</t>
  </si>
  <si>
    <t xml:space="preserve">Note for the customer</t>
  </si>
  <si>
    <t xml:space="preserve">Unit</t>
  </si>
  <si>
    <t xml:space="preserve">Material cost</t>
  </si>
  <si>
    <t xml:space="preserve">Labor hours</t>
  </si>
  <si>
    <t xml:space="preserve">Material price</t>
  </si>
  <si>
    <t xml:space="preserve">Labor price</t>
  </si>
  <si>
    <t xml:space="preserve">Line price</t>
  </si>
  <si>
    <t xml:space="preserve">Line cost</t>
  </si>
  <si>
    <t xml:space="preserve">Quote summary</t>
  </si>
  <si>
    <t xml:space="preserve">Floor and furniture protection</t>
  </si>
  <si>
    <t xml:space="preserve">Standard</t>
  </si>
  <si>
    <t xml:space="preserve">Materials</t>
  </si>
  <si>
    <t xml:space="preserve">Remove existing flooring</t>
  </si>
  <si>
    <t xml:space="preserve">Kitchen and hallway</t>
  </si>
  <si>
    <t xml:space="preserve">Labor</t>
  </si>
  <si>
    <t xml:space="preserve">Install luxury vinyl plank</t>
  </si>
  <si>
    <t xml:space="preserve">Moderate</t>
  </si>
  <si>
    <t xml:space="preserve">Includes underlayment; plank chosen by customer</t>
  </si>
  <si>
    <t xml:space="preserve">Subtotal</t>
  </si>
  <si>
    <t xml:space="preserve">Install new baseboard</t>
  </si>
  <si>
    <t xml:space="preserve">Minimum job adjustment</t>
  </si>
  <si>
    <t xml:space="preserve">Install transition strip</t>
  </si>
  <si>
    <t xml:space="preserve">Sales tax</t>
  </si>
  <si>
    <t xml:space="preserve">Drywall patch, up to 1 sq ft</t>
  </si>
  <si>
    <t xml:space="preserve">Total</t>
  </si>
  <si>
    <t xml:space="preserve">Paint walls, two coats</t>
  </si>
  <si>
    <t xml:space="preserve">Customer to confirm colors</t>
  </si>
  <si>
    <t xml:space="preserve">Deposit due</t>
  </si>
  <si>
    <t xml:space="preserve">Paint ceilings</t>
  </si>
  <si>
    <t xml:space="preserve">Balance on completion</t>
  </si>
  <si>
    <t xml:space="preserve">Paint interior door, both sides</t>
  </si>
  <si>
    <t xml:space="preserve">Install tile backsplash</t>
  </si>
  <si>
    <t xml:space="preserve">Complex</t>
  </si>
  <si>
    <t xml:space="preserve">Outlet cutouts and window return</t>
  </si>
  <si>
    <t xml:space="preserve">Estimated cost</t>
  </si>
  <si>
    <t xml:space="preserve">Debris haul-away</t>
  </si>
  <si>
    <t xml:space="preserve">Gross margin</t>
  </si>
  <si>
    <t xml:space="preserve">Crew days</t>
  </si>
  <si>
    <t xml:space="preserve">Line totals</t>
  </si>
  <si>
    <t xml:space="preserve">Line for the quote log</t>
  </si>
  <si>
    <t xml:space="preserve">When the quote goes out, copy the gray row below and use Paste Special, Values on the next empty row of QUOTE LOG. Then raise the next quote number on SETTINGS by one.</t>
  </si>
  <si>
    <t xml:space="preserve">Quote date</t>
  </si>
  <si>
    <t xml:space="preserve">Customer</t>
  </si>
  <si>
    <t xml:space="preserve">Project</t>
  </si>
  <si>
    <t xml:space="preserve">Prepared by</t>
  </si>
  <si>
    <t xml:space="preserve">Sent</t>
  </si>
  <si>
    <t xml:space="preserve">Prepared for</t>
  </si>
  <si>
    <t xml:space="preserve">Quote</t>
  </si>
  <si>
    <t xml:space="preserve">Date</t>
  </si>
  <si>
    <t xml:space="preserve">Description</t>
  </si>
  <si>
    <t xml:space="preserve">Unit price</t>
  </si>
  <si>
    <t xml:space="preserve">Amount</t>
  </si>
  <si>
    <t xml:space="preserve">Terms</t>
  </si>
  <si>
    <t xml:space="preserve">Accepted by</t>
  </si>
  <si>
    <t xml:space="preserve">Quote log</t>
  </si>
  <si>
    <t xml:space="preserve">One row per quote sent. Update the status when a customer decides.</t>
  </si>
  <si>
    <t xml:space="preserve">Decision date</t>
  </si>
  <si>
    <t xml:space="preserve">Days open</t>
  </si>
  <si>
    <t xml:space="preserve">Follow-up</t>
  </si>
  <si>
    <t xml:space="preserve">Month</t>
  </si>
  <si>
    <t xml:space="preserve">Quotes</t>
  </si>
  <si>
    <t xml:space="preserve">Quoted value</t>
  </si>
  <si>
    <t xml:space="preserve">Won</t>
  </si>
  <si>
    <t xml:space="preserve">Won value</t>
  </si>
  <si>
    <t xml:space="preserve">TR-1001</t>
  </si>
  <si>
    <t xml:space="preserve">S. Ingram</t>
  </si>
  <si>
    <t xml:space="preserve">Flooring replacement</t>
  </si>
  <si>
    <t xml:space="preserve">Dan Merritt</t>
  </si>
  <si>
    <t xml:space="preserve">Accepted</t>
  </si>
  <si>
    <t xml:space="preserve">TR-1002</t>
  </si>
  <si>
    <t xml:space="preserve">M. Odom</t>
  </si>
  <si>
    <t xml:space="preserve">Whole-house painting</t>
  </si>
  <si>
    <t xml:space="preserve">Marcus Webb</t>
  </si>
  <si>
    <t xml:space="preserve">Expired</t>
  </si>
  <si>
    <t xml:space="preserve">TR-1003</t>
  </si>
  <si>
    <t xml:space="preserve">Z. Lacy</t>
  </si>
  <si>
    <t xml:space="preserve">Kitchen refresh</t>
  </si>
  <si>
    <t xml:space="preserve">TR-1004</t>
  </si>
  <si>
    <t xml:space="preserve">O. Jameson</t>
  </si>
  <si>
    <t xml:space="preserve">Declined</t>
  </si>
  <si>
    <t xml:space="preserve">TR-1005</t>
  </si>
  <si>
    <t xml:space="preserve">C. Trevino</t>
  </si>
  <si>
    <t xml:space="preserve">Drywall repair</t>
  </si>
  <si>
    <t xml:space="preserve">TR-1006</t>
  </si>
  <si>
    <t xml:space="preserve">V. Shelton</t>
  </si>
  <si>
    <t xml:space="preserve">TR-1007</t>
  </si>
  <si>
    <t xml:space="preserve">C. Dabney</t>
  </si>
  <si>
    <t xml:space="preserve">TR-1008</t>
  </si>
  <si>
    <t xml:space="preserve">O. Thibodeaux</t>
  </si>
  <si>
    <t xml:space="preserve">Trim and doors</t>
  </si>
  <si>
    <t xml:space="preserve">Win rate on decided quotes</t>
  </si>
  <si>
    <t xml:space="preserve">Average quote</t>
  </si>
  <si>
    <t xml:space="preserve">TR-1009</t>
  </si>
  <si>
    <t xml:space="preserve">T. Alvarado</t>
  </si>
  <si>
    <t xml:space="preserve">TR-1010</t>
  </si>
  <si>
    <t xml:space="preserve">J. Dabney</t>
  </si>
  <si>
    <t xml:space="preserve">Bathroom update</t>
  </si>
  <si>
    <t xml:space="preserve">Open quotes (Sent)</t>
  </si>
  <si>
    <t xml:space="preserve">Value of open quotes</t>
  </si>
  <si>
    <t xml:space="preserve">TR-1011</t>
  </si>
  <si>
    <t xml:space="preserve">H. Manning</t>
  </si>
  <si>
    <t xml:space="preserve">TR-1012</t>
  </si>
  <si>
    <t xml:space="preserve">O. Upchurch</t>
  </si>
  <si>
    <t xml:space="preserve">TR-1013</t>
  </si>
  <si>
    <t xml:space="preserve">S. Holloway</t>
  </si>
  <si>
    <t xml:space="preserve">TR-1014</t>
  </si>
  <si>
    <t xml:space="preserve">S. Escobar</t>
  </si>
  <si>
    <t xml:space="preserve">Interior painting</t>
  </si>
  <si>
    <t xml:space="preserve">TR-1015</t>
  </si>
  <si>
    <t xml:space="preserve">D. Ingram</t>
  </si>
  <si>
    <t xml:space="preserve">Basement finish touch-up</t>
  </si>
  <si>
    <t xml:space="preserve">TR-1016</t>
  </si>
  <si>
    <t xml:space="preserve">I. Mendoza</t>
  </si>
  <si>
    <t xml:space="preserve">TR-1017</t>
  </si>
  <si>
    <t xml:space="preserve">S. Beasley</t>
  </si>
  <si>
    <t xml:space="preserve">TR-1018</t>
  </si>
  <si>
    <t xml:space="preserve">H. Dorsey</t>
  </si>
  <si>
    <t xml:space="preserve">TR-1019</t>
  </si>
  <si>
    <t xml:space="preserve">TR-1020</t>
  </si>
  <si>
    <t xml:space="preserve">G. Pruitt</t>
  </si>
  <si>
    <t xml:space="preserve">TR-1021</t>
  </si>
  <si>
    <t xml:space="preserve">G. Whitlock</t>
  </si>
  <si>
    <t xml:space="preserve">TR-1022</t>
  </si>
  <si>
    <t xml:space="preserve">A. Adeyemi</t>
  </si>
  <si>
    <t xml:space="preserve">TR-1023</t>
  </si>
  <si>
    <t xml:space="preserve">W. Marquez</t>
  </si>
  <si>
    <t xml:space="preserve">TR-1024</t>
  </si>
  <si>
    <t xml:space="preserve">E. Montoya</t>
  </si>
  <si>
    <t xml:space="preserve">TR-1025</t>
  </si>
  <si>
    <t xml:space="preserve">T. Kowalski</t>
  </si>
  <si>
    <t xml:space="preserve">TR-1026</t>
  </si>
  <si>
    <t xml:space="preserve">A. Fairley</t>
  </si>
  <si>
    <t xml:space="preserve">TR-1027</t>
  </si>
  <si>
    <t xml:space="preserve">B. Acosta</t>
  </si>
  <si>
    <t xml:space="preserve">TR-1028</t>
  </si>
  <si>
    <t xml:space="preserve">N. Odom</t>
  </si>
  <si>
    <t xml:space="preserve">TR-1029</t>
  </si>
  <si>
    <t xml:space="preserve">R. Thibodeaux</t>
  </si>
  <si>
    <t xml:space="preserve">TR-1030</t>
  </si>
  <si>
    <t xml:space="preserve">D. Farris</t>
  </si>
  <si>
    <t xml:space="preserve">TR-1031</t>
  </si>
  <si>
    <t xml:space="preserve">M. Beasley</t>
  </si>
  <si>
    <t xml:space="preserve">TR-1032</t>
  </si>
  <si>
    <t xml:space="preserve">N. Nakamura</t>
  </si>
  <si>
    <t xml:space="preserve">TR-1033</t>
  </si>
  <si>
    <t xml:space="preserve">TR-1034</t>
  </si>
  <si>
    <t xml:space="preserve">M. Fontaine</t>
  </si>
  <si>
    <t xml:space="preserve">TR-1035</t>
  </si>
  <si>
    <t xml:space="preserve">M. Barajas</t>
  </si>
  <si>
    <t xml:space="preserve">TR-1036</t>
  </si>
  <si>
    <t xml:space="preserve">R. Crenshaw</t>
  </si>
  <si>
    <t xml:space="preserve">TR-1037</t>
  </si>
  <si>
    <t xml:space="preserve">K. Chandler</t>
  </si>
  <si>
    <t xml:space="preserve">TR-1038</t>
  </si>
  <si>
    <t xml:space="preserve">C. Pacheco</t>
  </si>
  <si>
    <t xml:space="preserve">TR-1039</t>
  </si>
  <si>
    <t xml:space="preserve">O. Ochoa</t>
  </si>
  <si>
    <t xml:space="preserve">TR-1040</t>
  </si>
  <si>
    <t xml:space="preserve">Q. Jeffries</t>
  </si>
  <si>
    <t xml:space="preserve">TR-1041</t>
  </si>
  <si>
    <t xml:space="preserve">E. Nakamura</t>
  </si>
  <si>
    <t xml:space="preserve">TR-1042</t>
  </si>
  <si>
    <t xml:space="preserve">J. Alvarado</t>
  </si>
  <si>
    <t xml:space="preserve">TR-1043</t>
  </si>
  <si>
    <t xml:space="preserve">M. Ochoa</t>
  </si>
  <si>
    <t xml:space="preserve">Service catalog</t>
  </si>
  <si>
    <t xml:space="preserve">Material cost and labor hours per unit for every service the business quotes.</t>
  </si>
  <si>
    <t xml:space="preserve">Code</t>
  </si>
  <si>
    <t xml:space="preserve">Category</t>
  </si>
  <si>
    <t xml:space="preserve">Description on quote</t>
  </si>
  <si>
    <t xml:space="preserve">Material cost per unit</t>
  </si>
  <si>
    <t xml:space="preserve">Labor hours per unit</t>
  </si>
  <si>
    <t xml:space="preserve">Waste</t>
  </si>
  <si>
    <t xml:space="preserve">Price per unit at standard</t>
  </si>
  <si>
    <t xml:space="preserve">GEN-PROT</t>
  </si>
  <si>
    <t xml:space="preserve">General</t>
  </si>
  <si>
    <t xml:space="preserve">room</t>
  </si>
  <si>
    <t xml:space="preserve">GEN-HAUL</t>
  </si>
  <si>
    <t xml:space="preserve">load</t>
  </si>
  <si>
    <t xml:space="preserve">GEN-HOUR</t>
  </si>
  <si>
    <t xml:space="preserve">General labor, hourly</t>
  </si>
  <si>
    <t xml:space="preserve">hour</t>
  </si>
  <si>
    <t xml:space="preserve">PNT-WALL</t>
  </si>
  <si>
    <t xml:space="preserve">Painting</t>
  </si>
  <si>
    <t xml:space="preserve">sq ft</t>
  </si>
  <si>
    <t xml:space="preserve">PNT-CEIL</t>
  </si>
  <si>
    <t xml:space="preserve">PNT-TRIM</t>
  </si>
  <si>
    <t xml:space="preserve">Paint baseboard and trim</t>
  </si>
  <si>
    <t xml:space="preserve">linear ft</t>
  </si>
  <si>
    <t xml:space="preserve">PNT-DOOR</t>
  </si>
  <si>
    <t xml:space="preserve">each</t>
  </si>
  <si>
    <t xml:space="preserve">PNT-CAB</t>
  </si>
  <si>
    <t xml:space="preserve">Paint cabinet door and box</t>
  </si>
  <si>
    <t xml:space="preserve">DRY-PATCH</t>
  </si>
  <si>
    <t xml:space="preserve">Drywall</t>
  </si>
  <si>
    <t xml:space="preserve">DRY-HANG</t>
  </si>
  <si>
    <t xml:space="preserve">Hang and finish new drywall</t>
  </si>
  <si>
    <t xml:space="preserve">DRY-TEX</t>
  </si>
  <si>
    <t xml:space="preserve">Match ceiling texture</t>
  </si>
  <si>
    <t xml:space="preserve">FLR-DEMO</t>
  </si>
  <si>
    <t xml:space="preserve">Flooring</t>
  </si>
  <si>
    <t xml:space="preserve">FLR-LVP</t>
  </si>
  <si>
    <t xml:space="preserve">FLR-TILE</t>
  </si>
  <si>
    <t xml:space="preserve">Install porcelain floor tile</t>
  </si>
  <si>
    <t xml:space="preserve">FLR-BASE</t>
  </si>
  <si>
    <t xml:space="preserve">FLR-TRANS</t>
  </si>
  <si>
    <t xml:space="preserve">TRM-CROWN</t>
  </si>
  <si>
    <t xml:space="preserve">Install crown molding</t>
  </si>
  <si>
    <t xml:space="preserve">DR-PREHUNG</t>
  </si>
  <si>
    <t xml:space="preserve">Install prehung interior door</t>
  </si>
  <si>
    <t xml:space="preserve">DR-HDWR</t>
  </si>
  <si>
    <t xml:space="preserve">Replace door hardware</t>
  </si>
  <si>
    <t xml:space="preserve">KIT-BKSP</t>
  </si>
  <si>
    <t xml:space="preserve">Kitchen and bath</t>
  </si>
  <si>
    <t xml:space="preserve">BTH-VAN</t>
  </si>
  <si>
    <t xml:space="preserve">Install vanity and faucet</t>
  </si>
  <si>
    <t xml:space="preserve">BTH-TOIL</t>
  </si>
  <si>
    <t xml:space="preserve">Replace toilet</t>
  </si>
  <si>
    <t xml:space="preserve">BTH-CAULK</t>
  </si>
  <si>
    <t xml:space="preserve">Recaulk tub or shower</t>
  </si>
  <si>
    <t xml:space="preserve">Costs and labor hours are fictional and only illustrate the layout. Price per unit is shown at standard difficulty.</t>
  </si>
  <si>
    <t xml:space="preserve">Settings</t>
  </si>
  <si>
    <t xml:space="preserve">Pricing rules and business details. Change a value here and every quote recalculates.</t>
  </si>
  <si>
    <t xml:space="preserve">Setting</t>
  </si>
  <si>
    <t xml:space="preserve">Value</t>
  </si>
  <si>
    <t xml:space="preserve">What it controls</t>
  </si>
  <si>
    <t xml:space="preserve">Labor factor</t>
  </si>
  <si>
    <t xml:space="preserve">Estimators</t>
  </si>
  <si>
    <t xml:space="preserve">Business name</t>
  </si>
  <si>
    <t xml:space="preserve">Tallowfield Renovation</t>
  </si>
  <si>
    <t xml:space="preserve">The name prints at the top of every quote.</t>
  </si>
  <si>
    <t xml:space="preserve">Tagline</t>
  </si>
  <si>
    <t xml:space="preserve">Interior renovation and repair</t>
  </si>
  <si>
    <t xml:space="preserve">The tagline prints under the business name.</t>
  </si>
  <si>
    <t xml:space="preserve">Labor rate charged per hour</t>
  </si>
  <si>
    <t xml:space="preserve">The customer pays this hourly rate for crew time.</t>
  </si>
  <si>
    <t xml:space="preserve">Crew cost per hour</t>
  </si>
  <si>
    <t xml:space="preserve">This is what an hour of crew time costs the business, and it is used for margin.</t>
  </si>
  <si>
    <t xml:space="preserve">Material markup</t>
  </si>
  <si>
    <t xml:space="preserve">The markup is added to material cost after waste.</t>
  </si>
  <si>
    <t xml:space="preserve">Sales tax rate</t>
  </si>
  <si>
    <t xml:space="preserve">Set to the local rate. The sample uses a placeholder rate.</t>
  </si>
  <si>
    <t xml:space="preserve">Tax applies to</t>
  </si>
  <si>
    <t xml:space="preserve">Materials only</t>
  </si>
  <si>
    <t xml:space="preserve">Choose Materials only or Whole quote.</t>
  </si>
  <si>
    <t xml:space="preserve">Tax basis</t>
  </si>
  <si>
    <t xml:space="preserve">Quote status</t>
  </si>
  <si>
    <t xml:space="preserve">Minimum job charge</t>
  </si>
  <si>
    <t xml:space="preserve">Small jobs are brought up to this amount.</t>
  </si>
  <si>
    <t xml:space="preserve">Draft</t>
  </si>
  <si>
    <t xml:space="preserve">Deposit</t>
  </si>
  <si>
    <t xml:space="preserve">This share of the total is due to schedule the work.</t>
  </si>
  <si>
    <t xml:space="preserve">Whole quote</t>
  </si>
  <si>
    <t xml:space="preserve">Quote valid for (days)</t>
  </si>
  <si>
    <t xml:space="preserve">This sets the valid-until date on quotes and in the log.</t>
  </si>
  <si>
    <t xml:space="preserve">Target gross margin</t>
  </si>
  <si>
    <t xml:space="preserve">Quotes below this margin show red on CHECKS.</t>
  </si>
  <si>
    <t xml:space="preserve">Crew size</t>
  </si>
  <si>
    <t xml:space="preserve">Crew size turns labor hours into working days.</t>
  </si>
  <si>
    <t xml:space="preserve">Quote number prefix</t>
  </si>
  <si>
    <t xml:space="preserve">TR-</t>
  </si>
  <si>
    <t xml:space="preserve">Quote numbers combine the prefix and the number.</t>
  </si>
  <si>
    <t xml:space="preserve">Next quote number</t>
  </si>
  <si>
    <t xml:space="preserve">Raise this by one after you log a quote.</t>
  </si>
  <si>
    <t xml:space="preserve">Today</t>
  </si>
  <si>
    <t xml:space="preserve">This date calculates itself and drives the follow-up flags in the quote log.</t>
  </si>
</sst>
</file>

<file path=xl/styles.xml><?xml version="1.0" encoding="utf-8"?>
<styleSheet xmlns="http://schemas.openxmlformats.org/spreadsheetml/2006/main">
  <numFmts count="16">
    <numFmt numFmtId="164" formatCode="General"/>
    <numFmt numFmtId="165" formatCode="\$#,##0.00"/>
    <numFmt numFmtId="166" formatCode="#,##0"/>
    <numFmt numFmtId="167" formatCode="mmm\ d&quot;, &quot;yyyy"/>
    <numFmt numFmtId="168" formatCode="0.00"/>
    <numFmt numFmtId="169" formatCode="\$#,##0.00;&quot;-$&quot;#,##0.00;\-"/>
    <numFmt numFmtId="170" formatCode="0.0%"/>
    <numFmt numFmtId="171" formatCode="0.0"/>
    <numFmt numFmtId="172" formatCode="m/d/yyyy"/>
    <numFmt numFmtId="173" formatCode="General"/>
    <numFmt numFmtId="174" formatCode="0"/>
    <numFmt numFmtId="175" formatCode="mmm\ yyyy"/>
    <numFmt numFmtId="176" formatCode="\$#,##0"/>
    <numFmt numFmtId="177" formatCode="0%"/>
    <numFmt numFmtId="178" formatCode="0.000"/>
    <numFmt numFmtId="179" formatCode="0.00%"/>
  </numFmts>
  <fonts count="32">
    <font>
      <sz val="11"/>
      <color theme="1"/>
      <name val="Calibri"/>
      <family val="2"/>
      <charset val="1"/>
    </font>
    <font>
      <sz val="10"/>
      <name val="Arial"/>
      <family val="0"/>
    </font>
    <font>
      <sz val="10"/>
      <name val="Arial"/>
      <family val="0"/>
    </font>
    <font>
      <sz val="10"/>
      <name val="Arial"/>
      <family val="0"/>
    </font>
    <font>
      <b val="true"/>
      <sz val="18"/>
      <color rgb="FF1F2428"/>
      <name val="Arial"/>
      <family val="0"/>
      <charset val="1"/>
    </font>
    <font>
      <sz val="10"/>
      <color rgb="FF6B7280"/>
      <name val="Arial"/>
      <family val="0"/>
      <charset val="1"/>
    </font>
    <font>
      <b val="true"/>
      <sz val="12"/>
      <color rgb="FF1F2428"/>
      <name val="Arial"/>
      <family val="0"/>
      <charset val="1"/>
    </font>
    <font>
      <sz val="10"/>
      <color rgb="FF1F2933"/>
      <name val="Arial"/>
      <family val="0"/>
      <charset val="1"/>
    </font>
    <font>
      <b val="true"/>
      <sz val="11"/>
      <color rgb="FFC2502E"/>
      <name val="Arial"/>
      <family val="0"/>
      <charset val="1"/>
    </font>
    <font>
      <b val="true"/>
      <sz val="10"/>
      <color rgb="FF1F2933"/>
      <name val="Arial"/>
      <family val="0"/>
      <charset val="1"/>
    </font>
    <font>
      <b val="true"/>
      <sz val="10"/>
      <color rgb="FF1A3E8C"/>
      <name val="Arial"/>
      <family val="0"/>
      <charset val="1"/>
    </font>
    <font>
      <b val="true"/>
      <sz val="10"/>
      <color rgb="FF1D6B3A"/>
      <name val="Arial"/>
      <family val="0"/>
      <charset val="1"/>
    </font>
    <font>
      <b val="true"/>
      <sz val="10"/>
      <color rgb="FFA3241A"/>
      <name val="Arial"/>
      <family val="0"/>
      <charset val="1"/>
    </font>
    <font>
      <b val="true"/>
      <sz val="10"/>
      <color rgb="FF8A4A06"/>
      <name val="Arial"/>
      <family val="0"/>
      <charset val="1"/>
    </font>
    <font>
      <b val="true"/>
      <sz val="10"/>
      <color rgb="FFC2502E"/>
      <name val="Arial"/>
      <family val="0"/>
      <charset val="1"/>
    </font>
    <font>
      <i val="true"/>
      <sz val="10"/>
      <color rgb="FF6B7280"/>
      <name val="Arial"/>
      <family val="0"/>
      <charset val="1"/>
    </font>
    <font>
      <b val="true"/>
      <sz val="13"/>
      <name val="Arial"/>
      <family val="0"/>
      <charset val="1"/>
    </font>
    <font>
      <b val="true"/>
      <sz val="10"/>
      <color rgb="FFFFFFFF"/>
      <name val="Arial"/>
      <family val="0"/>
      <charset val="1"/>
    </font>
    <font>
      <sz val="9"/>
      <color rgb="FF6B7280"/>
      <name val="Arial"/>
      <family val="0"/>
      <charset val="1"/>
    </font>
    <font>
      <sz val="10"/>
      <color rgb="FF1A3E8C"/>
      <name val="Arial"/>
      <family val="0"/>
      <charset val="1"/>
    </font>
    <font>
      <b val="true"/>
      <sz val="13"/>
      <color rgb="FFC2502E"/>
      <name val="Arial"/>
      <family val="0"/>
      <charset val="1"/>
    </font>
    <font>
      <b val="true"/>
      <sz val="12"/>
      <color rgb="FFFFFFFF"/>
      <name val="Arial"/>
      <family val="0"/>
      <charset val="1"/>
    </font>
    <font>
      <b val="true"/>
      <sz val="13"/>
      <color rgb="FF1F2428"/>
      <name val="Arial"/>
      <family val="0"/>
      <charset val="1"/>
    </font>
    <font>
      <b val="true"/>
      <sz val="9"/>
      <color rgb="FF6B7280"/>
      <name val="Arial"/>
      <family val="0"/>
      <charset val="1"/>
    </font>
    <font>
      <b val="true"/>
      <sz val="22"/>
      <color rgb="FF1F2428"/>
      <name val="Arial"/>
      <family val="0"/>
      <charset val="1"/>
    </font>
    <font>
      <b val="true"/>
      <sz val="12"/>
      <color rgb="FF1F2933"/>
      <name val="Arial"/>
      <family val="0"/>
      <charset val="1"/>
    </font>
    <font>
      <b val="true"/>
      <sz val="11"/>
      <color rgb="FF1F2428"/>
      <name val="Arial"/>
      <family val="0"/>
      <charset val="1"/>
    </font>
    <font>
      <sz val="9"/>
      <color rgb="FF4A4F55"/>
      <name val="Arial"/>
      <family val="0"/>
      <charset val="1"/>
    </font>
    <font>
      <i val="true"/>
      <sz val="8"/>
      <color rgb="FF6B7280"/>
      <name val="Arial"/>
      <family val="0"/>
      <charset val="1"/>
    </font>
    <font>
      <b val="true"/>
      <sz val="14"/>
      <color rgb="FF1F2428"/>
      <name val="Arial"/>
      <family val="0"/>
      <charset val="1"/>
    </font>
    <font>
      <b val="true"/>
      <sz val="12"/>
      <color rgb="FF222222"/>
      <name val="Calibri"/>
      <family val="2"/>
    </font>
    <font>
      <sz val="10"/>
      <color rgb="FF000000"/>
      <name val="Calibri"/>
      <family val="2"/>
    </font>
  </fonts>
  <fills count="13">
    <fill>
      <patternFill patternType="none"/>
    </fill>
    <fill>
      <patternFill patternType="gray125"/>
    </fill>
    <fill>
      <patternFill patternType="solid">
        <fgColor rgb="FFFFF4CC"/>
        <bgColor rgb="FFFDE6CC"/>
      </patternFill>
    </fill>
    <fill>
      <patternFill patternType="solid">
        <fgColor rgb="FFFFFFFF"/>
        <bgColor rgb="FFF4EFEA"/>
      </patternFill>
    </fill>
    <fill>
      <patternFill patternType="solid">
        <fgColor rgb="FFDDF2E3"/>
        <bgColor rgb="FFE6E9EE"/>
      </patternFill>
    </fill>
    <fill>
      <patternFill patternType="solid">
        <fgColor rgb="FFFBE1DE"/>
        <bgColor rgb="FFFDE6CC"/>
      </patternFill>
    </fill>
    <fill>
      <patternFill patternType="solid">
        <fgColor rgb="FFFDE6CC"/>
        <bgColor rgb="FFFBE1DE"/>
      </patternFill>
    </fill>
    <fill>
      <patternFill patternType="solid">
        <fgColor rgb="FF1F2428"/>
        <bgColor rgb="FF222222"/>
      </patternFill>
    </fill>
    <fill>
      <patternFill patternType="solid">
        <fgColor rgb="FF33393F"/>
        <bgColor rgb="FF1F2933"/>
      </patternFill>
    </fill>
    <fill>
      <patternFill patternType="solid">
        <fgColor rgb="FF6A7076"/>
        <bgColor rgb="FF6B7280"/>
      </patternFill>
    </fill>
    <fill>
      <patternFill patternType="solid">
        <fgColor rgb="FFC2502E"/>
        <bgColor rgb="FF8A4A06"/>
      </patternFill>
    </fill>
    <fill>
      <patternFill patternType="solid">
        <fgColor rgb="FFF4EFEA"/>
        <bgColor rgb="FFE9EAEC"/>
      </patternFill>
    </fill>
    <fill>
      <patternFill patternType="solid">
        <fgColor rgb="FFE9EAEC"/>
        <bgColor rgb="FFE6E9EE"/>
      </patternFill>
    </fill>
  </fills>
  <borders count="13">
    <border diagonalUp="false" diagonalDown="false">
      <left/>
      <right/>
      <top/>
      <bottom/>
      <diagonal/>
    </border>
    <border diagonalUp="false" diagonalDown="false">
      <left style="thin">
        <color rgb="FFD9DDE3"/>
      </left>
      <right style="thin">
        <color rgb="FFD9DDE3"/>
      </right>
      <top style="thin">
        <color rgb="FFD9DDE3"/>
      </top>
      <bottom style="thin">
        <color rgb="FFD9DDE3"/>
      </bottom>
      <diagonal/>
    </border>
    <border diagonalUp="false" diagonalDown="false">
      <left/>
      <right/>
      <top/>
      <bottom style="thin">
        <color rgb="FFE6E9EE"/>
      </bottom>
      <diagonal/>
    </border>
    <border diagonalUp="false" diagonalDown="false">
      <left/>
      <right/>
      <top/>
      <bottom style="thin">
        <color rgb="FF1F2428"/>
      </bottom>
      <diagonal/>
    </border>
    <border diagonalUp="false" diagonalDown="false">
      <left/>
      <right style="thin">
        <color rgb="FFFFFFFF"/>
      </right>
      <top/>
      <bottom style="thin">
        <color rgb="FFE8D9A0"/>
      </bottom>
      <diagonal/>
    </border>
    <border diagonalUp="false" diagonalDown="false">
      <left/>
      <right/>
      <top/>
      <bottom style="thin">
        <color rgb="FF33393F"/>
      </bottom>
      <diagonal/>
    </border>
    <border diagonalUp="false" diagonalDown="false">
      <left/>
      <right/>
      <top/>
      <bottom style="thin">
        <color rgb="FF6A7076"/>
      </bottom>
      <diagonal/>
    </border>
    <border diagonalUp="false" diagonalDown="false">
      <left/>
      <right/>
      <top/>
      <bottom style="thin">
        <color rgb="FFE6E2DC"/>
      </bottom>
      <diagonal/>
    </border>
    <border diagonalUp="false" diagonalDown="false">
      <left/>
      <right/>
      <top style="thin">
        <color rgb="FF33393F"/>
      </top>
      <bottom style="thin">
        <color rgb="FF33393F"/>
      </bottom>
      <diagonal/>
    </border>
    <border diagonalUp="false" diagonalDown="false">
      <left/>
      <right/>
      <top/>
      <bottom style="medium">
        <color rgb="FFC2502E"/>
      </bottom>
      <diagonal/>
    </border>
    <border diagonalUp="false" diagonalDown="false">
      <left/>
      <right/>
      <top style="thin">
        <color rgb="FF1F2428"/>
      </top>
      <bottom style="thin">
        <color rgb="FF1F2428"/>
      </bottom>
      <diagonal/>
    </border>
    <border diagonalUp="false" diagonalDown="false">
      <left/>
      <right/>
      <top/>
      <bottom style="thin">
        <color rgb="FF8D939A"/>
      </bottom>
      <diagonal/>
    </border>
    <border diagonalUp="false" diagonalDown="false">
      <left/>
      <right/>
      <top/>
      <bottom style="thin">
        <color rgb="FFC2502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1"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center" textRotation="0" wrapText="false" indent="1" shrinkToFit="false"/>
      <protection locked="true" hidden="false"/>
    </xf>
    <xf numFmtId="164" fontId="17" fillId="7" borderId="3" xfId="0" applyFont="true" applyBorder="true" applyAlignment="true" applyProtection="false">
      <alignment horizontal="center" vertical="center" textRotation="0" wrapText="true" indent="0" shrinkToFit="false"/>
      <protection locked="true" hidden="false"/>
    </xf>
    <xf numFmtId="164" fontId="17" fillId="7" borderId="3"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6" fontId="7" fillId="0" borderId="2"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4" fontId="19" fillId="2" borderId="4" xfId="0" applyFont="true" applyBorder="true" applyAlignment="true" applyProtection="true">
      <alignment horizontal="left" vertical="center" textRotation="0" wrapText="false" indent="0" shrinkToFit="false"/>
      <protection locked="false" hidden="false"/>
    </xf>
    <xf numFmtId="167" fontId="19" fillId="2" borderId="4" xfId="0" applyFont="true" applyBorder="true" applyAlignment="true" applyProtection="true">
      <alignment horizontal="left" vertical="center" textRotation="0" wrapText="false" indent="0" shrinkToFit="false"/>
      <protection locked="fals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left" vertical="bottom" textRotation="0" wrapText="false" indent="0" shrinkToFit="false"/>
      <protection locked="true" hidden="false"/>
    </xf>
    <xf numFmtId="164" fontId="17" fillId="8" borderId="5" xfId="0" applyFont="true" applyBorder="true" applyAlignment="true" applyProtection="false">
      <alignment horizontal="center" vertical="center" textRotation="0" wrapText="true" indent="0" shrinkToFit="false"/>
      <protection locked="true" hidden="false"/>
    </xf>
    <xf numFmtId="164" fontId="17" fillId="9" borderId="6" xfId="0" applyFont="true" applyBorder="true" applyAlignment="true" applyProtection="false">
      <alignment horizontal="center" vertical="center" textRotation="0" wrapText="true" indent="0" shrinkToFit="false"/>
      <protection locked="true" hidden="false"/>
    </xf>
    <xf numFmtId="164" fontId="21" fillId="10" borderId="0" xfId="0" applyFont="true" applyBorder="false" applyAlignment="true" applyProtection="false">
      <alignment horizontal="general" vertical="center" textRotation="0" wrapText="false" indent="1"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19" fillId="2" borderId="4" xfId="0" applyFont="true" applyBorder="true" applyAlignment="true" applyProtection="true">
      <alignment horizontal="general" vertical="center" textRotation="0" wrapText="false" indent="0" shrinkToFit="false"/>
      <protection locked="false" hidden="false"/>
    </xf>
    <xf numFmtId="164" fontId="19" fillId="2" borderId="4" xfId="0" applyFont="true" applyBorder="true" applyAlignment="true" applyProtection="true">
      <alignment horizontal="center" vertical="center" textRotation="0" wrapText="false" indent="0" shrinkToFit="false"/>
      <protection locked="false" hidden="false"/>
    </xf>
    <xf numFmtId="164" fontId="7" fillId="0" borderId="2" xfId="0" applyFont="true" applyBorder="true" applyAlignment="true" applyProtection="false">
      <alignment horizontal="center" vertical="center" textRotation="0" wrapText="false" indent="0" shrinkToFit="false"/>
      <protection locked="true" hidden="false"/>
    </xf>
    <xf numFmtId="168" fontId="7" fillId="0" borderId="2" xfId="0" applyFont="true" applyBorder="true" applyAlignment="true" applyProtection="false">
      <alignment horizontal="center" vertical="center" textRotation="0" wrapText="false" indent="0" shrinkToFit="false"/>
      <protection locked="true" hidden="false"/>
    </xf>
    <xf numFmtId="165" fontId="9" fillId="0" borderId="2" xfId="0" applyFont="true" applyBorder="true" applyAlignment="true" applyProtection="false">
      <alignment horizontal="general" vertical="center" textRotation="0" wrapText="false" indent="0" shrinkToFit="false"/>
      <protection locked="true" hidden="false"/>
    </xf>
    <xf numFmtId="164" fontId="7" fillId="0" borderId="7" xfId="0" applyFont="true" applyBorder="true" applyAlignment="true" applyProtection="false">
      <alignment horizontal="general" vertical="center" textRotation="0" wrapText="false" indent="1" shrinkToFit="false"/>
      <protection locked="true" hidden="false"/>
    </xf>
    <xf numFmtId="165" fontId="7" fillId="0" borderId="7" xfId="0" applyFont="true" applyBorder="true" applyAlignment="true" applyProtection="false">
      <alignment horizontal="general" vertical="center" textRotation="0" wrapText="false" indent="0" shrinkToFit="false"/>
      <protection locked="true" hidden="false"/>
    </xf>
    <xf numFmtId="169" fontId="7" fillId="0" borderId="7" xfId="0" applyFont="true" applyBorder="true" applyAlignment="true" applyProtection="false">
      <alignment horizontal="general" vertical="center" textRotation="0" wrapText="false" indent="0" shrinkToFit="false"/>
      <protection locked="true" hidden="false"/>
    </xf>
    <xf numFmtId="164" fontId="9" fillId="11" borderId="7" xfId="0" applyFont="true" applyBorder="true" applyAlignment="true" applyProtection="false">
      <alignment horizontal="general" vertical="center" textRotation="0" wrapText="false" indent="1" shrinkToFit="false"/>
      <protection locked="true" hidden="false"/>
    </xf>
    <xf numFmtId="165" fontId="22" fillId="11" borderId="7"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general" vertical="center" textRotation="0" wrapText="false" indent="1" shrinkToFit="false"/>
      <protection locked="true" hidden="false"/>
    </xf>
    <xf numFmtId="170" fontId="7" fillId="0" borderId="7" xfId="0" applyFont="true" applyBorder="true" applyAlignment="true" applyProtection="false">
      <alignment horizontal="general" vertical="center" textRotation="0" wrapText="false" indent="0" shrinkToFit="false"/>
      <protection locked="true" hidden="false"/>
    </xf>
    <xf numFmtId="171" fontId="7" fillId="0" borderId="7" xfId="0" applyFont="true" applyBorder="true" applyAlignment="true" applyProtection="false">
      <alignment horizontal="general" vertical="center" textRotation="0" wrapText="false" indent="0" shrinkToFit="false"/>
      <protection locked="true" hidden="false"/>
    </xf>
    <xf numFmtId="164" fontId="9" fillId="11" borderId="8" xfId="0" applyFont="true" applyBorder="true" applyAlignment="false" applyProtection="false">
      <alignment horizontal="general" vertical="bottom" textRotation="0" wrapText="false" indent="0" shrinkToFit="false"/>
      <protection locked="true" hidden="false"/>
    </xf>
    <xf numFmtId="165" fontId="9" fillId="11" borderId="8" xfId="0" applyFont="true" applyBorder="true" applyAlignment="false" applyProtection="false">
      <alignment horizontal="general" vertical="bottom" textRotation="0" wrapText="false" indent="0" shrinkToFit="false"/>
      <protection locked="true" hidden="false"/>
    </xf>
    <xf numFmtId="168" fontId="9" fillId="11" borderId="8"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7" fillId="12" borderId="2" xfId="0" applyFont="true" applyBorder="true" applyAlignment="true" applyProtection="false">
      <alignment horizontal="general" vertical="center" textRotation="0" wrapText="false" indent="0" shrinkToFit="false"/>
      <protection locked="true" hidden="false"/>
    </xf>
    <xf numFmtId="172" fontId="7" fillId="12" borderId="2" xfId="0" applyFont="true" applyBorder="true" applyAlignment="true" applyProtection="false">
      <alignment horizontal="general" vertical="center" textRotation="0" wrapText="false" indent="0" shrinkToFit="false"/>
      <protection locked="true" hidden="false"/>
    </xf>
    <xf numFmtId="165" fontId="7" fillId="12" borderId="2" xfId="0" applyFont="true" applyBorder="true" applyAlignment="true" applyProtection="false">
      <alignment horizontal="general" vertical="center"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true" applyAlignment="true" applyProtection="false">
      <alignment horizontal="right"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true" applyAlignment="true" applyProtection="false">
      <alignment horizontal="righ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3" fontId="7" fillId="0" borderId="2"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right" vertical="center" textRotation="0" wrapText="false" indent="0" shrinkToFit="false"/>
      <protection locked="true" hidden="false"/>
    </xf>
    <xf numFmtId="169" fontId="7" fillId="0" borderId="0" xfId="0" applyFont="true" applyBorder="false" applyAlignment="true" applyProtection="false">
      <alignment horizontal="general" vertical="center" textRotation="0" wrapText="false" indent="0" shrinkToFit="false"/>
      <protection locked="true" hidden="false"/>
    </xf>
    <xf numFmtId="164" fontId="9" fillId="11" borderId="10" xfId="0" applyFont="true" applyBorder="true" applyAlignment="true" applyProtection="false">
      <alignment horizontal="right" vertical="center" textRotation="0" wrapText="false" indent="0" shrinkToFit="false"/>
      <protection locked="true" hidden="false"/>
    </xf>
    <xf numFmtId="169" fontId="22" fillId="11" borderId="10" xfId="0" applyFont="true" applyBorder="true" applyAlignment="true" applyProtection="false">
      <alignment horizontal="general" vertical="center" textRotation="0" wrapText="false" indent="0" shrinkToFit="false"/>
      <protection locked="true" hidden="false"/>
    </xf>
    <xf numFmtId="164" fontId="26" fillId="0" borderId="0" xfId="0" applyFont="true" applyBorder="false" applyAlignment="true" applyProtection="false">
      <alignment horizontal="general" vertical="bottom" textRotation="0" wrapText="false" indent="0" shrinkToFit="false"/>
      <protection locked="true" hidden="false"/>
    </xf>
    <xf numFmtId="164" fontId="27" fillId="0" borderId="0" xfId="0" applyFont="true" applyBorder="true" applyAlignment="true" applyProtection="false">
      <alignment horizontal="general" vertical="top" textRotation="0" wrapText="tru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17" fillId="10" borderId="12" xfId="0" applyFont="true" applyBorder="true" applyAlignment="true" applyProtection="false">
      <alignment horizontal="center" vertical="center" textRotation="0" wrapText="true" indent="0" shrinkToFit="false"/>
      <protection locked="true" hidden="false"/>
    </xf>
    <xf numFmtId="172" fontId="19" fillId="2" borderId="4" xfId="0" applyFont="true" applyBorder="true" applyAlignment="true" applyProtection="true">
      <alignment horizontal="center" vertical="center" textRotation="0" wrapText="false" indent="0" shrinkToFit="false"/>
      <protection locked="false" hidden="false"/>
    </xf>
    <xf numFmtId="165" fontId="19" fillId="2" borderId="4" xfId="0" applyFont="true" applyBorder="true" applyAlignment="true" applyProtection="true">
      <alignment horizontal="general" vertical="center" textRotation="0" wrapText="false" indent="0" shrinkToFit="false"/>
      <protection locked="false" hidden="false"/>
    </xf>
    <xf numFmtId="172" fontId="7" fillId="0" borderId="2" xfId="0" applyFont="true" applyBorder="true" applyAlignment="true" applyProtection="false">
      <alignment horizontal="center" vertical="center" textRotation="0" wrapText="false" indent="0" shrinkToFit="false"/>
      <protection locked="true" hidden="false"/>
    </xf>
    <xf numFmtId="174" fontId="7" fillId="0" borderId="2" xfId="0" applyFont="true" applyBorder="true" applyAlignment="true" applyProtection="false">
      <alignment horizontal="center" vertical="center" textRotation="0" wrapText="false" indent="0" shrinkToFit="false"/>
      <protection locked="true" hidden="false"/>
    </xf>
    <xf numFmtId="175" fontId="7" fillId="0" borderId="2" xfId="0" applyFont="true" applyBorder="true" applyAlignment="true" applyProtection="false">
      <alignment horizontal="center" vertical="center" textRotation="0" wrapText="false" indent="0" shrinkToFit="false"/>
      <protection locked="true" hidden="false"/>
    </xf>
    <xf numFmtId="176" fontId="7" fillId="0" borderId="2" xfId="0" applyFont="true" applyBorder="true" applyAlignment="true" applyProtection="false">
      <alignment horizontal="general" vertical="center" textRotation="0" wrapText="false" indent="0" shrinkToFit="false"/>
      <protection locked="true" hidden="false"/>
    </xf>
    <xf numFmtId="174" fontId="9" fillId="11" borderId="8" xfId="0" applyFont="true" applyBorder="true" applyAlignment="true" applyProtection="false">
      <alignment horizontal="center" vertical="bottom" textRotation="0" wrapText="false" indent="0" shrinkToFit="false"/>
      <protection locked="true" hidden="false"/>
    </xf>
    <xf numFmtId="176" fontId="9" fillId="11" borderId="8" xfId="0" applyFont="true" applyBorder="true" applyAlignment="false" applyProtection="false">
      <alignment horizontal="general" vertical="bottom" textRotation="0" wrapText="false" indent="0" shrinkToFit="false"/>
      <protection locked="true" hidden="false"/>
    </xf>
    <xf numFmtId="177" fontId="29" fillId="0" borderId="0" xfId="0" applyFont="true" applyBorder="true" applyAlignment="true" applyProtection="false">
      <alignment horizontal="left" vertical="bottom" textRotation="0" wrapText="false" indent="0" shrinkToFit="false"/>
      <protection locked="true" hidden="false"/>
    </xf>
    <xf numFmtId="176" fontId="29" fillId="0" borderId="0" xfId="0" applyFont="true" applyBorder="true" applyAlignment="true" applyProtection="false">
      <alignment horizontal="left" vertical="bottom" textRotation="0" wrapText="false" indent="0" shrinkToFit="false"/>
      <protection locked="true" hidden="false"/>
    </xf>
    <xf numFmtId="174" fontId="29" fillId="0" borderId="0" xfId="0" applyFont="true" applyBorder="true" applyAlignment="true" applyProtection="false">
      <alignment horizontal="left" vertical="bottom" textRotation="0" wrapText="false" indent="0" shrinkToFit="false"/>
      <protection locked="true" hidden="false"/>
    </xf>
    <xf numFmtId="164" fontId="17" fillId="9" borderId="5" xfId="0" applyFont="true" applyBorder="true" applyAlignment="true" applyProtection="false">
      <alignment horizontal="center" vertical="center" textRotation="0" wrapText="true" indent="0" shrinkToFit="false"/>
      <protection locked="true" hidden="false"/>
    </xf>
    <xf numFmtId="178" fontId="19" fillId="2" borderId="4" xfId="0" applyFont="true" applyBorder="true" applyAlignment="true" applyProtection="true">
      <alignment horizontal="center" vertical="center" textRotation="0" wrapText="false" indent="0" shrinkToFit="false"/>
      <protection locked="false" hidden="false"/>
    </xf>
    <xf numFmtId="177" fontId="19" fillId="2" borderId="4" xfId="0" applyFont="true" applyBorder="true" applyAlignment="true" applyProtection="true">
      <alignment horizontal="center" vertical="center" textRotation="0" wrapText="false" indent="0" shrinkToFit="false"/>
      <protection locked="false" hidden="false"/>
    </xf>
    <xf numFmtId="164" fontId="15" fillId="2" borderId="4" xfId="0" applyFont="true" applyBorder="true" applyAlignment="true" applyProtection="true">
      <alignment horizontal="general" vertical="top" textRotation="0" wrapText="false" indent="0" shrinkToFit="false"/>
      <protection locked="false" hidden="false"/>
    </xf>
    <xf numFmtId="164" fontId="17" fillId="8" borderId="5"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1" shrinkToFit="false"/>
      <protection locked="true" hidden="false"/>
    </xf>
    <xf numFmtId="168" fontId="19" fillId="2" borderId="4" xfId="0" applyFont="true" applyBorder="true" applyAlignment="true" applyProtection="true">
      <alignment horizontal="center" vertical="center" textRotation="0" wrapText="false" indent="0" shrinkToFit="false"/>
      <protection locked="false" hidden="false"/>
    </xf>
    <xf numFmtId="165" fontId="19" fillId="2" borderId="4" xfId="0" applyFont="true" applyBorder="true" applyAlignment="true" applyProtection="true">
      <alignment horizontal="left" vertical="center" textRotation="0" wrapText="false" indent="0" shrinkToFit="false"/>
      <protection locked="false" hidden="false"/>
    </xf>
    <xf numFmtId="177" fontId="19" fillId="2" borderId="4" xfId="0" applyFont="true" applyBorder="true" applyAlignment="true" applyProtection="true">
      <alignment horizontal="left" vertical="center" textRotation="0" wrapText="false" indent="0" shrinkToFit="false"/>
      <protection locked="false" hidden="false"/>
    </xf>
    <xf numFmtId="179" fontId="19" fillId="2" borderId="4" xfId="0" applyFont="true" applyBorder="true" applyAlignment="true" applyProtection="true">
      <alignment horizontal="left" vertical="center" textRotation="0" wrapText="false" indent="0" shrinkToFit="false"/>
      <protection locked="false" hidden="false"/>
    </xf>
    <xf numFmtId="174" fontId="19" fillId="2" borderId="4" xfId="0" applyFont="true" applyBorder="true" applyAlignment="true" applyProtection="true">
      <alignment horizontal="left" vertical="center" textRotation="0" wrapText="false" indent="0" shrinkToFit="false"/>
      <protection locked="false" hidden="false"/>
    </xf>
    <xf numFmtId="172" fontId="7" fillId="0" borderId="2"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ont>
        <b val="1"/>
        <color rgb="FF1D6B3A"/>
      </font>
      <fill>
        <patternFill>
          <bgColor rgb="FFDDF2E3"/>
        </patternFill>
      </fill>
    </dxf>
    <dxf>
      <font>
        <b val="1"/>
        <color rgb="FFA3241A"/>
      </font>
      <fill>
        <patternFill>
          <bgColor rgb="FFFBE1DE"/>
        </patternFill>
      </fill>
    </dxf>
    <dxf>
      <font>
        <color rgb="FFA3241A"/>
      </font>
      <fill>
        <patternFill>
          <bgColor rgb="FFFBE1DE"/>
        </patternFill>
      </fill>
    </dxf>
    <dxf>
      <font>
        <b val="1"/>
        <color rgb="FFA3241A"/>
      </font>
    </dxf>
    <dxf>
      <font>
        <b val="1"/>
        <color rgb="FF1D6B3A"/>
      </font>
    </dxf>
    <dxf>
      <fill>
        <patternFill patternType="solid">
          <fgColor rgb="FF33393F"/>
          <bgColor rgb="FF000000"/>
        </patternFill>
      </fill>
    </dxf>
    <dxf>
      <fill>
        <patternFill patternType="solid">
          <fgColor rgb="FFFFF4CC"/>
          <bgColor rgb="FF000000"/>
        </patternFill>
      </fill>
    </dxf>
    <dxf>
      <fill>
        <patternFill patternType="solid">
          <fgColor rgb="FF1A3E8C"/>
          <bgColor rgb="FF000000"/>
        </patternFill>
      </fill>
    </dxf>
    <dxf>
      <fill>
        <patternFill patternType="solid">
          <fgColor rgb="FFFFFFFF"/>
          <bgColor rgb="FF000000"/>
        </patternFill>
      </fill>
    </dxf>
    <dxf>
      <fill>
        <patternFill patternType="solid">
          <fgColor rgb="FF1D6B3A"/>
          <bgColor rgb="FF000000"/>
        </patternFill>
      </fill>
    </dxf>
    <dxf>
      <fill>
        <patternFill patternType="solid">
          <fgColor rgb="FF8B8F96"/>
          <bgColor rgb="FF000000"/>
        </patternFill>
      </fill>
    </dxf>
    <dxf>
      <fill>
        <patternFill patternType="solid">
          <fgColor rgb="FF6A7076"/>
          <bgColor rgb="FF000000"/>
        </patternFill>
      </fill>
    </dxf>
    <dxf>
      <fill>
        <patternFill patternType="solid">
          <bgColor rgb="FF000000"/>
        </patternFill>
      </fill>
    </dxf>
    <dxf>
      <fill>
        <patternFill patternType="solid">
          <fgColor rgb="FF1F2933"/>
          <bgColor rgb="FF000000"/>
        </patternFill>
      </fill>
    </dxf>
    <dxf>
      <fill>
        <patternFill patternType="solid">
          <fgColor rgb="FFFBE1DE"/>
          <bgColor rgb="FF000000"/>
        </patternFill>
      </fill>
    </dxf>
    <dxf>
      <fill>
        <patternFill patternType="solid">
          <fgColor rgb="FFFDE6CC"/>
          <bgColor rgb="FF000000"/>
        </patternFill>
      </fill>
    </dxf>
    <dxf>
      <fill>
        <patternFill patternType="solid">
          <fgColor rgb="FF8A4A06"/>
          <bgColor rgb="FF000000"/>
        </patternFill>
      </fill>
    </dxf>
    <dxf>
      <fill>
        <patternFill patternType="solid">
          <fgColor rgb="FFA3241A"/>
          <bgColor rgb="FF000000"/>
        </patternFill>
      </fill>
    </dxf>
    <dxf>
      <font>
        <b val="1"/>
        <color rgb="FF8A4A06"/>
      </font>
      <fill>
        <patternFill>
          <bgColor rgb="FFFDE6CC"/>
        </patternFill>
      </fill>
    </dxf>
    <dxf>
      <font>
        <color rgb="FF8B8F96"/>
      </font>
    </dxf>
    <dxf>
      <fill>
        <patternFill patternType="solid">
          <fgColor rgb="FF6B7280"/>
          <bgColor rgb="FF000000"/>
        </patternFill>
      </fill>
    </dxf>
  </dxfs>
  <colors>
    <indexedColors>
      <rgbColor rgb="FF000000"/>
      <rgbColor rgb="FFFFFFFF"/>
      <rgbColor rgb="FFFF0000"/>
      <rgbColor rgb="FF00FF00"/>
      <rgbColor rgb="FF0000FF"/>
      <rgbColor rgb="FFF4EFEA"/>
      <rgbColor rgb="FFFF00FF"/>
      <rgbColor rgb="FF00FFFF"/>
      <rgbColor rgb="FF800000"/>
      <rgbColor rgb="FF1D6B3A"/>
      <rgbColor rgb="FF000080"/>
      <rgbColor rgb="FF6A7076"/>
      <rgbColor rgb="FF800080"/>
      <rgbColor rgb="FF4A4F55"/>
      <rgbColor rgb="FFD9D9D9"/>
      <rgbColor rgb="FF878787"/>
      <rgbColor rgb="FF8B8F96"/>
      <rgbColor rgb="FFC2502E"/>
      <rgbColor rgb="FFFFF4CC"/>
      <rgbColor rgb="FFE6E9EE"/>
      <rgbColor rgb="FF660066"/>
      <rgbColor rgb="FFFF8080"/>
      <rgbColor rgb="FF2F6FA8"/>
      <rgbColor rgb="FFD9DDE3"/>
      <rgbColor rgb="FF000080"/>
      <rgbColor rgb="FFFF00FF"/>
      <rgbColor rgb="FFFFFF00"/>
      <rgbColor rgb="FF00FFFF"/>
      <rgbColor rgb="FF800080"/>
      <rgbColor rgb="FF800000"/>
      <rgbColor rgb="FF008080"/>
      <rgbColor rgb="FF0000FF"/>
      <rgbColor rgb="FF00CCFF"/>
      <rgbColor rgb="FFE9EAEC"/>
      <rgbColor rgb="FFDDF2E3"/>
      <rgbColor rgb="FFFDE6CC"/>
      <rgbColor rgb="FFE3E5E8"/>
      <rgbColor rgb="FFFBE1DE"/>
      <rgbColor rgb="FFE6E2DC"/>
      <rgbColor rgb="FFE8D9A0"/>
      <rgbColor rgb="FF3366FF"/>
      <rgbColor rgb="FF33CCCC"/>
      <rgbColor rgb="FF99CC00"/>
      <rgbColor rgb="FFFFCC00"/>
      <rgbColor rgb="FFFF9900"/>
      <rgbColor rgb="FFFF6600"/>
      <rgbColor rgb="FF6B7280"/>
      <rgbColor rgb="FF8D939A"/>
      <rgbColor rgb="FF1F2933"/>
      <rgbColor rgb="FF339966"/>
      <rgbColor rgb="FF1F2428"/>
      <rgbColor rgb="FF222222"/>
      <rgbColor rgb="FFA3241A"/>
      <rgbColor rgb="FF8A4A06"/>
      <rgbColor rgb="FF1A3E8C"/>
      <rgbColor rgb="FF3339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200" spc="-1" strike="noStrike">
                <a:solidFill>
                  <a:srgbClr val="222222"/>
                </a:solidFill>
                <a:latin typeface="Calibri"/>
              </a:defRPr>
            </a:pPr>
            <a:r>
              <a:rPr b="1" sz="1200" spc="-1" strike="noStrike">
                <a:solidFill>
                  <a:srgbClr val="222222"/>
                </a:solidFill>
                <a:latin typeface="Calibri"/>
              </a:rPr>
              <a:t>Quoted and won value by month</a:t>
            </a:r>
          </a:p>
        </c:rich>
      </c:tx>
      <c:overlay val="0"/>
      <c:spPr>
        <a:noFill/>
        <a:ln w="0">
          <a:noFill/>
        </a:ln>
      </c:spPr>
    </c:title>
    <c:autoTitleDeleted val="0"/>
    <c:plotArea>
      <c:barChart>
        <c:barDir val="col"/>
        <c:grouping val="clustered"/>
        <c:varyColors val="0"/>
        <c:ser>
          <c:idx val="0"/>
          <c:order val="0"/>
          <c:tx>
            <c:strRef>
              <c:f>'QUOTE LOG'!P4</c:f>
              <c:strCache>
                <c:ptCount val="1"/>
                <c:pt idx="0">
                  <c:v>Quoted value</c:v>
                </c:pt>
              </c:strCache>
            </c:strRef>
          </c:tx>
          <c:spPr>
            <a:solidFill>
              <a:srgbClr val="2f6fa8"/>
            </a:solidFill>
            <a:ln w="0">
              <a:solidFill>
                <a:srgbClr val="2f6fa8"/>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'QUOTE LOG'!$N$5:$N$9</c:f>
              <c:strCache>
                <c:ptCount val="5"/>
                <c:pt idx="0">
                  <c:v>Jun 2026</c:v>
                </c:pt>
                <c:pt idx="1">
                  <c:v>Jul 2026</c:v>
                </c:pt>
                <c:pt idx="2">
                  <c:v>Aug 2026</c:v>
                </c:pt>
                <c:pt idx="3">
                  <c:v>Sep 2026</c:v>
                </c:pt>
                <c:pt idx="4">
                  <c:v>Oct 2026</c:v>
                </c:pt>
              </c:strCache>
            </c:strRef>
          </c:cat>
          <c:val>
            <c:numRef>
              <c:f>'QUOTE LOG'!$P$5:$P$9</c:f>
              <c:numCache>
                <c:formatCode>\$#,##0</c:formatCode>
                <c:ptCount val="5"/>
                <c:pt idx="0">
                  <c:v>51316.15</c:v>
                </c:pt>
                <c:pt idx="1">
                  <c:v>48859.56</c:v>
                </c:pt>
                <c:pt idx="2">
                  <c:v>68263.75</c:v>
                </c:pt>
                <c:pt idx="3">
                  <c:v>102130.53</c:v>
                </c:pt>
                <c:pt idx="4">
                  <c:v>20405.27</c:v>
                </c:pt>
              </c:numCache>
            </c:numRef>
          </c:val>
        </c:ser>
        <c:ser>
          <c:idx val="1"/>
          <c:order val="1"/>
          <c:tx>
            <c:strRef>
              <c:f>'QUOTE LOG'!R4</c:f>
              <c:strCache>
                <c:ptCount val="1"/>
                <c:pt idx="0">
                  <c:v>Won value</c:v>
                </c:pt>
              </c:strCache>
            </c:strRef>
          </c:tx>
          <c:spPr>
            <a:solidFill>
              <a:srgbClr val="c2502e"/>
            </a:solidFill>
            <a:ln w="0">
              <a:solidFill>
                <a:srgbClr val="c2502e"/>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'QUOTE LOG'!$N$5:$N$9</c:f>
              <c:strCache>
                <c:ptCount val="5"/>
                <c:pt idx="0">
                  <c:v>Jun 2026</c:v>
                </c:pt>
                <c:pt idx="1">
                  <c:v>Jul 2026</c:v>
                </c:pt>
                <c:pt idx="2">
                  <c:v>Aug 2026</c:v>
                </c:pt>
                <c:pt idx="3">
                  <c:v>Sep 2026</c:v>
                </c:pt>
                <c:pt idx="4">
                  <c:v>Oct 2026</c:v>
                </c:pt>
              </c:strCache>
            </c:strRef>
          </c:cat>
          <c:val>
            <c:numRef>
              <c:f>'QUOTE LOG'!$R$5:$R$9</c:f>
              <c:numCache>
                <c:formatCode>\$#,##0</c:formatCode>
                <c:ptCount val="5"/>
                <c:pt idx="0">
                  <c:v>22762.63</c:v>
                </c:pt>
                <c:pt idx="1">
                  <c:v>4490.41</c:v>
                </c:pt>
                <c:pt idx="2">
                  <c:v>52829.34</c:v>
                </c:pt>
                <c:pt idx="3">
                  <c:v>32609.66</c:v>
                </c:pt>
                <c:pt idx="4">
                  <c:v>0</c:v>
                </c:pt>
              </c:numCache>
            </c:numRef>
          </c:val>
        </c:ser>
        <c:gapWidth val="70"/>
        <c:overlap val="0"/>
        <c:axId val="720759"/>
        <c:axId val="90386523"/>
      </c:barChart>
      <c:catAx>
        <c:axId val="720759"/>
        <c:scaling>
          <c:orientation val="minMax"/>
        </c:scaling>
        <c:delete val="0"/>
        <c:axPos val="b"/>
        <c:numFmt formatCode="mmm"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386523"/>
        <c:crosses val="autoZero"/>
        <c:auto val="1"/>
        <c:lblAlgn val="ctr"/>
        <c:lblOffset val="100"/>
        <c:noMultiLvlLbl val="0"/>
      </c:catAx>
      <c:valAx>
        <c:axId val="90386523"/>
        <c:scaling>
          <c:orientation val="minMax"/>
        </c:scaling>
        <c:delete val="0"/>
        <c:axPos val="l"/>
        <c:majorGridlines>
          <c:spPr>
            <a:ln w="9360">
              <a:solidFill>
                <a:srgbClr val="e3e5e8"/>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075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13</xdr:col>
      <xdr:colOff>0</xdr:colOff>
      <xdr:row>15</xdr:row>
      <xdr:rowOff>130680</xdr:rowOff>
    </xdr:from>
    <xdr:to>
      <xdr:col>19</xdr:col>
      <xdr:colOff>300960</xdr:colOff>
      <xdr:row>28</xdr:row>
      <xdr:rowOff>173880</xdr:rowOff>
    </xdr:to>
    <xdr:graphicFrame>
      <xdr:nvGraphicFramePr>
        <xdr:cNvPr id="0" name="Chart 1"/>
        <xdr:cNvGraphicFramePr/>
      </xdr:nvGraphicFramePr>
      <xdr:xfrm>
        <a:off x="10925280" y="3533760"/>
        <a:ext cx="485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blCatalog" displayName="tblCatalog" ref="B4:I44" headerRowCount="1" totalsRowCount="0" totalsRowShown="0">
  <autoFilter ref="B4:I44"/>
  <tableColumns count="8">
    <tableColumn id="1" name="Code"/>
    <tableColumn id="2" name="Category"/>
    <tableColumn id="3" name="Description on quote"/>
    <tableColumn id="4" name="Unit"/>
    <tableColumn id="5" name="Material cost per unit"/>
    <tableColumn id="6" name="Labor hours per unit"/>
    <tableColumn id="7" name="Waste"/>
    <tableColumn id="8" name="Price per unit at standard"/>
  </tableColumns>
</table>
</file>

<file path=xl/tables/table2.xml><?xml version="1.0" encoding="utf-8"?>
<table xmlns="http://schemas.openxmlformats.org/spreadsheetml/2006/main" id="2" name="tblQuoteLog" displayName="tblQuoteLog" ref="B4:L204" headerRowCount="1" totalsRowCount="0" totalsRowShown="0">
  <autoFilter ref="B4:L204"/>
  <tableColumns count="11">
    <tableColumn id="1" name="Quote number"/>
    <tableColumn id="2" name="Quote date"/>
    <tableColumn id="3" name="Customer"/>
    <tableColumn id="4" name="Project"/>
    <tableColumn id="5" name="Prepared by"/>
    <tableColumn id="6" name="Total"/>
    <tableColumn id="7" name="Status"/>
    <tableColumn id="8" name="Decision date"/>
    <tableColumn id="9" name="Valid until"/>
    <tableColumn id="10" name="Days open"/>
    <tableColumn id="11" name="Follow-up"/>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2.xml"/>
</Relationships>
</file>

<file path=xl/worksheets/_rels/sheet6.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428"/>
    <pageSetUpPr fitToPage="true"/>
  </sheetPr>
  <dimension ref="B1:D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26"/>
    <col collapsed="false" customWidth="true" hidden="false" outlineLevel="0" max="4" min="4" style="0" width="86"/>
  </cols>
  <sheetData>
    <row r="1" customFormat="false" ht="33.75" hidden="false" customHeight="true" outlineLevel="0" collapsed="false">
      <c r="B1" s="1" t="s">
        <v>0</v>
      </c>
    </row>
    <row r="2" customFormat="false" ht="15" hidden="false" customHeight="false" outlineLevel="0" collapsed="false">
      <c r="B2" s="2" t="s">
        <v>1</v>
      </c>
    </row>
    <row r="4" customFormat="false" ht="15" hidden="false" customHeight="false" outlineLevel="0" collapsed="false">
      <c r="B4" s="3" t="s">
        <v>2</v>
      </c>
    </row>
    <row r="5" customFormat="false" ht="66" hidden="false" customHeight="true" outlineLevel="0" collapsed="false">
      <c r="B5" s="4" t="s">
        <v>3</v>
      </c>
      <c r="C5" s="4"/>
      <c r="D5" s="4"/>
    </row>
    <row r="7" customFormat="false" ht="15" hidden="false" customHeight="false" outlineLevel="0" collapsed="false">
      <c r="B7" s="3" t="s">
        <v>4</v>
      </c>
    </row>
    <row r="8" customFormat="false" ht="30" hidden="false" customHeight="true" outlineLevel="0" collapsed="false">
      <c r="B8" s="5" t="n">
        <v>1</v>
      </c>
      <c r="C8" s="6" t="s">
        <v>5</v>
      </c>
      <c r="D8" s="7" t="s">
        <v>6</v>
      </c>
    </row>
    <row r="9" customFormat="false" ht="30" hidden="false" customHeight="true" outlineLevel="0" collapsed="false">
      <c r="B9" s="5" t="n">
        <v>2</v>
      </c>
      <c r="C9" s="6" t="s">
        <v>7</v>
      </c>
      <c r="D9" s="7" t="s">
        <v>8</v>
      </c>
    </row>
    <row r="10" customFormat="false" ht="30" hidden="false" customHeight="true" outlineLevel="0" collapsed="false">
      <c r="B10" s="5" t="n">
        <v>3</v>
      </c>
      <c r="C10" s="6" t="s">
        <v>9</v>
      </c>
      <c r="D10" s="7" t="s">
        <v>10</v>
      </c>
    </row>
    <row r="11" customFormat="false" ht="30" hidden="false" customHeight="true" outlineLevel="0" collapsed="false">
      <c r="B11" s="5" t="n">
        <v>4</v>
      </c>
      <c r="C11" s="6" t="s">
        <v>11</v>
      </c>
      <c r="D11" s="7" t="s">
        <v>12</v>
      </c>
    </row>
    <row r="12" customFormat="false" ht="30" hidden="false" customHeight="true" outlineLevel="0" collapsed="false">
      <c r="B12" s="5" t="n">
        <v>5</v>
      </c>
      <c r="C12" s="6" t="s">
        <v>13</v>
      </c>
      <c r="D12" s="7" t="s">
        <v>14</v>
      </c>
    </row>
    <row r="13" customFormat="false" ht="30" hidden="false" customHeight="true" outlineLevel="0" collapsed="false">
      <c r="B13" s="5" t="n">
        <v>6</v>
      </c>
      <c r="C13" s="6" t="s">
        <v>15</v>
      </c>
      <c r="D13" s="7" t="s">
        <v>16</v>
      </c>
    </row>
    <row r="15" customFormat="false" ht="15" hidden="false" customHeight="false" outlineLevel="0" collapsed="false">
      <c r="B15" s="3" t="s">
        <v>17</v>
      </c>
    </row>
    <row r="16" customFormat="false" ht="19.5" hidden="false" customHeight="true" outlineLevel="0" collapsed="false">
      <c r="C16" s="8" t="s">
        <v>18</v>
      </c>
      <c r="D16" s="9" t="s">
        <v>19</v>
      </c>
    </row>
    <row r="17" customFormat="false" ht="19.5" hidden="false" customHeight="true" outlineLevel="0" collapsed="false">
      <c r="C17" s="10" t="s">
        <v>20</v>
      </c>
      <c r="D17" s="9" t="s">
        <v>21</v>
      </c>
    </row>
    <row r="18" customFormat="false" ht="19.5" hidden="false" customHeight="true" outlineLevel="0" collapsed="false">
      <c r="C18" s="11" t="s">
        <v>22</v>
      </c>
      <c r="D18" s="9" t="s">
        <v>23</v>
      </c>
    </row>
    <row r="19" customFormat="false" ht="19.5" hidden="false" customHeight="true" outlineLevel="0" collapsed="false">
      <c r="C19" s="12" t="s">
        <v>24</v>
      </c>
      <c r="D19" s="9" t="s">
        <v>25</v>
      </c>
    </row>
    <row r="20" customFormat="false" ht="19.5" hidden="false" customHeight="true" outlineLevel="0" collapsed="false">
      <c r="C20" s="13" t="s">
        <v>26</v>
      </c>
      <c r="D20" s="9" t="s">
        <v>27</v>
      </c>
    </row>
    <row r="22" customFormat="false" ht="15" hidden="false" customHeight="false" outlineLevel="0" collapsed="false">
      <c r="B22" s="3" t="s">
        <v>28</v>
      </c>
    </row>
    <row r="23" customFormat="false" ht="18" hidden="false" customHeight="true" outlineLevel="0" collapsed="false">
      <c r="C23" s="14" t="s">
        <v>29</v>
      </c>
      <c r="D23" s="15" t="s">
        <v>30</v>
      </c>
    </row>
    <row r="24" customFormat="false" ht="18" hidden="false" customHeight="true" outlineLevel="0" collapsed="false">
      <c r="C24" s="14" t="s">
        <v>31</v>
      </c>
      <c r="D24" s="15" t="s">
        <v>32</v>
      </c>
    </row>
    <row r="25" customFormat="false" ht="18" hidden="false" customHeight="true" outlineLevel="0" collapsed="false">
      <c r="C25" s="14" t="s">
        <v>33</v>
      </c>
      <c r="D25" s="15" t="s">
        <v>34</v>
      </c>
    </row>
    <row r="26" customFormat="false" ht="18" hidden="false" customHeight="true" outlineLevel="0" collapsed="false">
      <c r="C26" s="14" t="s">
        <v>35</v>
      </c>
      <c r="D26" s="15" t="s">
        <v>36</v>
      </c>
    </row>
    <row r="27" customFormat="false" ht="18" hidden="false" customHeight="true" outlineLevel="0" collapsed="false">
      <c r="C27" s="14" t="s">
        <v>37</v>
      </c>
      <c r="D27" s="15" t="s">
        <v>38</v>
      </c>
    </row>
    <row r="28" customFormat="false" ht="18" hidden="false" customHeight="true" outlineLevel="0" collapsed="false">
      <c r="C28" s="14" t="s">
        <v>39</v>
      </c>
      <c r="D28" s="15" t="s">
        <v>40</v>
      </c>
    </row>
    <row r="30" customFormat="false" ht="30" hidden="false" customHeight="true" outlineLevel="0" collapsed="false">
      <c r="B30" s="16" t="s">
        <v>41</v>
      </c>
      <c r="C30" s="16"/>
      <c r="D30" s="16"/>
    </row>
    <row r="31" customFormat="false" ht="15" hidden="false" customHeight="false" outlineLevel="0" collapsed="false">
      <c r="B31" s="17" t="s">
        <v>42</v>
      </c>
    </row>
  </sheetData>
  <sheetProtection sheet="true" formatColumns="false" formatRows="false" sort="false" autoFilter="false"/>
  <mergeCells count="2">
    <mergeCell ref="B5:D5"/>
    <mergeCell ref="B30:D30"/>
  </mergeCell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4D"/>
    <pageSetUpPr fitToPage="true"/>
  </sheetPr>
  <dimension ref="B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64"/>
    <col collapsed="false" customWidth="true" hidden="false" outlineLevel="0" max="5" min="4" style="0" width="14"/>
    <col collapsed="false" customWidth="true" hidden="false" outlineLevel="0" max="7" min="6" style="0" width="12"/>
  </cols>
  <sheetData>
    <row r="1" customFormat="false" ht="33.75" hidden="false" customHeight="true" outlineLevel="0" collapsed="false">
      <c r="B1" s="1" t="s">
        <v>43</v>
      </c>
    </row>
    <row r="2" customFormat="false" ht="15" hidden="false" customHeight="false" outlineLevel="0" collapsed="false">
      <c r="B2" s="2" t="str">
        <f aca="false">"Quote "&amp;QNumber&amp;" for "&amp;QCustomer&amp;", plus the quote log."</f>
        <v>Quote TR-1044 for R. Castellanos, plus the quote log.</v>
      </c>
    </row>
    <row r="4" customFormat="false" ht="36" hidden="false" customHeight="true" outlineLevel="0" collapsed="false">
      <c r="B4" s="18" t="str">
        <f aca="false">IF(COUNTIF(G7:G20,"Review")=0,"All checks pass. The quote is ready to send.",COUNTIF(G7:G20,"Review")&amp;IF(COUNTIF(G7:G20,"Review")=1," check needs"," checks need")&amp;" review.")</f>
        <v>1 check needs review.</v>
      </c>
      <c r="C4" s="18"/>
      <c r="D4" s="18"/>
      <c r="E4" s="18"/>
      <c r="F4" s="18"/>
      <c r="G4" s="18"/>
    </row>
    <row r="6" customFormat="false" ht="24" hidden="false" customHeight="true" outlineLevel="0" collapsed="false">
      <c r="B6" s="19" t="s">
        <v>44</v>
      </c>
      <c r="C6" s="20" t="s">
        <v>45</v>
      </c>
      <c r="D6" s="19" t="s">
        <v>46</v>
      </c>
      <c r="E6" s="19" t="s">
        <v>47</v>
      </c>
      <c r="F6" s="19" t="s">
        <v>48</v>
      </c>
      <c r="G6" s="19" t="s">
        <v>49</v>
      </c>
    </row>
    <row r="7" customFormat="false" ht="25.5" hidden="false" customHeight="true" outlineLevel="0" collapsed="false">
      <c r="B7" s="21" t="n">
        <v>1</v>
      </c>
      <c r="C7" s="22" t="s">
        <v>50</v>
      </c>
      <c r="D7" s="23" t="n">
        <f aca="false">ql_TotalPrice</f>
        <v>6568.66</v>
      </c>
      <c r="E7" s="23" t="n">
        <f aca="false">QSub</f>
        <v>6568.66</v>
      </c>
      <c r="F7" s="23" t="n">
        <f aca="false">ROUND(D7-E7,2)</f>
        <v>0</v>
      </c>
      <c r="G7" s="24" t="str">
        <f aca="false">IF(F7=0,"OK","Review")</f>
        <v>OK</v>
      </c>
    </row>
    <row r="8" customFormat="false" ht="25.5" hidden="false" customHeight="true" outlineLevel="0" collapsed="false">
      <c r="B8" s="21" t="n">
        <v>2</v>
      </c>
      <c r="C8" s="22" t="s">
        <v>51</v>
      </c>
      <c r="D8" s="23" t="n">
        <f aca="false">SUM(qp_Amount)</f>
        <v>6568.66</v>
      </c>
      <c r="E8" s="23" t="n">
        <f aca="false">ql_TotalPrice</f>
        <v>6568.66</v>
      </c>
      <c r="F8" s="23" t="n">
        <f aca="false">ROUND(D8-E8,2)</f>
        <v>0</v>
      </c>
      <c r="G8" s="24" t="str">
        <f aca="false">IF(F8=0,"OK","Review")</f>
        <v>OK</v>
      </c>
    </row>
    <row r="9" customFormat="false" ht="25.5" hidden="false" customHeight="true" outlineLevel="0" collapsed="false">
      <c r="B9" s="21" t="n">
        <v>3</v>
      </c>
      <c r="C9" s="22" t="s">
        <v>52</v>
      </c>
      <c r="D9" s="23" t="n">
        <f aca="false">qp_Total</f>
        <v>6732.91</v>
      </c>
      <c r="E9" s="23" t="n">
        <f aca="false">QTotal</f>
        <v>6732.91</v>
      </c>
      <c r="F9" s="23" t="n">
        <f aca="false">ROUND(D9-E9,2)</f>
        <v>0</v>
      </c>
      <c r="G9" s="24" t="str">
        <f aca="false">IF(F9=0,"OK","Review")</f>
        <v>OK</v>
      </c>
    </row>
    <row r="10" customFormat="false" ht="25.5" hidden="false" customHeight="true" outlineLevel="0" collapsed="false">
      <c r="B10" s="21" t="n">
        <v>4</v>
      </c>
      <c r="C10" s="22" t="s">
        <v>53</v>
      </c>
      <c r="D10" s="23" t="n">
        <f aca="false">qp_Tax</f>
        <v>164.25</v>
      </c>
      <c r="E10" s="23" t="n">
        <f aca="false">ROUND(TaxRate*IF(TaxBasis="Whole quote",QSub+QMinAdj,QMat),2)</f>
        <v>164.25</v>
      </c>
      <c r="F10" s="23" t="n">
        <f aca="false">ROUND(D10-E10,2)</f>
        <v>0</v>
      </c>
      <c r="G10" s="24" t="str">
        <f aca="false">IF(F10=0,"OK","Review")</f>
        <v>OK</v>
      </c>
    </row>
    <row r="11" customFormat="false" ht="25.5" hidden="false" customHeight="true" outlineLevel="0" collapsed="false">
      <c r="B11" s="21" t="n">
        <v>5</v>
      </c>
      <c r="C11" s="22" t="s">
        <v>54</v>
      </c>
      <c r="D11" s="25" t="n">
        <f aca="false">SUMPRODUCT((ql_Service="")*(ql_Qty&lt;&gt;""))</f>
        <v>0</v>
      </c>
      <c r="E11" s="25" t="n">
        <f aca="false">0</f>
        <v>0</v>
      </c>
      <c r="F11" s="25" t="n">
        <f aca="false">ROUND(D11-E11,2)</f>
        <v>0</v>
      </c>
      <c r="G11" s="24" t="str">
        <f aca="false">IF(F11=0,"OK","Review")</f>
        <v>OK</v>
      </c>
    </row>
    <row r="12" customFormat="false" ht="25.5" hidden="false" customHeight="true" outlineLevel="0" collapsed="false">
      <c r="B12" s="21" t="n">
        <v>6</v>
      </c>
      <c r="C12" s="22" t="s">
        <v>55</v>
      </c>
      <c r="D12" s="25" t="n">
        <f aca="false">SUMPRODUCT((ql_Service&lt;&gt;"")*(ql_Qty=""))</f>
        <v>0</v>
      </c>
      <c r="E12" s="25" t="n">
        <f aca="false">0</f>
        <v>0</v>
      </c>
      <c r="F12" s="25" t="n">
        <f aca="false">ROUND(D12-E12,2)</f>
        <v>0</v>
      </c>
      <c r="G12" s="24" t="str">
        <f aca="false">IF(F12=0,"OK","Review")</f>
        <v>OK</v>
      </c>
    </row>
    <row r="13" customFormat="false" ht="25.5" hidden="false" customHeight="true" outlineLevel="0" collapsed="false">
      <c r="B13" s="21" t="n">
        <v>7</v>
      </c>
      <c r="C13" s="22" t="s">
        <v>56</v>
      </c>
      <c r="D13" s="25" t="n">
        <f aca="false">COUNTIF(ql_Unit,"Not in catalog")</f>
        <v>0</v>
      </c>
      <c r="E13" s="25" t="n">
        <f aca="false">0</f>
        <v>0</v>
      </c>
      <c r="F13" s="25" t="n">
        <f aca="false">ROUND(D13-E13,2)</f>
        <v>0</v>
      </c>
      <c r="G13" s="24" t="str">
        <f aca="false">IF(F13=0,"OK","Review")</f>
        <v>OK</v>
      </c>
    </row>
    <row r="14" customFormat="false" ht="25.5" hidden="false" customHeight="true" outlineLevel="0" collapsed="false">
      <c r="B14" s="21" t="n">
        <v>8</v>
      </c>
      <c r="C14" s="22" t="s">
        <v>57</v>
      </c>
      <c r="D14" s="25" t="n">
        <f aca="false">IF(QMargin&lt;TargetMargin,1,0)</f>
        <v>0</v>
      </c>
      <c r="E14" s="25" t="n">
        <f aca="false">0</f>
        <v>0</v>
      </c>
      <c r="F14" s="25" t="n">
        <f aca="false">ROUND(D14-E14,2)</f>
        <v>0</v>
      </c>
      <c r="G14" s="24" t="str">
        <f aca="false">IF(F14=0,"OK","Review")</f>
        <v>OK</v>
      </c>
    </row>
    <row r="15" customFormat="false" ht="25.5" hidden="false" customHeight="true" outlineLevel="0" collapsed="false">
      <c r="B15" s="21" t="n">
        <v>9</v>
      </c>
      <c r="C15" s="22" t="s">
        <v>58</v>
      </c>
      <c r="D15" s="25" t="n">
        <f aca="false">COUNTIF(lg_No,QNumber)</f>
        <v>0</v>
      </c>
      <c r="E15" s="25" t="n">
        <f aca="false">0</f>
        <v>0</v>
      </c>
      <c r="F15" s="25" t="n">
        <f aca="false">ROUND(D15-E15,2)</f>
        <v>0</v>
      </c>
      <c r="G15" s="24" t="str">
        <f aca="false">IF(F15=0,"OK","Review")</f>
        <v>OK</v>
      </c>
    </row>
    <row r="16" customFormat="false" ht="25.5" hidden="false" customHeight="true" outlineLevel="0" collapsed="false">
      <c r="B16" s="21" t="n">
        <v>10</v>
      </c>
      <c r="C16" s="22" t="s">
        <v>59</v>
      </c>
      <c r="D16" s="25" t="n">
        <f aca="false">COUNTIF(lg_Flag,"Past valid date")</f>
        <v>2</v>
      </c>
      <c r="E16" s="25" t="n">
        <f aca="false">0</f>
        <v>0</v>
      </c>
      <c r="F16" s="25" t="n">
        <f aca="false">ROUND(D16-E16,2)</f>
        <v>2</v>
      </c>
      <c r="G16" s="24" t="str">
        <f aca="false">IF(F16=0,"OK","Review")</f>
        <v>Review</v>
      </c>
    </row>
    <row r="18" customFormat="false" ht="15" hidden="false" customHeight="false" outlineLevel="0" collapsed="false">
      <c r="B18" s="3" t="s">
        <v>60</v>
      </c>
    </row>
    <row r="19" customFormat="false" ht="19.5" hidden="false" customHeight="true" outlineLevel="0" collapsed="false">
      <c r="B19" s="4" t="s">
        <v>61</v>
      </c>
      <c r="C19" s="4"/>
      <c r="D19" s="4"/>
      <c r="E19" s="4"/>
      <c r="F19" s="4"/>
      <c r="G19" s="4"/>
    </row>
    <row r="20" customFormat="false" ht="19.5" hidden="false" customHeight="true" outlineLevel="0" collapsed="false">
      <c r="B20" s="4" t="s">
        <v>62</v>
      </c>
      <c r="C20" s="4"/>
      <c r="D20" s="4"/>
      <c r="E20" s="4"/>
      <c r="F20" s="4"/>
      <c r="G20" s="4"/>
    </row>
    <row r="22" customFormat="false" ht="15" hidden="false" customHeight="false" outlineLevel="0" collapsed="false">
      <c r="B22" s="26" t="s">
        <v>42</v>
      </c>
    </row>
  </sheetData>
  <sheetProtection sheet="true" formatColumns="false" formatRows="false" sort="false" autoFilter="false"/>
  <mergeCells count="3">
    <mergeCell ref="B4:G4"/>
    <mergeCell ref="B19:G19"/>
    <mergeCell ref="B20:G20"/>
  </mergeCells>
  <conditionalFormatting sqref="B4:G4">
    <cfRule type="expression" priority="2" aboveAverage="0" equalAverage="0" bottom="0" percent="0" rank="0" text="" dxfId="0">
      <formula>COUNTIF($G$7:$G$20,"Review")=0</formula>
    </cfRule>
    <cfRule type="expression" priority="3" aboveAverage="0" equalAverage="0" bottom="0" percent="0" rank="0" text="" dxfId="1">
      <formula>COUNTIF($G$7:$G$20,"Review")&gt;0</formula>
    </cfRule>
  </conditionalFormatting>
  <conditionalFormatting sqref="G7:G16">
    <cfRule type="expression" priority="4" aboveAverage="0" equalAverage="0" bottom="0" percent="0" rank="0" text="" dxfId="0">
      <formula>$G7="OK"</formula>
    </cfRule>
    <cfRule type="expression" priority="5" aboveAverage="0" equalAverage="0" bottom="0" percent="0" rank="0" text="" dxfId="1">
      <formula>AND($G7&lt;&gt;"",$G7&lt;&gt;"OK")</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2502E"/>
    <pageSetUpPr fitToPage="true"/>
  </sheetPr>
  <dimension ref="B1:P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34"/>
    <col collapsed="false" customWidth="true" hidden="false" outlineLevel="0" max="4" min="4" style="0" width="10"/>
    <col collapsed="false" customWidth="true" hidden="false" outlineLevel="0" max="5" min="5" style="0" width="12"/>
    <col collapsed="false" customWidth="true" hidden="false" outlineLevel="0" max="6" min="6" style="0" width="30"/>
    <col collapsed="false" customWidth="true" hidden="false" outlineLevel="0" max="7" min="7" style="0" width="10"/>
    <col collapsed="false" customWidth="true" hidden="false" outlineLevel="0" max="8" min="8" style="0" width="11"/>
    <col collapsed="false" customWidth="true" hidden="false" outlineLevel="0" max="9" min="9" style="0" width="10"/>
    <col collapsed="false" customWidth="true" hidden="false" outlineLevel="0" max="10" min="10" style="0" width="13"/>
    <col collapsed="false" customWidth="true" hidden="false" outlineLevel="0" max="13" min="11" style="0" width="12"/>
    <col collapsed="false" customWidth="true" hidden="false" outlineLevel="0" max="14" min="14" style="0" width="3"/>
    <col collapsed="false" customWidth="true" hidden="false" outlineLevel="0" max="15" min="15" style="0" width="26"/>
    <col collapsed="false" customWidth="true" hidden="false" outlineLevel="0" max="16" min="16" style="0" width="14"/>
  </cols>
  <sheetData>
    <row r="1" customFormat="false" ht="33.75" hidden="false" customHeight="true" outlineLevel="0" collapsed="false">
      <c r="B1" s="1" t="s">
        <v>63</v>
      </c>
    </row>
    <row r="2" customFormat="false" ht="18" hidden="false" customHeight="true" outlineLevel="0" collapsed="false">
      <c r="B2" s="27" t="s">
        <v>64</v>
      </c>
    </row>
    <row r="3" customFormat="false" ht="15" hidden="false" customHeight="false" outlineLevel="0" collapsed="false">
      <c r="C3" s="28" t="s">
        <v>65</v>
      </c>
      <c r="F3" s="28" t="s">
        <v>66</v>
      </c>
    </row>
    <row r="4" customFormat="false" ht="19.5" hidden="false" customHeight="true" outlineLevel="0" collapsed="false">
      <c r="B4" s="29"/>
      <c r="C4" s="30" t="s">
        <v>67</v>
      </c>
      <c r="E4" s="29"/>
      <c r="F4" s="31" t="n">
        <v>46304</v>
      </c>
      <c r="H4" s="28" t="s">
        <v>68</v>
      </c>
      <c r="J4" s="28" t="s">
        <v>69</v>
      </c>
    </row>
    <row r="5" customFormat="false" ht="19.5" hidden="false" customHeight="true" outlineLevel="0" collapsed="false">
      <c r="B5" s="29"/>
      <c r="C5" s="30" t="s">
        <v>70</v>
      </c>
      <c r="E5" s="29"/>
      <c r="F5" s="30" t="s">
        <v>71</v>
      </c>
      <c r="H5" s="32" t="str">
        <f aca="false">QPrefix&amp;NextNo</f>
        <v>TR-1044</v>
      </c>
      <c r="J5" s="33" t="n">
        <f aca="false">QDate+ValidDays</f>
        <v>46334</v>
      </c>
    </row>
    <row r="7" customFormat="false" ht="33.75" hidden="false" customHeight="true" outlineLevel="0" collapsed="false">
      <c r="B7" s="34" t="s">
        <v>44</v>
      </c>
      <c r="C7" s="34" t="s">
        <v>72</v>
      </c>
      <c r="D7" s="34" t="s">
        <v>73</v>
      </c>
      <c r="E7" s="34" t="s">
        <v>74</v>
      </c>
      <c r="F7" s="34" t="s">
        <v>75</v>
      </c>
      <c r="G7" s="35" t="s">
        <v>76</v>
      </c>
      <c r="H7" s="35" t="s">
        <v>77</v>
      </c>
      <c r="I7" s="35" t="s">
        <v>78</v>
      </c>
      <c r="J7" s="35" t="s">
        <v>79</v>
      </c>
      <c r="K7" s="35" t="s">
        <v>80</v>
      </c>
      <c r="L7" s="35" t="s">
        <v>81</v>
      </c>
      <c r="M7" s="35" t="s">
        <v>82</v>
      </c>
      <c r="O7" s="36" t="s">
        <v>83</v>
      </c>
      <c r="P7" s="37"/>
    </row>
    <row r="8" customFormat="false" ht="18.75" hidden="false" customHeight="true" outlineLevel="0" collapsed="false">
      <c r="B8" s="21" t="n">
        <v>1</v>
      </c>
      <c r="C8" s="38" t="s">
        <v>84</v>
      </c>
      <c r="D8" s="39" t="n">
        <v>3</v>
      </c>
      <c r="E8" s="39" t="s">
        <v>85</v>
      </c>
      <c r="F8" s="38"/>
      <c r="G8" s="40" t="str">
        <f aca="false">IF(C8="","",IFERROR(INDEX(cat_Unit,MATCH($C8,cat_Desc,0)),"Not in catalog"))</f>
        <v>room</v>
      </c>
      <c r="H8" s="23" t="n">
        <f aca="false">IF(OR(C8="",N(D8)=0),"",ROUND(D8*INDEX(cat_Mat,MATCH($C8,cat_Desc,0))*(1+INDEX(cat_Waste,MATCH($C8,cat_Desc,0))),2))</f>
        <v>54</v>
      </c>
      <c r="I8" s="41" t="n">
        <f aca="false">IF(OR(C8="",N(D8)=0),"",ROUND(D8*INDEX(cat_Hrs,MATCH($C8,cat_Desc,0))*IFERROR(INDEX(DiffFactor,MATCH(IF(E8="","Standard",E8),DiffList,0)),1),2))</f>
        <v>1.5</v>
      </c>
      <c r="J8" s="23" t="n">
        <f aca="false">IF(H8="","",ROUND(H8*(1+MatMarkup),2))</f>
        <v>67.5</v>
      </c>
      <c r="K8" s="23" t="n">
        <f aca="false">IF(I8="","",ROUND(I8*LaborRate,2))</f>
        <v>102</v>
      </c>
      <c r="L8" s="42" t="n">
        <f aca="false">IF(J8="","",J8+K8)</f>
        <v>169.5</v>
      </c>
      <c r="M8" s="23" t="n">
        <f aca="false">IF(H8="","",ROUND(H8+I8*LaborCost,2))</f>
        <v>105</v>
      </c>
      <c r="O8" s="43" t="s">
        <v>86</v>
      </c>
      <c r="P8" s="44" t="n">
        <f aca="false">SUM(ql_MatPrice)</f>
        <v>2737.54</v>
      </c>
    </row>
    <row r="9" customFormat="false" ht="18.75" hidden="false" customHeight="true" outlineLevel="0" collapsed="false">
      <c r="B9" s="21" t="n">
        <v>2</v>
      </c>
      <c r="C9" s="38" t="s">
        <v>87</v>
      </c>
      <c r="D9" s="39" t="n">
        <v>320</v>
      </c>
      <c r="E9" s="39" t="s">
        <v>85</v>
      </c>
      <c r="F9" s="38" t="s">
        <v>88</v>
      </c>
      <c r="G9" s="40" t="str">
        <f aca="false">IF(C9="","",IFERROR(INDEX(cat_Unit,MATCH($C9,cat_Desc,0)),"Not in catalog"))</f>
        <v>sq ft</v>
      </c>
      <c r="H9" s="23" t="n">
        <f aca="false">IF(OR(C9="",N(D9)=0),"",ROUND(D9*INDEX(cat_Mat,MATCH($C9,cat_Desc,0))*(1+INDEX(cat_Waste,MATCH($C9,cat_Desc,0))),2))</f>
        <v>0</v>
      </c>
      <c r="I9" s="41" t="n">
        <f aca="false">IF(OR(C9="",N(D9)=0),"",ROUND(D9*INDEX(cat_Hrs,MATCH($C9,cat_Desc,0))*IFERROR(INDEX(DiffFactor,MATCH(IF(E9="","Standard",E9),DiffList,0)),1),2))</f>
        <v>6.4</v>
      </c>
      <c r="J9" s="23" t="n">
        <f aca="false">IF(H9="","",ROUND(H9*(1+MatMarkup),2))</f>
        <v>0</v>
      </c>
      <c r="K9" s="23" t="n">
        <f aca="false">IF(I9="","",ROUND(I9*LaborRate,2))</f>
        <v>435.2</v>
      </c>
      <c r="L9" s="42" t="n">
        <f aca="false">IF(J9="","",J9+K9)</f>
        <v>435.2</v>
      </c>
      <c r="M9" s="23" t="n">
        <f aca="false">IF(H9="","",ROUND(H9+I9*LaborCost,2))</f>
        <v>217.6</v>
      </c>
      <c r="O9" s="43" t="s">
        <v>89</v>
      </c>
      <c r="P9" s="44" t="n">
        <f aca="false">SUM(ql_LabPrice)</f>
        <v>3831.12</v>
      </c>
    </row>
    <row r="10" customFormat="false" ht="18.75" hidden="false" customHeight="true" outlineLevel="0" collapsed="false">
      <c r="B10" s="21" t="n">
        <v>3</v>
      </c>
      <c r="C10" s="38" t="s">
        <v>90</v>
      </c>
      <c r="D10" s="39" t="n">
        <v>320</v>
      </c>
      <c r="E10" s="39" t="s">
        <v>91</v>
      </c>
      <c r="F10" s="38" t="s">
        <v>92</v>
      </c>
      <c r="G10" s="40" t="str">
        <f aca="false">IF(C10="","",IFERROR(INDEX(cat_Unit,MATCH($C10,cat_Desc,0)),"Not in catalog"))</f>
        <v>sq ft</v>
      </c>
      <c r="H10" s="23" t="n">
        <f aca="false">IF(OR(C10="",N(D10)=0),"",ROUND(D10*INDEX(cat_Mat,MATCH($C10,cat_Desc,0))*(1+INDEX(cat_Waste,MATCH($C10,cat_Desc,0))),2))</f>
        <v>1175.04</v>
      </c>
      <c r="I10" s="41" t="n">
        <f aca="false">IF(OR(C10="",N(D10)=0),"",ROUND(D10*INDEX(cat_Hrs,MATCH($C10,cat_Desc,0))*IFERROR(INDEX(DiffFactor,MATCH(IF(E10="","Standard",E10),DiffList,0)),1),2))</f>
        <v>12.88</v>
      </c>
      <c r="J10" s="23" t="n">
        <f aca="false">IF(H10="","",ROUND(H10*(1+MatMarkup),2))</f>
        <v>1468.8</v>
      </c>
      <c r="K10" s="23" t="n">
        <f aca="false">IF(I10="","",ROUND(I10*LaborRate,2))</f>
        <v>875.84</v>
      </c>
      <c r="L10" s="42" t="n">
        <f aca="false">IF(J10="","",J10+K10)</f>
        <v>2344.64</v>
      </c>
      <c r="M10" s="23" t="n">
        <f aca="false">IF(H10="","",ROUND(H10+I10*LaborCost,2))</f>
        <v>1612.96</v>
      </c>
      <c r="O10" s="43" t="s">
        <v>93</v>
      </c>
      <c r="P10" s="44" t="n">
        <f aca="false">P8+P9</f>
        <v>6568.66</v>
      </c>
    </row>
    <row r="11" customFormat="false" ht="18.75" hidden="false" customHeight="true" outlineLevel="0" collapsed="false">
      <c r="B11" s="21" t="n">
        <v>4</v>
      </c>
      <c r="C11" s="38" t="s">
        <v>94</v>
      </c>
      <c r="D11" s="39" t="n">
        <v>96</v>
      </c>
      <c r="E11" s="39" t="s">
        <v>85</v>
      </c>
      <c r="F11" s="38"/>
      <c r="G11" s="40" t="str">
        <f aca="false">IF(C11="","",IFERROR(INDEX(cat_Unit,MATCH($C11,cat_Desc,0)),"Not in catalog"))</f>
        <v>linear ft</v>
      </c>
      <c r="H11" s="23" t="n">
        <f aca="false">IF(OR(C11="",N(D11)=0),"",ROUND(D11*INDEX(cat_Mat,MATCH($C11,cat_Desc,0))*(1+INDEX(cat_Waste,MATCH($C11,cat_Desc,0))),2))</f>
        <v>171.07</v>
      </c>
      <c r="I11" s="41" t="n">
        <f aca="false">IF(OR(C11="",N(D11)=0),"",ROUND(D11*INDEX(cat_Hrs,MATCH($C11,cat_Desc,0))*IFERROR(INDEX(DiffFactor,MATCH(IF(E11="","Standard",E11),DiffList,0)),1),2))</f>
        <v>4.8</v>
      </c>
      <c r="J11" s="23" t="n">
        <f aca="false">IF(H11="","",ROUND(H11*(1+MatMarkup),2))</f>
        <v>213.84</v>
      </c>
      <c r="K11" s="23" t="n">
        <f aca="false">IF(I11="","",ROUND(I11*LaborRate,2))</f>
        <v>326.4</v>
      </c>
      <c r="L11" s="42" t="n">
        <f aca="false">IF(J11="","",J11+K11)</f>
        <v>540.24</v>
      </c>
      <c r="M11" s="23" t="n">
        <f aca="false">IF(H11="","",ROUND(H11+I11*LaborCost,2))</f>
        <v>334.27</v>
      </c>
      <c r="O11" s="43" t="s">
        <v>95</v>
      </c>
      <c r="P11" s="45" t="n">
        <f aca="false">IF(P10=0,0,MAX(0,MinJob-P10))</f>
        <v>0</v>
      </c>
    </row>
    <row r="12" customFormat="false" ht="18.75" hidden="false" customHeight="true" outlineLevel="0" collapsed="false">
      <c r="B12" s="21" t="n">
        <v>5</v>
      </c>
      <c r="C12" s="38" t="s">
        <v>96</v>
      </c>
      <c r="D12" s="39" t="n">
        <v>2</v>
      </c>
      <c r="E12" s="39" t="s">
        <v>85</v>
      </c>
      <c r="F12" s="38"/>
      <c r="G12" s="40" t="str">
        <f aca="false">IF(C12="","",IFERROR(INDEX(cat_Unit,MATCH($C12,cat_Desc,0)),"Not in catalog"))</f>
        <v>each</v>
      </c>
      <c r="H12" s="23" t="n">
        <f aca="false">IF(OR(C12="",N(D12)=0),"",ROUND(D12*INDEX(cat_Mat,MATCH($C12,cat_Desc,0))*(1+INDEX(cat_Waste,MATCH($C12,cat_Desc,0))),2))</f>
        <v>44</v>
      </c>
      <c r="I12" s="41" t="n">
        <f aca="false">IF(OR(C12="",N(D12)=0),"",ROUND(D12*INDEX(cat_Hrs,MATCH($C12,cat_Desc,0))*IFERROR(INDEX(DiffFactor,MATCH(IF(E12="","Standard",E12),DiffList,0)),1),2))</f>
        <v>0.8</v>
      </c>
      <c r="J12" s="23" t="n">
        <f aca="false">IF(H12="","",ROUND(H12*(1+MatMarkup),2))</f>
        <v>55</v>
      </c>
      <c r="K12" s="23" t="n">
        <f aca="false">IF(I12="","",ROUND(I12*LaborRate,2))</f>
        <v>54.4</v>
      </c>
      <c r="L12" s="42" t="n">
        <f aca="false">IF(J12="","",J12+K12)</f>
        <v>109.4</v>
      </c>
      <c r="M12" s="23" t="n">
        <f aca="false">IF(H12="","",ROUND(H12+I12*LaborCost,2))</f>
        <v>71.2</v>
      </c>
      <c r="O12" s="43" t="s">
        <v>97</v>
      </c>
      <c r="P12" s="44" t="n">
        <f aca="false">ROUND(TaxRate*IF(TaxBasis="Whole quote",P10+P11,P8),2)</f>
        <v>164.25</v>
      </c>
    </row>
    <row r="13" customFormat="false" ht="18.75" hidden="false" customHeight="true" outlineLevel="0" collapsed="false">
      <c r="B13" s="21" t="n">
        <v>6</v>
      </c>
      <c r="C13" s="38" t="s">
        <v>98</v>
      </c>
      <c r="D13" s="39" t="n">
        <v>4</v>
      </c>
      <c r="E13" s="39" t="s">
        <v>85</v>
      </c>
      <c r="F13" s="38"/>
      <c r="G13" s="40" t="str">
        <f aca="false">IF(C13="","",IFERROR(INDEX(cat_Unit,MATCH($C13,cat_Desc,0)),"Not in catalog"))</f>
        <v>each</v>
      </c>
      <c r="H13" s="23" t="n">
        <f aca="false">IF(OR(C13="",N(D13)=0),"",ROUND(D13*INDEX(cat_Mat,MATCH($C13,cat_Desc,0))*(1+INDEX(cat_Waste,MATCH($C13,cat_Desc,0))),2))</f>
        <v>32</v>
      </c>
      <c r="I13" s="41" t="n">
        <f aca="false">IF(OR(C13="",N(D13)=0),"",ROUND(D13*INDEX(cat_Hrs,MATCH($C13,cat_Desc,0))*IFERROR(INDEX(DiffFactor,MATCH(IF(E13="","Standard",E13),DiffList,0)),1),2))</f>
        <v>4</v>
      </c>
      <c r="J13" s="23" t="n">
        <f aca="false">IF(H13="","",ROUND(H13*(1+MatMarkup),2))</f>
        <v>40</v>
      </c>
      <c r="K13" s="23" t="n">
        <f aca="false">IF(I13="","",ROUND(I13*LaborRate,2))</f>
        <v>272</v>
      </c>
      <c r="L13" s="42" t="n">
        <f aca="false">IF(J13="","",J13+K13)</f>
        <v>312</v>
      </c>
      <c r="M13" s="23" t="n">
        <f aca="false">IF(H13="","",ROUND(H13+I13*LaborCost,2))</f>
        <v>168</v>
      </c>
      <c r="O13" s="46" t="s">
        <v>99</v>
      </c>
      <c r="P13" s="47" t="n">
        <f aca="false">P10+P11+P12</f>
        <v>6732.91</v>
      </c>
    </row>
    <row r="14" customFormat="false" ht="18.75" hidden="false" customHeight="true" outlineLevel="0" collapsed="false">
      <c r="B14" s="21" t="n">
        <v>7</v>
      </c>
      <c r="C14" s="38" t="s">
        <v>100</v>
      </c>
      <c r="D14" s="39" t="n">
        <v>780</v>
      </c>
      <c r="E14" s="39" t="s">
        <v>85</v>
      </c>
      <c r="F14" s="38" t="s">
        <v>101</v>
      </c>
      <c r="G14" s="40" t="str">
        <f aca="false">IF(C14="","",IFERROR(INDEX(cat_Unit,MATCH($C14,cat_Desc,0)),"Not in catalog"))</f>
        <v>sq ft</v>
      </c>
      <c r="H14" s="23" t="n">
        <f aca="false">IF(OR(C14="",N(D14)=0),"",ROUND(D14*INDEX(cat_Mat,MATCH($C14,cat_Desc,0))*(1+INDEX(cat_Waste,MATCH($C14,cat_Desc,0))),2))</f>
        <v>274.56</v>
      </c>
      <c r="I14" s="41" t="n">
        <f aca="false">IF(OR(C14="",N(D14)=0),"",ROUND(D14*INDEX(cat_Hrs,MATCH($C14,cat_Desc,0))*IFERROR(INDEX(DiffFactor,MATCH(IF(E14="","Standard",E14),DiffList,0)),1),2))</f>
        <v>9.36</v>
      </c>
      <c r="J14" s="23" t="n">
        <f aca="false">IF(H14="","",ROUND(H14*(1+MatMarkup),2))</f>
        <v>343.2</v>
      </c>
      <c r="K14" s="23" t="n">
        <f aca="false">IF(I14="","",ROUND(I14*LaborRate,2))</f>
        <v>636.48</v>
      </c>
      <c r="L14" s="42" t="n">
        <f aca="false">IF(J14="","",J14+K14)</f>
        <v>979.68</v>
      </c>
      <c r="M14" s="23" t="n">
        <f aca="false">IF(H14="","",ROUND(H14+I14*LaborCost,2))</f>
        <v>592.8</v>
      </c>
      <c r="O14" s="43" t="s">
        <v>102</v>
      </c>
      <c r="P14" s="44" t="n">
        <f aca="false">ROUND(P13*DepositPct,2)</f>
        <v>2356.52</v>
      </c>
    </row>
    <row r="15" customFormat="false" ht="18.75" hidden="false" customHeight="true" outlineLevel="0" collapsed="false">
      <c r="B15" s="21" t="n">
        <v>8</v>
      </c>
      <c r="C15" s="38" t="s">
        <v>103</v>
      </c>
      <c r="D15" s="39" t="n">
        <v>320</v>
      </c>
      <c r="E15" s="39" t="s">
        <v>85</v>
      </c>
      <c r="F15" s="38"/>
      <c r="G15" s="40" t="str">
        <f aca="false">IF(C15="","",IFERROR(INDEX(cat_Unit,MATCH($C15,cat_Desc,0)),"Not in catalog"))</f>
        <v>sq ft</v>
      </c>
      <c r="H15" s="23" t="n">
        <f aca="false">IF(OR(C15="",N(D15)=0),"",ROUND(D15*INDEX(cat_Mat,MATCH($C15,cat_Desc,0))*(1+INDEX(cat_Waste,MATCH($C15,cat_Desc,0))),2))</f>
        <v>98.56</v>
      </c>
      <c r="I15" s="41" t="n">
        <f aca="false">IF(OR(C15="",N(D15)=0),"",ROUND(D15*INDEX(cat_Hrs,MATCH($C15,cat_Desc,0))*IFERROR(INDEX(DiffFactor,MATCH(IF(E15="","Standard",E15),DiffList,0)),1),2))</f>
        <v>5.12</v>
      </c>
      <c r="J15" s="23" t="n">
        <f aca="false">IF(H15="","",ROUND(H15*(1+MatMarkup),2))</f>
        <v>123.2</v>
      </c>
      <c r="K15" s="23" t="n">
        <f aca="false">IF(I15="","",ROUND(I15*LaborRate,2))</f>
        <v>348.16</v>
      </c>
      <c r="L15" s="42" t="n">
        <f aca="false">IF(J15="","",J15+K15)</f>
        <v>471.36</v>
      </c>
      <c r="M15" s="23" t="n">
        <f aca="false">IF(H15="","",ROUND(H15+I15*LaborCost,2))</f>
        <v>272.64</v>
      </c>
      <c r="O15" s="43" t="s">
        <v>104</v>
      </c>
      <c r="P15" s="44" t="n">
        <f aca="false">P13-P14</f>
        <v>4376.39</v>
      </c>
    </row>
    <row r="16" customFormat="false" ht="18.75" hidden="false" customHeight="true" outlineLevel="0" collapsed="false">
      <c r="B16" s="21" t="n">
        <v>9</v>
      </c>
      <c r="C16" s="38" t="s">
        <v>105</v>
      </c>
      <c r="D16" s="39" t="n">
        <v>3</v>
      </c>
      <c r="E16" s="39" t="s">
        <v>85</v>
      </c>
      <c r="F16" s="38"/>
      <c r="G16" s="40" t="str">
        <f aca="false">IF(C16="","",IFERROR(INDEX(cat_Unit,MATCH($C16,cat_Desc,0)),"Not in catalog"))</f>
        <v>each</v>
      </c>
      <c r="H16" s="23" t="n">
        <f aca="false">IF(OR(C16="",N(D16)=0),"",ROUND(D16*INDEX(cat_Mat,MATCH($C16,cat_Desc,0))*(1+INDEX(cat_Waste,MATCH($C16,cat_Desc,0))),2))</f>
        <v>27</v>
      </c>
      <c r="I16" s="41" t="n">
        <f aca="false">IF(OR(C16="",N(D16)=0),"",ROUND(D16*INDEX(cat_Hrs,MATCH($C16,cat_Desc,0))*IFERROR(INDEX(DiffFactor,MATCH(IF(E16="","Standard",E16),DiffList,0)),1),2))</f>
        <v>2.7</v>
      </c>
      <c r="J16" s="23" t="n">
        <f aca="false">IF(H16="","",ROUND(H16*(1+MatMarkup),2))</f>
        <v>33.75</v>
      </c>
      <c r="K16" s="23" t="n">
        <f aca="false">IF(I16="","",ROUND(I16*LaborRate,2))</f>
        <v>183.6</v>
      </c>
      <c r="L16" s="42" t="n">
        <f aca="false">IF(J16="","",J16+K16)</f>
        <v>217.35</v>
      </c>
      <c r="M16" s="23" t="n">
        <f aca="false">IF(H16="","",ROUND(H16+I16*LaborCost,2))</f>
        <v>118.8</v>
      </c>
    </row>
    <row r="17" customFormat="false" ht="18.75" hidden="false" customHeight="true" outlineLevel="0" collapsed="false">
      <c r="B17" s="21" t="n">
        <v>10</v>
      </c>
      <c r="C17" s="38" t="s">
        <v>106</v>
      </c>
      <c r="D17" s="39" t="n">
        <v>32</v>
      </c>
      <c r="E17" s="39" t="s">
        <v>107</v>
      </c>
      <c r="F17" s="38" t="s">
        <v>108</v>
      </c>
      <c r="G17" s="40" t="str">
        <f aca="false">IF(C17="","",IFERROR(INDEX(cat_Unit,MATCH($C17,cat_Desc,0)),"Not in catalog"))</f>
        <v>sq ft</v>
      </c>
      <c r="H17" s="23" t="n">
        <f aca="false">IF(OR(C17="",N(D17)=0),"",ROUND(D17*INDEX(cat_Mat,MATCH($C17,cat_Desc,0))*(1+INDEX(cat_Waste,MATCH($C17,cat_Desc,0))),2))</f>
        <v>228.8</v>
      </c>
      <c r="I17" s="41" t="n">
        <f aca="false">IF(OR(C17="",N(D17)=0),"",ROUND(D17*INDEX(cat_Hrs,MATCH($C17,cat_Desc,0))*IFERROR(INDEX(DiffFactor,MATCH(IF(E17="","Standard",E17),DiffList,0)),1),2))</f>
        <v>7.78</v>
      </c>
      <c r="J17" s="23" t="n">
        <f aca="false">IF(H17="","",ROUND(H17*(1+MatMarkup),2))</f>
        <v>286</v>
      </c>
      <c r="K17" s="23" t="n">
        <f aca="false">IF(I17="","",ROUND(I17*LaborRate,2))</f>
        <v>529.04</v>
      </c>
      <c r="L17" s="42" t="n">
        <f aca="false">IF(J17="","",J17+K17)</f>
        <v>815.04</v>
      </c>
      <c r="M17" s="23" t="n">
        <f aca="false">IF(H17="","",ROUND(H17+I17*LaborCost,2))</f>
        <v>493.32</v>
      </c>
      <c r="O17" s="48" t="s">
        <v>109</v>
      </c>
      <c r="P17" s="44" t="n">
        <f aca="false">SUM(ql_Cost)</f>
        <v>4105.59</v>
      </c>
    </row>
    <row r="18" customFormat="false" ht="18.75" hidden="false" customHeight="true" outlineLevel="0" collapsed="false">
      <c r="B18" s="21" t="n">
        <v>11</v>
      </c>
      <c r="C18" s="38" t="s">
        <v>110</v>
      </c>
      <c r="D18" s="39" t="n">
        <v>1</v>
      </c>
      <c r="E18" s="39" t="s">
        <v>85</v>
      </c>
      <c r="F18" s="38"/>
      <c r="G18" s="40" t="str">
        <f aca="false">IF(C18="","",IFERROR(INDEX(cat_Unit,MATCH($C18,cat_Desc,0)),"Not in catalog"))</f>
        <v>load</v>
      </c>
      <c r="H18" s="23" t="n">
        <f aca="false">IF(OR(C18="",N(D18)=0),"",ROUND(D18*INDEX(cat_Mat,MATCH($C18,cat_Desc,0))*(1+INDEX(cat_Waste,MATCH($C18,cat_Desc,0))),2))</f>
        <v>85</v>
      </c>
      <c r="I18" s="41" t="n">
        <f aca="false">IF(OR(C18="",N(D18)=0),"",ROUND(D18*INDEX(cat_Hrs,MATCH($C18,cat_Desc,0))*IFERROR(INDEX(DiffFactor,MATCH(IF(E18="","Standard",E18),DiffList,0)),1),2))</f>
        <v>1</v>
      </c>
      <c r="J18" s="23" t="n">
        <f aca="false">IF(H18="","",ROUND(H18*(1+MatMarkup),2))</f>
        <v>106.25</v>
      </c>
      <c r="K18" s="23" t="n">
        <f aca="false">IF(I18="","",ROUND(I18*LaborRate,2))</f>
        <v>68</v>
      </c>
      <c r="L18" s="42" t="n">
        <f aca="false">IF(J18="","",J18+K18)</f>
        <v>174.25</v>
      </c>
      <c r="M18" s="23" t="n">
        <f aca="false">IF(H18="","",ROUND(H18+I18*LaborCost,2))</f>
        <v>119</v>
      </c>
      <c r="O18" s="48" t="s">
        <v>111</v>
      </c>
      <c r="P18" s="49" t="n">
        <f aca="false">IF(P10+P11=0,0,(P10+P11-P17)/(P10+P11))</f>
        <v>0.374972977745842</v>
      </c>
    </row>
    <row r="19" customFormat="false" ht="18.75" hidden="false" customHeight="true" outlineLevel="0" collapsed="false">
      <c r="B19" s="21" t="n">
        <v>12</v>
      </c>
      <c r="C19" s="38"/>
      <c r="D19" s="39"/>
      <c r="E19" s="39"/>
      <c r="F19" s="38"/>
      <c r="G19" s="40" t="str">
        <f aca="false">IF(C19="","",IFERROR(INDEX(cat_Unit,MATCH($C19,cat_Desc,0)),"Not in catalog"))</f>
        <v/>
      </c>
      <c r="H19" s="23" t="str">
        <f aca="false">IF(OR(C19="",N(D19)=0),"",ROUND(D19*INDEX(cat_Mat,MATCH($C19,cat_Desc,0))*(1+INDEX(cat_Waste,MATCH($C19,cat_Desc,0))),2))</f>
        <v/>
      </c>
      <c r="I19" s="41" t="str">
        <f aca="false">IF(OR(C19="",N(D19)=0),"",ROUND(D19*INDEX(cat_Hrs,MATCH($C19,cat_Desc,0))*IFERROR(INDEX(DiffFactor,MATCH(IF(E19="","Standard",E19),DiffList,0)),1),2))</f>
        <v/>
      </c>
      <c r="J19" s="23" t="str">
        <f aca="false">IF(H19="","",ROUND(H19*(1+MatMarkup),2))</f>
        <v/>
      </c>
      <c r="K19" s="23" t="str">
        <f aca="false">IF(I19="","",ROUND(I19*LaborRate,2))</f>
        <v/>
      </c>
      <c r="L19" s="42" t="str">
        <f aca="false">IF(J19="","",J19+K19)</f>
        <v/>
      </c>
      <c r="M19" s="23" t="str">
        <f aca="false">IF(H19="","",ROUND(H19+I19*LaborCost,2))</f>
        <v/>
      </c>
      <c r="O19" s="48" t="s">
        <v>78</v>
      </c>
      <c r="P19" s="50" t="n">
        <f aca="false">SUM(ql_Hours)</f>
        <v>56.34</v>
      </c>
    </row>
    <row r="20" customFormat="false" ht="18.75" hidden="false" customHeight="true" outlineLevel="0" collapsed="false">
      <c r="B20" s="21" t="n">
        <v>13</v>
      </c>
      <c r="C20" s="38"/>
      <c r="D20" s="39"/>
      <c r="E20" s="39"/>
      <c r="F20" s="38"/>
      <c r="G20" s="40" t="str">
        <f aca="false">IF(C20="","",IFERROR(INDEX(cat_Unit,MATCH($C20,cat_Desc,0)),"Not in catalog"))</f>
        <v/>
      </c>
      <c r="H20" s="23" t="str">
        <f aca="false">IF(OR(C20="",N(D20)=0),"",ROUND(D20*INDEX(cat_Mat,MATCH($C20,cat_Desc,0))*(1+INDEX(cat_Waste,MATCH($C20,cat_Desc,0))),2))</f>
        <v/>
      </c>
      <c r="I20" s="41" t="str">
        <f aca="false">IF(OR(C20="",N(D20)=0),"",ROUND(D20*INDEX(cat_Hrs,MATCH($C20,cat_Desc,0))*IFERROR(INDEX(DiffFactor,MATCH(IF(E20="","Standard",E20),DiffList,0)),1),2))</f>
        <v/>
      </c>
      <c r="J20" s="23" t="str">
        <f aca="false">IF(H20="","",ROUND(H20*(1+MatMarkup),2))</f>
        <v/>
      </c>
      <c r="K20" s="23" t="str">
        <f aca="false">IF(I20="","",ROUND(I20*LaborRate,2))</f>
        <v/>
      </c>
      <c r="L20" s="42" t="str">
        <f aca="false">IF(J20="","",J20+K20)</f>
        <v/>
      </c>
      <c r="M20" s="23" t="str">
        <f aca="false">IF(H20="","",ROUND(H20+I20*LaborCost,2))</f>
        <v/>
      </c>
      <c r="O20" s="48" t="s">
        <v>112</v>
      </c>
      <c r="P20" s="50" t="n">
        <f aca="false">ROUNDUP(P19/(8*CrewSize),1)</f>
        <v>3.6</v>
      </c>
    </row>
    <row r="21" customFormat="false" ht="18.75" hidden="false" customHeight="true" outlineLevel="0" collapsed="false">
      <c r="B21" s="21" t="n">
        <v>14</v>
      </c>
      <c r="C21" s="38"/>
      <c r="D21" s="39"/>
      <c r="E21" s="39"/>
      <c r="F21" s="38"/>
      <c r="G21" s="40" t="str">
        <f aca="false">IF(C21="","",IFERROR(INDEX(cat_Unit,MATCH($C21,cat_Desc,0)),"Not in catalog"))</f>
        <v/>
      </c>
      <c r="H21" s="23" t="str">
        <f aca="false">IF(OR(C21="",N(D21)=0),"",ROUND(D21*INDEX(cat_Mat,MATCH($C21,cat_Desc,0))*(1+INDEX(cat_Waste,MATCH($C21,cat_Desc,0))),2))</f>
        <v/>
      </c>
      <c r="I21" s="41" t="str">
        <f aca="false">IF(OR(C21="",N(D21)=0),"",ROUND(D21*INDEX(cat_Hrs,MATCH($C21,cat_Desc,0))*IFERROR(INDEX(DiffFactor,MATCH(IF(E21="","Standard",E21),DiffList,0)),1),2))</f>
        <v/>
      </c>
      <c r="J21" s="23" t="str">
        <f aca="false">IF(H21="","",ROUND(H21*(1+MatMarkup),2))</f>
        <v/>
      </c>
      <c r="K21" s="23" t="str">
        <f aca="false">IF(I21="","",ROUND(I21*LaborRate,2))</f>
        <v/>
      </c>
      <c r="L21" s="42" t="str">
        <f aca="false">IF(J21="","",J21+K21)</f>
        <v/>
      </c>
      <c r="M21" s="23" t="str">
        <f aca="false">IF(H21="","",ROUND(H21+I21*LaborCost,2))</f>
        <v/>
      </c>
    </row>
    <row r="22" customFormat="false" ht="18.75" hidden="false" customHeight="true" outlineLevel="0" collapsed="false">
      <c r="B22" s="21" t="n">
        <v>15</v>
      </c>
      <c r="C22" s="38"/>
      <c r="D22" s="39"/>
      <c r="E22" s="39"/>
      <c r="F22" s="38"/>
      <c r="G22" s="40" t="str">
        <f aca="false">IF(C22="","",IFERROR(INDEX(cat_Unit,MATCH($C22,cat_Desc,0)),"Not in catalog"))</f>
        <v/>
      </c>
      <c r="H22" s="23" t="str">
        <f aca="false">IF(OR(C22="",N(D22)=0),"",ROUND(D22*INDEX(cat_Mat,MATCH($C22,cat_Desc,0))*(1+INDEX(cat_Waste,MATCH($C22,cat_Desc,0))),2))</f>
        <v/>
      </c>
      <c r="I22" s="41" t="str">
        <f aca="false">IF(OR(C22="",N(D22)=0),"",ROUND(D22*INDEX(cat_Hrs,MATCH($C22,cat_Desc,0))*IFERROR(INDEX(DiffFactor,MATCH(IF(E22="","Standard",E22),DiffList,0)),1),2))</f>
        <v/>
      </c>
      <c r="J22" s="23" t="str">
        <f aca="false">IF(H22="","",ROUND(H22*(1+MatMarkup),2))</f>
        <v/>
      </c>
      <c r="K22" s="23" t="str">
        <f aca="false">IF(I22="","",ROUND(I22*LaborRate,2))</f>
        <v/>
      </c>
      <c r="L22" s="42" t="str">
        <f aca="false">IF(J22="","",J22+K22)</f>
        <v/>
      </c>
      <c r="M22" s="23" t="str">
        <f aca="false">IF(H22="","",ROUND(H22+I22*LaborCost,2))</f>
        <v/>
      </c>
    </row>
    <row r="23" customFormat="false" ht="15" hidden="false" customHeight="false" outlineLevel="0" collapsed="false">
      <c r="B23" s="51"/>
      <c r="C23" s="51" t="s">
        <v>113</v>
      </c>
      <c r="D23" s="51"/>
      <c r="E23" s="51"/>
      <c r="F23" s="51"/>
      <c r="G23" s="51"/>
      <c r="H23" s="52" t="n">
        <f aca="false">SUM(H8:H22)</f>
        <v>2190.03</v>
      </c>
      <c r="I23" s="53" t="n">
        <f aca="false">SUM(I8:I22)</f>
        <v>56.34</v>
      </c>
      <c r="J23" s="52" t="n">
        <f aca="false">SUM(J8:J22)</f>
        <v>2737.54</v>
      </c>
      <c r="K23" s="52" t="n">
        <f aca="false">SUM(K8:K22)</f>
        <v>3831.12</v>
      </c>
      <c r="L23" s="52" t="n">
        <f aca="false">SUM(L8:L22)</f>
        <v>6568.66</v>
      </c>
      <c r="M23" s="52" t="n">
        <f aca="false">SUM(M8:M22)</f>
        <v>4105.59</v>
      </c>
    </row>
    <row r="26" customFormat="false" ht="15" hidden="false" customHeight="false" outlineLevel="0" collapsed="false">
      <c r="B26" s="3" t="s">
        <v>114</v>
      </c>
    </row>
    <row r="27" customFormat="false" ht="27.75" hidden="false" customHeight="true" outlineLevel="0" collapsed="false">
      <c r="B27" s="54" t="s">
        <v>115</v>
      </c>
      <c r="C27" s="54"/>
      <c r="D27" s="54"/>
      <c r="E27" s="54"/>
      <c r="F27" s="54"/>
      <c r="G27" s="54"/>
      <c r="H27" s="54"/>
      <c r="I27" s="54"/>
      <c r="J27" s="54"/>
      <c r="K27" s="54"/>
      <c r="L27" s="54"/>
      <c r="M27" s="54"/>
    </row>
    <row r="28" customFormat="false" ht="15" hidden="false" customHeight="false" outlineLevel="0" collapsed="false">
      <c r="C28" s="55" t="s">
        <v>68</v>
      </c>
      <c r="D28" s="55" t="s">
        <v>116</v>
      </c>
      <c r="E28" s="55" t="s">
        <v>117</v>
      </c>
      <c r="F28" s="55" t="s">
        <v>118</v>
      </c>
      <c r="G28" s="55" t="s">
        <v>119</v>
      </c>
      <c r="H28" s="55" t="s">
        <v>99</v>
      </c>
      <c r="I28" s="55" t="s">
        <v>49</v>
      </c>
    </row>
    <row r="29" customFormat="false" ht="15" hidden="false" customHeight="false" outlineLevel="0" collapsed="false">
      <c r="C29" s="56" t="str">
        <f aca="false">QNumber</f>
        <v>TR-1044</v>
      </c>
      <c r="D29" s="57" t="n">
        <f aca="false">QDate</f>
        <v>46304</v>
      </c>
      <c r="E29" s="56" t="str">
        <f aca="false">QCustomer</f>
        <v>R. Castellanos</v>
      </c>
      <c r="F29" s="56" t="str">
        <f aca="false">QProject</f>
        <v>Kitchen and hallway refresh</v>
      </c>
      <c r="G29" s="56" t="str">
        <f aca="false">QBy</f>
        <v>Lena Ortiz</v>
      </c>
      <c r="H29" s="58" t="n">
        <f aca="false">QTotal</f>
        <v>6732.91</v>
      </c>
      <c r="I29" s="56" t="s">
        <v>120</v>
      </c>
    </row>
  </sheetData>
  <sheetProtection sheet="true" formatColumns="false" formatRows="false" sort="false" autoFilter="false"/>
  <mergeCells count="1">
    <mergeCell ref="B27:M27"/>
  </mergeCells>
  <conditionalFormatting sqref="C8:D22">
    <cfRule type="expression" priority="2" aboveAverage="0" equalAverage="0" bottom="0" percent="0" rank="0" text="" dxfId="2">
      <formula>AND($C8="",N($D8)&gt;0)</formula>
    </cfRule>
  </conditionalFormatting>
  <conditionalFormatting sqref="D8:D22">
    <cfRule type="expression" priority="3" aboveAverage="0" equalAverage="0" bottom="0" percent="0" rank="0" text="" dxfId="2">
      <formula>AND($C8&lt;&gt;"",N($D8)=0)</formula>
    </cfRule>
  </conditionalFormatting>
  <conditionalFormatting sqref="G8:G22">
    <cfRule type="expression" priority="4" aboveAverage="0" equalAverage="0" bottom="0" percent="0" rank="0" text="" dxfId="2">
      <formula>$G8="Not in catalog"</formula>
    </cfRule>
  </conditionalFormatting>
  <conditionalFormatting sqref="P18">
    <cfRule type="expression" priority="5" aboveAverage="0" equalAverage="0" bottom="0" percent="0" rank="0" text="" dxfId="3">
      <formula>$P$18&lt;TargetMargin</formula>
    </cfRule>
    <cfRule type="expression" priority="6" aboveAverage="0" equalAverage="0" bottom="0" percent="0" rank="0" text="" dxfId="4">
      <formula>$P$18&gt;=TargetMargin</formula>
    </cfRule>
  </conditionalFormatting>
  <dataValidations count="5">
    <dataValidation allowBlank="true" error="Pick a value from the list." errorStyle="stop" errorTitle="Not on the list" operator="between" showDropDown="false" showErrorMessage="true" showInputMessage="false" sqref="F5" type="list">
      <formula1>EstList</formula1>
      <formula2>0</formula2>
    </dataValidation>
    <dataValidation allowBlank="true" error="Enter a date such as 9/14/2026." errorStyle="stop" errorTitle="Check the date" operator="between" showDropDown="false" showErrorMessage="true" showInputMessage="false" sqref="F4" type="date">
      <formula1>DATE(2020,1,1)</formula1>
      <formula2>DATE(2035,12,31)</formula2>
    </dataValidation>
    <dataValidation allowBlank="true" error="Pick a value from the list." errorStyle="stop" errorTitle="Not on the list" operator="between" showDropDown="false" showErrorMessage="true" showInputMessage="false" sqref="C8:C22" type="list">
      <formula1>ServiceList</formula1>
      <formula2>0</formula2>
    </dataValidation>
    <dataValidation allowBlank="true" error="Pick a value from the list." errorStyle="stop" errorTitle="Not on the list" operator="between" showDropDown="false" showErrorMessage="true" showInputMessage="false" sqref="E8:E22" type="list">
      <formula1>DiffList</formula1>
      <formula2>0</formula2>
    </dataValidation>
    <dataValidation allowBlank="true" error="Quantity must be a positive number." errorStyle="stop" errorTitle="Check the number" operator="between" showDropDown="false" showErrorMessage="true" showInputMessage="false" sqref="D8:D22" type="decimal">
      <formula1>0</formula1>
      <formula2>100000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3393F"/>
    <pageSetUpPr fitToPage="true"/>
  </sheetPr>
  <dimension ref="B2: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50"/>
    <col collapsed="false" customWidth="true" hidden="false" outlineLevel="0" max="5" min="4" style="0" width="10"/>
    <col collapsed="false" customWidth="true" hidden="false" outlineLevel="0" max="6" min="6" style="0" width="12"/>
    <col collapsed="false" customWidth="true" hidden="false" outlineLevel="0" max="7" min="7" style="0" width="14"/>
    <col collapsed="false" customWidth="true" hidden="false" outlineLevel="0" max="8" min="8" style="0" width="3"/>
  </cols>
  <sheetData>
    <row r="2" customFormat="false" ht="36" hidden="false" customHeight="true" outlineLevel="0" collapsed="false">
      <c r="B2" s="59" t="str">
        <f aca="false">BizName</f>
        <v>Tallowfield Renovation</v>
      </c>
    </row>
    <row r="3" customFormat="false" ht="15" hidden="false" customHeight="false" outlineLevel="0" collapsed="false">
      <c r="B3" s="60" t="str">
        <f aca="false">BizTag</f>
        <v>Interior renovation and repair</v>
      </c>
    </row>
    <row r="4" customFormat="false" ht="7.5" hidden="false" customHeight="true" outlineLevel="0" collapsed="false">
      <c r="B4" s="61"/>
      <c r="C4" s="61"/>
      <c r="D4" s="61"/>
      <c r="E4" s="61"/>
      <c r="F4" s="61"/>
      <c r="G4" s="61"/>
    </row>
    <row r="6" customFormat="false" ht="15" hidden="false" customHeight="false" outlineLevel="0" collapsed="false">
      <c r="B6" s="28" t="s">
        <v>121</v>
      </c>
      <c r="E6" s="62" t="s">
        <v>122</v>
      </c>
      <c r="F6" s="63" t="str">
        <f aca="false">QNumber</f>
        <v>TR-1044</v>
      </c>
      <c r="G6" s="63"/>
    </row>
    <row r="7" customFormat="false" ht="15" hidden="false" customHeight="false" outlineLevel="0" collapsed="false">
      <c r="B7" s="64" t="str">
        <f aca="false">QCustomer</f>
        <v>R. Castellanos</v>
      </c>
      <c r="E7" s="62" t="s">
        <v>123</v>
      </c>
      <c r="F7" s="65" t="n">
        <f aca="false">QDate</f>
        <v>46304</v>
      </c>
      <c r="G7" s="65"/>
    </row>
    <row r="8" customFormat="false" ht="15" hidden="false" customHeight="false" outlineLevel="0" collapsed="false">
      <c r="B8" s="66" t="str">
        <f aca="false">QProject</f>
        <v>Kitchen and hallway refresh</v>
      </c>
      <c r="E8" s="62" t="s">
        <v>69</v>
      </c>
      <c r="F8" s="65" t="n">
        <f aca="false">QValid</f>
        <v>46334</v>
      </c>
      <c r="G8" s="65"/>
    </row>
    <row r="9" customFormat="false" ht="15" hidden="false" customHeight="false" outlineLevel="0" collapsed="false">
      <c r="E9" s="62" t="s">
        <v>119</v>
      </c>
      <c r="F9" s="63" t="str">
        <f aca="false">QBy</f>
        <v>Lena Ortiz</v>
      </c>
      <c r="G9" s="63"/>
    </row>
    <row r="11" customFormat="false" ht="24" hidden="false" customHeight="true" outlineLevel="0" collapsed="false">
      <c r="B11" s="19" t="s">
        <v>44</v>
      </c>
      <c r="C11" s="20" t="s">
        <v>124</v>
      </c>
      <c r="D11" s="19" t="s">
        <v>73</v>
      </c>
      <c r="E11" s="19" t="s">
        <v>76</v>
      </c>
      <c r="F11" s="19" t="s">
        <v>125</v>
      </c>
      <c r="G11" s="19" t="s">
        <v>126</v>
      </c>
    </row>
    <row r="12" customFormat="false" ht="24.75" hidden="false" customHeight="true" outlineLevel="0" collapsed="false">
      <c r="B12" s="21" t="n">
        <f aca="false">IF('QUOTE BUILDER'!C8="","",1)</f>
        <v>1</v>
      </c>
      <c r="C12" s="22" t="str">
        <f aca="false">IF('QUOTE BUILDER'!C8="","",'QUOTE BUILDER'!C8&amp;IF('QUOTE BUILDER'!F8="","",". "&amp;'QUOTE BUILDER'!F8))</f>
        <v>Floor and furniture protection</v>
      </c>
      <c r="D12" s="67" t="n">
        <f aca="false">IF('QUOTE BUILDER'!C8="","",'QUOTE BUILDER'!D8)</f>
        <v>3</v>
      </c>
      <c r="E12" s="67" t="str">
        <f aca="false">IF('QUOTE BUILDER'!C8="","",'QUOTE BUILDER'!G8)</f>
        <v>room</v>
      </c>
      <c r="F12" s="23" t="n">
        <f aca="false">IF(OR('QUOTE BUILDER'!C8="",N('QUOTE BUILDER'!D8)=0),"",ROUND('QUOTE BUILDER'!L8/'QUOTE BUILDER'!D8,2))</f>
        <v>56.5</v>
      </c>
      <c r="G12" s="23" t="n">
        <f aca="false">IF('QUOTE BUILDER'!C8="","",'QUOTE BUILDER'!L8)</f>
        <v>169.5</v>
      </c>
    </row>
    <row r="13" customFormat="false" ht="24.75" hidden="false" customHeight="true" outlineLevel="0" collapsed="false">
      <c r="B13" s="21" t="n">
        <f aca="false">IF('QUOTE BUILDER'!C9="","",2)</f>
        <v>2</v>
      </c>
      <c r="C13" s="22" t="str">
        <f aca="false">IF('QUOTE BUILDER'!C9="","",'QUOTE BUILDER'!C9&amp;IF('QUOTE BUILDER'!F9="","",". "&amp;'QUOTE BUILDER'!F9))</f>
        <v>Remove existing flooring. Kitchen and hallway</v>
      </c>
      <c r="D13" s="67" t="n">
        <f aca="false">IF('QUOTE BUILDER'!C9="","",'QUOTE BUILDER'!D9)</f>
        <v>320</v>
      </c>
      <c r="E13" s="67" t="str">
        <f aca="false">IF('QUOTE BUILDER'!C9="","",'QUOTE BUILDER'!G9)</f>
        <v>sq ft</v>
      </c>
      <c r="F13" s="23" t="n">
        <f aca="false">IF(OR('QUOTE BUILDER'!C9="",N('QUOTE BUILDER'!D9)=0),"",ROUND('QUOTE BUILDER'!L9/'QUOTE BUILDER'!D9,2))</f>
        <v>1.36</v>
      </c>
      <c r="G13" s="23" t="n">
        <f aca="false">IF('QUOTE BUILDER'!C9="","",'QUOTE BUILDER'!L9)</f>
        <v>435.2</v>
      </c>
    </row>
    <row r="14" customFormat="false" ht="24.75" hidden="false" customHeight="true" outlineLevel="0" collapsed="false">
      <c r="B14" s="21" t="n">
        <f aca="false">IF('QUOTE BUILDER'!C10="","",3)</f>
        <v>3</v>
      </c>
      <c r="C14" s="22" t="str">
        <f aca="false">IF('QUOTE BUILDER'!C10="","",'QUOTE BUILDER'!C10&amp;IF('QUOTE BUILDER'!F10="","",". "&amp;'QUOTE BUILDER'!F10))</f>
        <v>Install luxury vinyl plank. Includes underlayment; plank chosen by customer</v>
      </c>
      <c r="D14" s="67" t="n">
        <f aca="false">IF('QUOTE BUILDER'!C10="","",'QUOTE BUILDER'!D10)</f>
        <v>320</v>
      </c>
      <c r="E14" s="67" t="str">
        <f aca="false">IF('QUOTE BUILDER'!C10="","",'QUOTE BUILDER'!G10)</f>
        <v>sq ft</v>
      </c>
      <c r="F14" s="23" t="n">
        <f aca="false">IF(OR('QUOTE BUILDER'!C10="",N('QUOTE BUILDER'!D10)=0),"",ROUND('QUOTE BUILDER'!L10/'QUOTE BUILDER'!D10,2))</f>
        <v>7.33</v>
      </c>
      <c r="G14" s="23" t="n">
        <f aca="false">IF('QUOTE BUILDER'!C10="","",'QUOTE BUILDER'!L10)</f>
        <v>2344.64</v>
      </c>
    </row>
    <row r="15" customFormat="false" ht="24.75" hidden="false" customHeight="true" outlineLevel="0" collapsed="false">
      <c r="B15" s="21" t="n">
        <f aca="false">IF('QUOTE BUILDER'!C11="","",4)</f>
        <v>4</v>
      </c>
      <c r="C15" s="22" t="str">
        <f aca="false">IF('QUOTE BUILDER'!C11="","",'QUOTE BUILDER'!C11&amp;IF('QUOTE BUILDER'!F11="","",". "&amp;'QUOTE BUILDER'!F11))</f>
        <v>Install new baseboard</v>
      </c>
      <c r="D15" s="67" t="n">
        <f aca="false">IF('QUOTE BUILDER'!C11="","",'QUOTE BUILDER'!D11)</f>
        <v>96</v>
      </c>
      <c r="E15" s="67" t="str">
        <f aca="false">IF('QUOTE BUILDER'!C11="","",'QUOTE BUILDER'!G11)</f>
        <v>linear ft</v>
      </c>
      <c r="F15" s="23" t="n">
        <f aca="false">IF(OR('QUOTE BUILDER'!C11="",N('QUOTE BUILDER'!D11)=0),"",ROUND('QUOTE BUILDER'!L11/'QUOTE BUILDER'!D11,2))</f>
        <v>5.63</v>
      </c>
      <c r="G15" s="23" t="n">
        <f aca="false">IF('QUOTE BUILDER'!C11="","",'QUOTE BUILDER'!L11)</f>
        <v>540.24</v>
      </c>
    </row>
    <row r="16" customFormat="false" ht="24.75" hidden="false" customHeight="true" outlineLevel="0" collapsed="false">
      <c r="B16" s="21" t="n">
        <f aca="false">IF('QUOTE BUILDER'!C12="","",5)</f>
        <v>5</v>
      </c>
      <c r="C16" s="22" t="str">
        <f aca="false">IF('QUOTE BUILDER'!C12="","",'QUOTE BUILDER'!C12&amp;IF('QUOTE BUILDER'!F12="","",". "&amp;'QUOTE BUILDER'!F12))</f>
        <v>Install transition strip</v>
      </c>
      <c r="D16" s="67" t="n">
        <f aca="false">IF('QUOTE BUILDER'!C12="","",'QUOTE BUILDER'!D12)</f>
        <v>2</v>
      </c>
      <c r="E16" s="67" t="str">
        <f aca="false">IF('QUOTE BUILDER'!C12="","",'QUOTE BUILDER'!G12)</f>
        <v>each</v>
      </c>
      <c r="F16" s="23" t="n">
        <f aca="false">IF(OR('QUOTE BUILDER'!C12="",N('QUOTE BUILDER'!D12)=0),"",ROUND('QUOTE BUILDER'!L12/'QUOTE BUILDER'!D12,2))</f>
        <v>54.7</v>
      </c>
      <c r="G16" s="23" t="n">
        <f aca="false">IF('QUOTE BUILDER'!C12="","",'QUOTE BUILDER'!L12)</f>
        <v>109.4</v>
      </c>
    </row>
    <row r="17" customFormat="false" ht="24.75" hidden="false" customHeight="true" outlineLevel="0" collapsed="false">
      <c r="B17" s="21" t="n">
        <f aca="false">IF('QUOTE BUILDER'!C13="","",6)</f>
        <v>6</v>
      </c>
      <c r="C17" s="22" t="str">
        <f aca="false">IF('QUOTE BUILDER'!C13="","",'QUOTE BUILDER'!C13&amp;IF('QUOTE BUILDER'!F13="","",". "&amp;'QUOTE BUILDER'!F13))</f>
        <v>Drywall patch, up to 1 sq ft</v>
      </c>
      <c r="D17" s="67" t="n">
        <f aca="false">IF('QUOTE BUILDER'!C13="","",'QUOTE BUILDER'!D13)</f>
        <v>4</v>
      </c>
      <c r="E17" s="67" t="str">
        <f aca="false">IF('QUOTE BUILDER'!C13="","",'QUOTE BUILDER'!G13)</f>
        <v>each</v>
      </c>
      <c r="F17" s="23" t="n">
        <f aca="false">IF(OR('QUOTE BUILDER'!C13="",N('QUOTE BUILDER'!D13)=0),"",ROUND('QUOTE BUILDER'!L13/'QUOTE BUILDER'!D13,2))</f>
        <v>78</v>
      </c>
      <c r="G17" s="23" t="n">
        <f aca="false">IF('QUOTE BUILDER'!C13="","",'QUOTE BUILDER'!L13)</f>
        <v>312</v>
      </c>
    </row>
    <row r="18" customFormat="false" ht="24.75" hidden="false" customHeight="true" outlineLevel="0" collapsed="false">
      <c r="B18" s="21" t="n">
        <f aca="false">IF('QUOTE BUILDER'!C14="","",7)</f>
        <v>7</v>
      </c>
      <c r="C18" s="22" t="str">
        <f aca="false">IF('QUOTE BUILDER'!C14="","",'QUOTE BUILDER'!C14&amp;IF('QUOTE BUILDER'!F14="","",". "&amp;'QUOTE BUILDER'!F14))</f>
        <v>Paint walls, two coats. Customer to confirm colors</v>
      </c>
      <c r="D18" s="67" t="n">
        <f aca="false">IF('QUOTE BUILDER'!C14="","",'QUOTE BUILDER'!D14)</f>
        <v>780</v>
      </c>
      <c r="E18" s="67" t="str">
        <f aca="false">IF('QUOTE BUILDER'!C14="","",'QUOTE BUILDER'!G14)</f>
        <v>sq ft</v>
      </c>
      <c r="F18" s="23" t="n">
        <f aca="false">IF(OR('QUOTE BUILDER'!C14="",N('QUOTE BUILDER'!D14)=0),"",ROUND('QUOTE BUILDER'!L14/'QUOTE BUILDER'!D14,2))</f>
        <v>1.26</v>
      </c>
      <c r="G18" s="23" t="n">
        <f aca="false">IF('QUOTE BUILDER'!C14="","",'QUOTE BUILDER'!L14)</f>
        <v>979.68</v>
      </c>
    </row>
    <row r="19" customFormat="false" ht="24.75" hidden="false" customHeight="true" outlineLevel="0" collapsed="false">
      <c r="B19" s="21" t="n">
        <f aca="false">IF('QUOTE BUILDER'!C15="","",8)</f>
        <v>8</v>
      </c>
      <c r="C19" s="22" t="str">
        <f aca="false">IF('QUOTE BUILDER'!C15="","",'QUOTE BUILDER'!C15&amp;IF('QUOTE BUILDER'!F15="","",". "&amp;'QUOTE BUILDER'!F15))</f>
        <v>Paint ceilings</v>
      </c>
      <c r="D19" s="67" t="n">
        <f aca="false">IF('QUOTE BUILDER'!C15="","",'QUOTE BUILDER'!D15)</f>
        <v>320</v>
      </c>
      <c r="E19" s="67" t="str">
        <f aca="false">IF('QUOTE BUILDER'!C15="","",'QUOTE BUILDER'!G15)</f>
        <v>sq ft</v>
      </c>
      <c r="F19" s="23" t="n">
        <f aca="false">IF(OR('QUOTE BUILDER'!C15="",N('QUOTE BUILDER'!D15)=0),"",ROUND('QUOTE BUILDER'!L15/'QUOTE BUILDER'!D15,2))</f>
        <v>1.47</v>
      </c>
      <c r="G19" s="23" t="n">
        <f aca="false">IF('QUOTE BUILDER'!C15="","",'QUOTE BUILDER'!L15)</f>
        <v>471.36</v>
      </c>
    </row>
    <row r="20" customFormat="false" ht="24.75" hidden="false" customHeight="true" outlineLevel="0" collapsed="false">
      <c r="B20" s="21" t="n">
        <f aca="false">IF('QUOTE BUILDER'!C16="","",9)</f>
        <v>9</v>
      </c>
      <c r="C20" s="22" t="str">
        <f aca="false">IF('QUOTE BUILDER'!C16="","",'QUOTE BUILDER'!C16&amp;IF('QUOTE BUILDER'!F16="","",". "&amp;'QUOTE BUILDER'!F16))</f>
        <v>Paint interior door, both sides</v>
      </c>
      <c r="D20" s="67" t="n">
        <f aca="false">IF('QUOTE BUILDER'!C16="","",'QUOTE BUILDER'!D16)</f>
        <v>3</v>
      </c>
      <c r="E20" s="67" t="str">
        <f aca="false">IF('QUOTE BUILDER'!C16="","",'QUOTE BUILDER'!G16)</f>
        <v>each</v>
      </c>
      <c r="F20" s="23" t="n">
        <f aca="false">IF(OR('QUOTE BUILDER'!C16="",N('QUOTE BUILDER'!D16)=0),"",ROUND('QUOTE BUILDER'!L16/'QUOTE BUILDER'!D16,2))</f>
        <v>72.45</v>
      </c>
      <c r="G20" s="23" t="n">
        <f aca="false">IF('QUOTE BUILDER'!C16="","",'QUOTE BUILDER'!L16)</f>
        <v>217.35</v>
      </c>
    </row>
    <row r="21" customFormat="false" ht="24.75" hidden="false" customHeight="true" outlineLevel="0" collapsed="false">
      <c r="B21" s="21" t="n">
        <f aca="false">IF('QUOTE BUILDER'!C17="","",10)</f>
        <v>10</v>
      </c>
      <c r="C21" s="22" t="str">
        <f aca="false">IF('QUOTE BUILDER'!C17="","",'QUOTE BUILDER'!C17&amp;IF('QUOTE BUILDER'!F17="","",". "&amp;'QUOTE BUILDER'!F17))</f>
        <v>Install tile backsplash. Outlet cutouts and window return</v>
      </c>
      <c r="D21" s="67" t="n">
        <f aca="false">IF('QUOTE BUILDER'!C17="","",'QUOTE BUILDER'!D17)</f>
        <v>32</v>
      </c>
      <c r="E21" s="67" t="str">
        <f aca="false">IF('QUOTE BUILDER'!C17="","",'QUOTE BUILDER'!G17)</f>
        <v>sq ft</v>
      </c>
      <c r="F21" s="23" t="n">
        <f aca="false">IF(OR('QUOTE BUILDER'!C17="",N('QUOTE BUILDER'!D17)=0),"",ROUND('QUOTE BUILDER'!L17/'QUOTE BUILDER'!D17,2))</f>
        <v>25.47</v>
      </c>
      <c r="G21" s="23" t="n">
        <f aca="false">IF('QUOTE BUILDER'!C17="","",'QUOTE BUILDER'!L17)</f>
        <v>815.04</v>
      </c>
    </row>
    <row r="22" customFormat="false" ht="24.75" hidden="false" customHeight="true" outlineLevel="0" collapsed="false">
      <c r="B22" s="21" t="n">
        <f aca="false">IF('QUOTE BUILDER'!C18="","",11)</f>
        <v>11</v>
      </c>
      <c r="C22" s="22" t="str">
        <f aca="false">IF('QUOTE BUILDER'!C18="","",'QUOTE BUILDER'!C18&amp;IF('QUOTE BUILDER'!F18="","",". "&amp;'QUOTE BUILDER'!F18))</f>
        <v>Debris haul-away</v>
      </c>
      <c r="D22" s="67" t="n">
        <f aca="false">IF('QUOTE BUILDER'!C18="","",'QUOTE BUILDER'!D18)</f>
        <v>1</v>
      </c>
      <c r="E22" s="67" t="str">
        <f aca="false">IF('QUOTE BUILDER'!C18="","",'QUOTE BUILDER'!G18)</f>
        <v>load</v>
      </c>
      <c r="F22" s="23" t="n">
        <f aca="false">IF(OR('QUOTE BUILDER'!C18="",N('QUOTE BUILDER'!D18)=0),"",ROUND('QUOTE BUILDER'!L18/'QUOTE BUILDER'!D18,2))</f>
        <v>174.25</v>
      </c>
      <c r="G22" s="23" t="n">
        <f aca="false">IF('QUOTE BUILDER'!C18="","",'QUOTE BUILDER'!L18)</f>
        <v>174.25</v>
      </c>
    </row>
    <row r="23" customFormat="false" ht="24.75" hidden="false" customHeight="true" outlineLevel="0" collapsed="false">
      <c r="B23" s="21" t="str">
        <f aca="false">IF('QUOTE BUILDER'!C19="","",12)</f>
        <v/>
      </c>
      <c r="C23" s="22" t="str">
        <f aca="false">IF('QUOTE BUILDER'!C19="","",'QUOTE BUILDER'!C19&amp;IF('QUOTE BUILDER'!F19="","",". "&amp;'QUOTE BUILDER'!F19))</f>
        <v/>
      </c>
      <c r="D23" s="67" t="str">
        <f aca="false">IF('QUOTE BUILDER'!C19="","",'QUOTE BUILDER'!D19)</f>
        <v/>
      </c>
      <c r="E23" s="67" t="str">
        <f aca="false">IF('QUOTE BUILDER'!C19="","",'QUOTE BUILDER'!G19)</f>
        <v/>
      </c>
      <c r="F23" s="23" t="str">
        <f aca="false">IF(OR('QUOTE BUILDER'!C19="",N('QUOTE BUILDER'!D19)=0),"",ROUND('QUOTE BUILDER'!L19/'QUOTE BUILDER'!D19,2))</f>
        <v/>
      </c>
      <c r="G23" s="23" t="str">
        <f aca="false">IF('QUOTE BUILDER'!C19="","",'QUOTE BUILDER'!L19)</f>
        <v/>
      </c>
    </row>
    <row r="24" customFormat="false" ht="24.75" hidden="false" customHeight="true" outlineLevel="0" collapsed="false">
      <c r="B24" s="21" t="str">
        <f aca="false">IF('QUOTE BUILDER'!C20="","",13)</f>
        <v/>
      </c>
      <c r="C24" s="22" t="str">
        <f aca="false">IF('QUOTE BUILDER'!C20="","",'QUOTE BUILDER'!C20&amp;IF('QUOTE BUILDER'!F20="","",". "&amp;'QUOTE BUILDER'!F20))</f>
        <v/>
      </c>
      <c r="D24" s="67" t="str">
        <f aca="false">IF('QUOTE BUILDER'!C20="","",'QUOTE BUILDER'!D20)</f>
        <v/>
      </c>
      <c r="E24" s="67" t="str">
        <f aca="false">IF('QUOTE BUILDER'!C20="","",'QUOTE BUILDER'!G20)</f>
        <v/>
      </c>
      <c r="F24" s="23" t="str">
        <f aca="false">IF(OR('QUOTE BUILDER'!C20="",N('QUOTE BUILDER'!D20)=0),"",ROUND('QUOTE BUILDER'!L20/'QUOTE BUILDER'!D20,2))</f>
        <v/>
      </c>
      <c r="G24" s="23" t="str">
        <f aca="false">IF('QUOTE BUILDER'!C20="","",'QUOTE BUILDER'!L20)</f>
        <v/>
      </c>
    </row>
    <row r="25" customFormat="false" ht="24.75" hidden="false" customHeight="true" outlineLevel="0" collapsed="false">
      <c r="B25" s="21" t="str">
        <f aca="false">IF('QUOTE BUILDER'!C21="","",14)</f>
        <v/>
      </c>
      <c r="C25" s="22" t="str">
        <f aca="false">IF('QUOTE BUILDER'!C21="","",'QUOTE BUILDER'!C21&amp;IF('QUOTE BUILDER'!F21="","",". "&amp;'QUOTE BUILDER'!F21))</f>
        <v/>
      </c>
      <c r="D25" s="67" t="str">
        <f aca="false">IF('QUOTE BUILDER'!C21="","",'QUOTE BUILDER'!D21)</f>
        <v/>
      </c>
      <c r="E25" s="67" t="str">
        <f aca="false">IF('QUOTE BUILDER'!C21="","",'QUOTE BUILDER'!G21)</f>
        <v/>
      </c>
      <c r="F25" s="23" t="str">
        <f aca="false">IF(OR('QUOTE BUILDER'!C21="",N('QUOTE BUILDER'!D21)=0),"",ROUND('QUOTE BUILDER'!L21/'QUOTE BUILDER'!D21,2))</f>
        <v/>
      </c>
      <c r="G25" s="23" t="str">
        <f aca="false">IF('QUOTE BUILDER'!C21="","",'QUOTE BUILDER'!L21)</f>
        <v/>
      </c>
    </row>
    <row r="26" customFormat="false" ht="24.75" hidden="false" customHeight="true" outlineLevel="0" collapsed="false">
      <c r="B26" s="21" t="str">
        <f aca="false">IF('QUOTE BUILDER'!C22="","",15)</f>
        <v/>
      </c>
      <c r="C26" s="22" t="str">
        <f aca="false">IF('QUOTE BUILDER'!C22="","",'QUOTE BUILDER'!C22&amp;IF('QUOTE BUILDER'!F22="","",". "&amp;'QUOTE BUILDER'!F22))</f>
        <v/>
      </c>
      <c r="D26" s="67" t="str">
        <f aca="false">IF('QUOTE BUILDER'!C22="","",'QUOTE BUILDER'!D22)</f>
        <v/>
      </c>
      <c r="E26" s="67" t="str">
        <f aca="false">IF('QUOTE BUILDER'!C22="","",'QUOTE BUILDER'!G22)</f>
        <v/>
      </c>
      <c r="F26" s="23" t="str">
        <f aca="false">IF(OR('QUOTE BUILDER'!C22="",N('QUOTE BUILDER'!D22)=0),"",ROUND('QUOTE BUILDER'!L22/'QUOTE BUILDER'!D22,2))</f>
        <v/>
      </c>
      <c r="G26" s="23" t="str">
        <f aca="false">IF('QUOTE BUILDER'!C22="","",'QUOTE BUILDER'!L22)</f>
        <v/>
      </c>
    </row>
    <row r="28" customFormat="false" ht="15" hidden="false" customHeight="false" outlineLevel="0" collapsed="false">
      <c r="D28" s="68" t="s">
        <v>93</v>
      </c>
      <c r="E28" s="68"/>
      <c r="F28" s="68"/>
      <c r="G28" s="69" t="n">
        <f aca="false">QSub</f>
        <v>6568.66</v>
      </c>
    </row>
    <row r="29" customFormat="false" ht="15" hidden="false" customHeight="false" outlineLevel="0" collapsed="false">
      <c r="D29" s="68" t="s">
        <v>95</v>
      </c>
      <c r="E29" s="68"/>
      <c r="F29" s="68"/>
      <c r="G29" s="69" t="n">
        <f aca="false">QMinAdj</f>
        <v>0</v>
      </c>
    </row>
    <row r="30" customFormat="false" ht="15" hidden="false" customHeight="false" outlineLevel="0" collapsed="false">
      <c r="D30" s="68" t="str">
        <f aca="false">IF(TaxBasis="Whole quote","Sales tax","Sales tax on materials")</f>
        <v>Sales tax on materials</v>
      </c>
      <c r="E30" s="68"/>
      <c r="F30" s="68"/>
      <c r="G30" s="69" t="n">
        <f aca="false">QTax</f>
        <v>164.25</v>
      </c>
    </row>
    <row r="31" customFormat="false" ht="24" hidden="false" customHeight="true" outlineLevel="0" collapsed="false">
      <c r="D31" s="70" t="s">
        <v>99</v>
      </c>
      <c r="E31" s="70"/>
      <c r="F31" s="70"/>
      <c r="G31" s="71" t="n">
        <f aca="false">QTotal</f>
        <v>6732.91</v>
      </c>
    </row>
    <row r="32" customFormat="false" ht="15" hidden="false" customHeight="false" outlineLevel="0" collapsed="false">
      <c r="D32" s="68" t="str">
        <f aca="false">"Deposit to schedule ("&amp;TEXT(DepositPct,"0%")&amp;")"</f>
        <v>Deposit to schedule (35%)</v>
      </c>
      <c r="E32" s="68"/>
      <c r="F32" s="68"/>
      <c r="G32" s="69" t="n">
        <f aca="false">QDeposit</f>
        <v>2356.52</v>
      </c>
    </row>
    <row r="34" customFormat="false" ht="15" hidden="false" customHeight="false" outlineLevel="0" collapsed="false">
      <c r="B34" s="72" t="s">
        <v>127</v>
      </c>
    </row>
    <row r="35" customFormat="false" ht="15" hidden="false" customHeight="true" outlineLevel="0" collapsed="false">
      <c r="B35" s="73" t="str">
        <f aca="false">"This quote is valid until "&amp;TEXT(QValid,"mmmm d, yyyy")&amp;". Prices include labor, materials, and cleanup for the work listed."</f>
        <v>This quote is valid until November 8, 2026. Prices include labor, materials, and cleanup for the work listed.</v>
      </c>
      <c r="C35" s="73"/>
      <c r="D35" s="73"/>
      <c r="E35" s="73"/>
      <c r="F35" s="73"/>
      <c r="G35" s="73"/>
    </row>
    <row r="36" customFormat="false" ht="15" hidden="false" customHeight="true" outlineLevel="0" collapsed="false">
      <c r="B36" s="73" t="str">
        <f aca="false">"A deposit of "&amp;TEXT(DepositPct,"0%")&amp;" schedules the work, and the balance is due when the work is complete."</f>
        <v>A deposit of 35% schedules the work, and the balance is due when the work is complete.</v>
      </c>
      <c r="C36" s="73"/>
      <c r="D36" s="73"/>
      <c r="E36" s="73"/>
      <c r="F36" s="73"/>
      <c r="G36" s="73"/>
    </row>
    <row r="37" customFormat="false" ht="15" hidden="false" customHeight="true" outlineLevel="0" collapsed="false">
      <c r="B37" s="73" t="str">
        <f aca="false">"Changes to the scope are priced as written change orders before the work is done."</f>
        <v>Changes to the scope are priced as written change orders before the work is done.</v>
      </c>
      <c r="C37" s="73"/>
      <c r="D37" s="73"/>
      <c r="E37" s="73"/>
      <c r="F37" s="73"/>
      <c r="G37" s="73"/>
    </row>
    <row r="40" customFormat="false" ht="27.75" hidden="false" customHeight="true" outlineLevel="0" collapsed="false">
      <c r="B40" s="74"/>
      <c r="C40" s="74"/>
      <c r="E40" s="74"/>
      <c r="F40" s="74"/>
      <c r="G40" s="74"/>
    </row>
    <row r="41" customFormat="false" ht="15" hidden="false" customHeight="false" outlineLevel="0" collapsed="false">
      <c r="B41" s="28" t="s">
        <v>128</v>
      </c>
      <c r="E41" s="28" t="s">
        <v>123</v>
      </c>
    </row>
    <row r="43" customFormat="false" ht="15" hidden="false" customHeight="false" outlineLevel="0" collapsed="false">
      <c r="B43" s="75" t="s">
        <v>42</v>
      </c>
    </row>
  </sheetData>
  <sheetProtection sheet="true" formatColumns="false" formatRows="false" sort="false" autoFilter="false"/>
  <mergeCells count="12">
    <mergeCell ref="F6:G6"/>
    <mergeCell ref="F7:G7"/>
    <mergeCell ref="F8:G8"/>
    <mergeCell ref="F9:G9"/>
    <mergeCell ref="D28:F28"/>
    <mergeCell ref="D29:F29"/>
    <mergeCell ref="D30:F30"/>
    <mergeCell ref="D31:F31"/>
    <mergeCell ref="D32:F32"/>
    <mergeCell ref="B35:G35"/>
    <mergeCell ref="B36:G36"/>
    <mergeCell ref="B37:G37"/>
  </mergeCells>
  <printOptions headings="false" gridLines="false" gridLinesSet="true" horizontalCentered="true" verticalCentered="false"/>
  <pageMargins left="0.5" right="0.5" top="0.55" bottom="0.5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2502E"/>
    <pageSetUpPr fitToPage="true"/>
  </sheetPr>
  <dimension ref="B1:R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11"/>
    <col collapsed="false" customWidth="true" hidden="false" outlineLevel="0" max="4" min="4" style="0" width="17"/>
    <col collapsed="false" customWidth="true" hidden="false" outlineLevel="0" max="5" min="5" style="0" width="24"/>
    <col collapsed="false" customWidth="true" hidden="false" outlineLevel="0" max="6" min="6" style="0" width="13"/>
    <col collapsed="false" customWidth="true" hidden="false" outlineLevel="0" max="7" min="7" style="0" width="12"/>
    <col collapsed="false" customWidth="true" hidden="false" outlineLevel="0" max="8" min="8" style="0" width="11"/>
    <col collapsed="false" customWidth="true" hidden="false" outlineLevel="0" max="10" min="9" style="0" width="12"/>
    <col collapsed="false" customWidth="true" hidden="false" outlineLevel="0" max="11" min="11" style="0" width="9"/>
    <col collapsed="false" customWidth="true" hidden="false" outlineLevel="0" max="12" min="12" style="0" width="18"/>
    <col collapsed="false" customWidth="true" hidden="false" outlineLevel="0" max="13" min="13" style="0" width="3"/>
    <col collapsed="false" customWidth="true" hidden="false" outlineLevel="0" max="14" min="14" style="0" width="12"/>
    <col collapsed="false" customWidth="true" hidden="false" outlineLevel="0" max="15" min="15" style="0" width="9"/>
    <col collapsed="false" customWidth="true" hidden="false" outlineLevel="0" max="16" min="16" style="0" width="13"/>
    <col collapsed="false" customWidth="true" hidden="false" outlineLevel="0" max="17" min="17" style="0" width="9"/>
    <col collapsed="false" customWidth="true" hidden="false" outlineLevel="0" max="18" min="18" style="0" width="13"/>
  </cols>
  <sheetData>
    <row r="1" customFormat="false" ht="33.75" hidden="false" customHeight="true" outlineLevel="0" collapsed="false">
      <c r="B1" s="1" t="s">
        <v>129</v>
      </c>
    </row>
    <row r="2" customFormat="false" ht="18" hidden="false" customHeight="true" outlineLevel="0" collapsed="false">
      <c r="B2" s="27" t="s">
        <v>130</v>
      </c>
    </row>
    <row r="4" customFormat="false" ht="31.5" hidden="false" customHeight="true" outlineLevel="0" collapsed="false">
      <c r="B4" s="34" t="s">
        <v>68</v>
      </c>
      <c r="C4" s="34" t="s">
        <v>116</v>
      </c>
      <c r="D4" s="34" t="s">
        <v>117</v>
      </c>
      <c r="E4" s="34" t="s">
        <v>118</v>
      </c>
      <c r="F4" s="34" t="s">
        <v>119</v>
      </c>
      <c r="G4" s="34" t="s">
        <v>99</v>
      </c>
      <c r="H4" s="34" t="s">
        <v>49</v>
      </c>
      <c r="I4" s="34" t="s">
        <v>131</v>
      </c>
      <c r="J4" s="35" t="s">
        <v>69</v>
      </c>
      <c r="K4" s="35" t="s">
        <v>132</v>
      </c>
      <c r="L4" s="35" t="s">
        <v>133</v>
      </c>
      <c r="N4" s="76" t="s">
        <v>134</v>
      </c>
      <c r="O4" s="76" t="s">
        <v>135</v>
      </c>
      <c r="P4" s="76" t="s">
        <v>136</v>
      </c>
      <c r="Q4" s="76" t="s">
        <v>137</v>
      </c>
      <c r="R4" s="76" t="s">
        <v>138</v>
      </c>
    </row>
    <row r="5" customFormat="false" ht="15" hidden="false" customHeight="false" outlineLevel="0" collapsed="false">
      <c r="B5" s="39" t="s">
        <v>139</v>
      </c>
      <c r="C5" s="77" t="n">
        <v>46175</v>
      </c>
      <c r="D5" s="38" t="s">
        <v>140</v>
      </c>
      <c r="E5" s="38" t="s">
        <v>141</v>
      </c>
      <c r="F5" s="38" t="s">
        <v>142</v>
      </c>
      <c r="G5" s="78" t="n">
        <v>8882.8</v>
      </c>
      <c r="H5" s="39" t="s">
        <v>143</v>
      </c>
      <c r="I5" s="77" t="n">
        <v>46191</v>
      </c>
      <c r="J5" s="79" t="n">
        <f aca="false">IF(C5="","",C5+ValidDays)</f>
        <v>46205</v>
      </c>
      <c r="K5" s="80" t="n">
        <f aca="false">IF(C5="","",IF(OR(H5="Sent",H5="Draft"),AsOf-C5,IF(I5="","",I5-C5)))</f>
        <v>16</v>
      </c>
      <c r="L5" s="40" t="str">
        <f aca="false">IF(C5="","",IF(AND(H5="Sent",AsOf&gt;J5),"Past valid date",IF(AND(H5="Sent",AsOf-C5&gt;7),"Follow up",IF(AND(OR(H5="Accepted",H5="Declined"),I5=""),"Add decision date",""))))</f>
        <v/>
      </c>
      <c r="N5" s="81" t="n">
        <v>46174</v>
      </c>
      <c r="O5" s="80" t="n">
        <f aca="false">COUNTIFS(lg_Date,"&gt;="&amp;N5,lg_Date,"&lt;"&amp;EDATE(N5,1))</f>
        <v>8</v>
      </c>
      <c r="P5" s="82" t="n">
        <f aca="false">SUMIFS(lg_Total,lg_Date,"&gt;="&amp;N5,lg_Date,"&lt;"&amp;EDATE(N5,1))</f>
        <v>51316.15</v>
      </c>
      <c r="Q5" s="80" t="n">
        <f aca="false">COUNTIFS(lg_Date,"&gt;="&amp;N5,lg_Date,"&lt;"&amp;EDATE(N5,1),lg_Status,"Accepted")</f>
        <v>4</v>
      </c>
      <c r="R5" s="82" t="n">
        <f aca="false">SUMIFS(lg_Total,lg_Date,"&gt;="&amp;N5,lg_Date,"&lt;"&amp;EDATE(N5,1),lg_Status,"Accepted")</f>
        <v>22762.63</v>
      </c>
    </row>
    <row r="6" customFormat="false" ht="15" hidden="false" customHeight="false" outlineLevel="0" collapsed="false">
      <c r="B6" s="39" t="s">
        <v>144</v>
      </c>
      <c r="C6" s="77" t="n">
        <v>46177</v>
      </c>
      <c r="D6" s="38" t="s">
        <v>145</v>
      </c>
      <c r="E6" s="38" t="s">
        <v>146</v>
      </c>
      <c r="F6" s="38" t="s">
        <v>147</v>
      </c>
      <c r="G6" s="78" t="n">
        <v>8723.83</v>
      </c>
      <c r="H6" s="39" t="s">
        <v>148</v>
      </c>
      <c r="I6" s="77" t="n">
        <v>46207</v>
      </c>
      <c r="J6" s="79" t="n">
        <f aca="false">IF(C6="","",C6+ValidDays)</f>
        <v>46207</v>
      </c>
      <c r="K6" s="80" t="n">
        <f aca="false">IF(C6="","",IF(OR(H6="Sent",H6="Draft"),AsOf-C6,IF(I6="","",I6-C6)))</f>
        <v>30</v>
      </c>
      <c r="L6" s="40" t="str">
        <f aca="false">IF(C6="","",IF(AND(H6="Sent",AsOf&gt;J6),"Past valid date",IF(AND(H6="Sent",AsOf-C6&gt;7),"Follow up",IF(AND(OR(H6="Accepted",H6="Declined"),I6=""),"Add decision date",""))))</f>
        <v/>
      </c>
      <c r="N6" s="81" t="n">
        <v>46204</v>
      </c>
      <c r="O6" s="80" t="n">
        <f aca="false">COUNTIFS(lg_Date,"&gt;="&amp;N6,lg_Date,"&lt;"&amp;EDATE(N6,1))</f>
        <v>7</v>
      </c>
      <c r="P6" s="82" t="n">
        <f aca="false">SUMIFS(lg_Total,lg_Date,"&gt;="&amp;N6,lg_Date,"&lt;"&amp;EDATE(N6,1))</f>
        <v>48859.56</v>
      </c>
      <c r="Q6" s="80" t="n">
        <f aca="false">COUNTIFS(lg_Date,"&gt;="&amp;N6,lg_Date,"&lt;"&amp;EDATE(N6,1),lg_Status,"Accepted")</f>
        <v>1</v>
      </c>
      <c r="R6" s="82" t="n">
        <f aca="false">SUMIFS(lg_Total,lg_Date,"&gt;="&amp;N6,lg_Date,"&lt;"&amp;EDATE(N6,1),lg_Status,"Accepted")</f>
        <v>4490.41</v>
      </c>
    </row>
    <row r="7" customFormat="false" ht="15" hidden="false" customHeight="false" outlineLevel="0" collapsed="false">
      <c r="B7" s="39" t="s">
        <v>149</v>
      </c>
      <c r="C7" s="77" t="n">
        <v>46178</v>
      </c>
      <c r="D7" s="38" t="s">
        <v>150</v>
      </c>
      <c r="E7" s="38" t="s">
        <v>151</v>
      </c>
      <c r="F7" s="38" t="s">
        <v>147</v>
      </c>
      <c r="G7" s="78" t="n">
        <v>9598.95</v>
      </c>
      <c r="H7" s="39" t="s">
        <v>143</v>
      </c>
      <c r="I7" s="77" t="n">
        <v>46193</v>
      </c>
      <c r="J7" s="79" t="n">
        <f aca="false">IF(C7="","",C7+ValidDays)</f>
        <v>46208</v>
      </c>
      <c r="K7" s="80" t="n">
        <f aca="false">IF(C7="","",IF(OR(H7="Sent",H7="Draft"),AsOf-C7,IF(I7="","",I7-C7)))</f>
        <v>15</v>
      </c>
      <c r="L7" s="40" t="str">
        <f aca="false">IF(C7="","",IF(AND(H7="Sent",AsOf&gt;J7),"Past valid date",IF(AND(H7="Sent",AsOf-C7&gt;7),"Follow up",IF(AND(OR(H7="Accepted",H7="Declined"),I7=""),"Add decision date",""))))</f>
        <v/>
      </c>
      <c r="N7" s="81" t="n">
        <v>46235</v>
      </c>
      <c r="O7" s="80" t="n">
        <f aca="false">COUNTIFS(lg_Date,"&gt;="&amp;N7,lg_Date,"&lt;"&amp;EDATE(N7,1))</f>
        <v>11</v>
      </c>
      <c r="P7" s="82" t="n">
        <f aca="false">SUMIFS(lg_Total,lg_Date,"&gt;="&amp;N7,lg_Date,"&lt;"&amp;EDATE(N7,1))</f>
        <v>68263.75</v>
      </c>
      <c r="Q7" s="80" t="n">
        <f aca="false">COUNTIFS(lg_Date,"&gt;="&amp;N7,lg_Date,"&lt;"&amp;EDATE(N7,1),lg_Status,"Accepted")</f>
        <v>8</v>
      </c>
      <c r="R7" s="82" t="n">
        <f aca="false">SUMIFS(lg_Total,lg_Date,"&gt;="&amp;N7,lg_Date,"&lt;"&amp;EDATE(N7,1),lg_Status,"Accepted")</f>
        <v>52829.34</v>
      </c>
    </row>
    <row r="8" customFormat="false" ht="15" hidden="false" customHeight="false" outlineLevel="0" collapsed="false">
      <c r="B8" s="39" t="s">
        <v>152</v>
      </c>
      <c r="C8" s="77" t="n">
        <v>46181</v>
      </c>
      <c r="D8" s="38" t="s">
        <v>153</v>
      </c>
      <c r="E8" s="38" t="s">
        <v>141</v>
      </c>
      <c r="F8" s="38" t="s">
        <v>71</v>
      </c>
      <c r="G8" s="78" t="n">
        <v>3885.68</v>
      </c>
      <c r="H8" s="39" t="s">
        <v>154</v>
      </c>
      <c r="I8" s="77" t="n">
        <v>46193</v>
      </c>
      <c r="J8" s="79" t="n">
        <f aca="false">IF(C8="","",C8+ValidDays)</f>
        <v>46211</v>
      </c>
      <c r="K8" s="80" t="n">
        <f aca="false">IF(C8="","",IF(OR(H8="Sent",H8="Draft"),AsOf-C8,IF(I8="","",I8-C8)))</f>
        <v>12</v>
      </c>
      <c r="L8" s="40" t="str">
        <f aca="false">IF(C8="","",IF(AND(H8="Sent",AsOf&gt;J8),"Past valid date",IF(AND(H8="Sent",AsOf-C8&gt;7),"Follow up",IF(AND(OR(H8="Accepted",H8="Declined"),I8=""),"Add decision date",""))))</f>
        <v/>
      </c>
      <c r="N8" s="81" t="n">
        <v>46266</v>
      </c>
      <c r="O8" s="80" t="n">
        <f aca="false">COUNTIFS(lg_Date,"&gt;="&amp;N8,lg_Date,"&lt;"&amp;EDATE(N8,1))</f>
        <v>13</v>
      </c>
      <c r="P8" s="82" t="n">
        <f aca="false">SUMIFS(lg_Total,lg_Date,"&gt;="&amp;N8,lg_Date,"&lt;"&amp;EDATE(N8,1))</f>
        <v>102130.53</v>
      </c>
      <c r="Q8" s="80" t="n">
        <f aca="false">COUNTIFS(lg_Date,"&gt;="&amp;N8,lg_Date,"&lt;"&amp;EDATE(N8,1),lg_Status,"Accepted")</f>
        <v>4</v>
      </c>
      <c r="R8" s="82" t="n">
        <f aca="false">SUMIFS(lg_Total,lg_Date,"&gt;="&amp;N8,lg_Date,"&lt;"&amp;EDATE(N8,1),lg_Status,"Accepted")</f>
        <v>32609.66</v>
      </c>
    </row>
    <row r="9" customFormat="false" ht="15" hidden="false" customHeight="false" outlineLevel="0" collapsed="false">
      <c r="B9" s="39" t="s">
        <v>155</v>
      </c>
      <c r="C9" s="77" t="n">
        <v>46184</v>
      </c>
      <c r="D9" s="38" t="s">
        <v>156</v>
      </c>
      <c r="E9" s="38" t="s">
        <v>157</v>
      </c>
      <c r="F9" s="38" t="s">
        <v>71</v>
      </c>
      <c r="G9" s="78" t="n">
        <v>939.78</v>
      </c>
      <c r="H9" s="39" t="s">
        <v>143</v>
      </c>
      <c r="I9" s="77" t="n">
        <v>46203</v>
      </c>
      <c r="J9" s="79" t="n">
        <f aca="false">IF(C9="","",C9+ValidDays)</f>
        <v>46214</v>
      </c>
      <c r="K9" s="80" t="n">
        <f aca="false">IF(C9="","",IF(OR(H9="Sent",H9="Draft"),AsOf-C9,IF(I9="","",I9-C9)))</f>
        <v>19</v>
      </c>
      <c r="L9" s="40" t="str">
        <f aca="false">IF(C9="","",IF(AND(H9="Sent",AsOf&gt;J9),"Past valid date",IF(AND(H9="Sent",AsOf-C9&gt;7),"Follow up",IF(AND(OR(H9="Accepted",H9="Declined"),I9=""),"Add decision date",""))))</f>
        <v/>
      </c>
      <c r="N9" s="81" t="n">
        <v>46296</v>
      </c>
      <c r="O9" s="80" t="n">
        <f aca="false">COUNTIFS(lg_Date,"&gt;="&amp;N9,lg_Date,"&lt;"&amp;EDATE(N9,1))</f>
        <v>4</v>
      </c>
      <c r="P9" s="82" t="n">
        <f aca="false">SUMIFS(lg_Total,lg_Date,"&gt;="&amp;N9,lg_Date,"&lt;"&amp;EDATE(N9,1))</f>
        <v>20405.27</v>
      </c>
      <c r="Q9" s="80" t="n">
        <f aca="false">COUNTIFS(lg_Date,"&gt;="&amp;N9,lg_Date,"&lt;"&amp;EDATE(N9,1),lg_Status,"Accepted")</f>
        <v>0</v>
      </c>
      <c r="R9" s="82" t="n">
        <f aca="false">SUMIFS(lg_Total,lg_Date,"&gt;="&amp;N9,lg_Date,"&lt;"&amp;EDATE(N9,1),lg_Status,"Accepted")</f>
        <v>0</v>
      </c>
    </row>
    <row r="10" customFormat="false" ht="15" hidden="false" customHeight="false" outlineLevel="0" collapsed="false">
      <c r="B10" s="39" t="s">
        <v>158</v>
      </c>
      <c r="C10" s="77" t="n">
        <v>46189</v>
      </c>
      <c r="D10" s="38" t="s">
        <v>159</v>
      </c>
      <c r="E10" s="38" t="s">
        <v>157</v>
      </c>
      <c r="F10" s="38" t="s">
        <v>142</v>
      </c>
      <c r="G10" s="78" t="n">
        <v>1946.18</v>
      </c>
      <c r="H10" s="39" t="s">
        <v>148</v>
      </c>
      <c r="I10" s="77" t="n">
        <v>46219</v>
      </c>
      <c r="J10" s="79" t="n">
        <f aca="false">IF(C10="","",C10+ValidDays)</f>
        <v>46219</v>
      </c>
      <c r="K10" s="80" t="n">
        <f aca="false">IF(C10="","",IF(OR(H10="Sent",H10="Draft"),AsOf-C10,IF(I10="","",I10-C10)))</f>
        <v>30</v>
      </c>
      <c r="L10" s="40" t="str">
        <f aca="false">IF(C10="","",IF(AND(H10="Sent",AsOf&gt;J10),"Past valid date",IF(AND(H10="Sent",AsOf-C10&gt;7),"Follow up",IF(AND(OR(H10="Accepted",H10="Declined"),I10=""),"Add decision date",""))))</f>
        <v/>
      </c>
      <c r="N10" s="51" t="s">
        <v>99</v>
      </c>
      <c r="O10" s="83" t="n">
        <f aca="false">SUM(O5:O9)</f>
        <v>43</v>
      </c>
      <c r="P10" s="84" t="n">
        <f aca="false">SUM(P5:P9)</f>
        <v>290975.26</v>
      </c>
      <c r="Q10" s="83" t="n">
        <f aca="false">SUM(Q5:Q9)</f>
        <v>17</v>
      </c>
      <c r="R10" s="84" t="n">
        <f aca="false">SUM(R5:R9)</f>
        <v>112692.04</v>
      </c>
    </row>
    <row r="11" customFormat="false" ht="15" hidden="false" customHeight="false" outlineLevel="0" collapsed="false">
      <c r="B11" s="39" t="s">
        <v>160</v>
      </c>
      <c r="C11" s="77" t="n">
        <v>46192</v>
      </c>
      <c r="D11" s="38" t="s">
        <v>161</v>
      </c>
      <c r="E11" s="38" t="s">
        <v>146</v>
      </c>
      <c r="F11" s="38" t="s">
        <v>71</v>
      </c>
      <c r="G11" s="78" t="n">
        <v>13997.83</v>
      </c>
      <c r="H11" s="39" t="s">
        <v>148</v>
      </c>
      <c r="I11" s="77" t="n">
        <v>46222</v>
      </c>
      <c r="J11" s="79" t="n">
        <f aca="false">IF(C11="","",C11+ValidDays)</f>
        <v>46222</v>
      </c>
      <c r="K11" s="80" t="n">
        <f aca="false">IF(C11="","",IF(OR(H11="Sent",H11="Draft"),AsOf-C11,IF(I11="","",I11-C11)))</f>
        <v>30</v>
      </c>
      <c r="L11" s="40" t="str">
        <f aca="false">IF(C11="","",IF(AND(H11="Sent",AsOf&gt;J11),"Past valid date",IF(AND(H11="Sent",AsOf-C11&gt;7),"Follow up",IF(AND(OR(H11="Accepted",H11="Declined"),I11=""),"Add decision date",""))))</f>
        <v/>
      </c>
    </row>
    <row r="12" customFormat="false" ht="15" hidden="false" customHeight="false" outlineLevel="0" collapsed="false">
      <c r="B12" s="39" t="s">
        <v>162</v>
      </c>
      <c r="C12" s="77" t="n">
        <v>46203</v>
      </c>
      <c r="D12" s="38" t="s">
        <v>163</v>
      </c>
      <c r="E12" s="38" t="s">
        <v>164</v>
      </c>
      <c r="F12" s="38" t="s">
        <v>71</v>
      </c>
      <c r="G12" s="78" t="n">
        <v>3341.1</v>
      </c>
      <c r="H12" s="39" t="s">
        <v>143</v>
      </c>
      <c r="I12" s="77" t="n">
        <v>46217</v>
      </c>
      <c r="J12" s="79" t="n">
        <f aca="false">IF(C12="","",C12+ValidDays)</f>
        <v>46233</v>
      </c>
      <c r="K12" s="80" t="n">
        <f aca="false">IF(C12="","",IF(OR(H12="Sent",H12="Draft"),AsOf-C12,IF(I12="","",I12-C12)))</f>
        <v>14</v>
      </c>
      <c r="L12" s="40" t="str">
        <f aca="false">IF(C12="","",IF(AND(H12="Sent",AsOf&gt;J12),"Past valid date",IF(AND(H12="Sent",AsOf-C12&gt;7),"Follow up",IF(AND(OR(H12="Accepted",H12="Declined"),I12=""),"Add decision date",""))))</f>
        <v/>
      </c>
      <c r="N12" s="28" t="s">
        <v>165</v>
      </c>
      <c r="P12" s="28" t="s">
        <v>166</v>
      </c>
    </row>
    <row r="13" customFormat="false" ht="17.35" hidden="false" customHeight="false" outlineLevel="0" collapsed="false">
      <c r="B13" s="39" t="s">
        <v>167</v>
      </c>
      <c r="C13" s="77" t="n">
        <v>46204</v>
      </c>
      <c r="D13" s="38" t="s">
        <v>168</v>
      </c>
      <c r="E13" s="38" t="s">
        <v>146</v>
      </c>
      <c r="F13" s="38" t="s">
        <v>147</v>
      </c>
      <c r="G13" s="78" t="n">
        <v>9308.6</v>
      </c>
      <c r="H13" s="39" t="s">
        <v>148</v>
      </c>
      <c r="I13" s="77" t="n">
        <v>46234</v>
      </c>
      <c r="J13" s="79" t="n">
        <f aca="false">IF(C13="","",C13+ValidDays)</f>
        <v>46234</v>
      </c>
      <c r="K13" s="80" t="n">
        <f aca="false">IF(C13="","",IF(OR(H13="Sent",H13="Draft"),AsOf-C13,IF(I13="","",I13-C13)))</f>
        <v>30</v>
      </c>
      <c r="L13" s="40" t="str">
        <f aca="false">IF(C13="","",IF(AND(H13="Sent",AsOf&gt;J13),"Past valid date",IF(AND(H13="Sent",AsOf-C13&gt;7),"Follow up",IF(AND(OR(H13="Accepted",H13="Declined"),I13=""),"Add decision date",""))))</f>
        <v/>
      </c>
      <c r="N13" s="85" t="n">
        <f aca="false">IFERROR(COUNTIF(lg_Status,"Accepted")/(COUNTIF(lg_Status,"Accepted")+COUNTIF(lg_Status,"Declined")+COUNTIF(lg_Status,"Expired")),0)</f>
        <v>0.53125</v>
      </c>
      <c r="O13" s="85"/>
      <c r="P13" s="86" t="n">
        <f aca="false">IFERROR(AVERAGE(lg_Total),0)</f>
        <v>6766.86651162791</v>
      </c>
      <c r="Q13" s="86"/>
    </row>
    <row r="14" customFormat="false" ht="15" hidden="false" customHeight="false" outlineLevel="0" collapsed="false">
      <c r="B14" s="39" t="s">
        <v>169</v>
      </c>
      <c r="C14" s="77" t="n">
        <v>46205</v>
      </c>
      <c r="D14" s="38" t="s">
        <v>170</v>
      </c>
      <c r="E14" s="38" t="s">
        <v>171</v>
      </c>
      <c r="F14" s="38" t="s">
        <v>147</v>
      </c>
      <c r="G14" s="78" t="n">
        <v>10251.75</v>
      </c>
      <c r="H14" s="39" t="s">
        <v>148</v>
      </c>
      <c r="I14" s="77" t="n">
        <v>46235</v>
      </c>
      <c r="J14" s="79" t="n">
        <f aca="false">IF(C14="","",C14+ValidDays)</f>
        <v>46235</v>
      </c>
      <c r="K14" s="80" t="n">
        <f aca="false">IF(C14="","",IF(OR(H14="Sent",H14="Draft"),AsOf-C14,IF(I14="","",I14-C14)))</f>
        <v>30</v>
      </c>
      <c r="L14" s="40" t="str">
        <f aca="false">IF(C14="","",IF(AND(H14="Sent",AsOf&gt;J14),"Past valid date",IF(AND(H14="Sent",AsOf-C14&gt;7),"Follow up",IF(AND(OR(H14="Accepted",H14="Declined"),I14=""),"Add decision date",""))))</f>
        <v/>
      </c>
      <c r="N14" s="28" t="s">
        <v>172</v>
      </c>
      <c r="P14" s="28" t="s">
        <v>173</v>
      </c>
    </row>
    <row r="15" customFormat="false" ht="17.35" hidden="false" customHeight="false" outlineLevel="0" collapsed="false">
      <c r="B15" s="39" t="s">
        <v>174</v>
      </c>
      <c r="C15" s="77" t="n">
        <v>46211</v>
      </c>
      <c r="D15" s="38" t="s">
        <v>175</v>
      </c>
      <c r="E15" s="38" t="s">
        <v>141</v>
      </c>
      <c r="F15" s="38" t="s">
        <v>142</v>
      </c>
      <c r="G15" s="78" t="n">
        <v>6749.11</v>
      </c>
      <c r="H15" s="39" t="s">
        <v>154</v>
      </c>
      <c r="I15" s="77" t="n">
        <v>46215</v>
      </c>
      <c r="J15" s="79" t="n">
        <f aca="false">IF(C15="","",C15+ValidDays)</f>
        <v>46241</v>
      </c>
      <c r="K15" s="80" t="n">
        <f aca="false">IF(C15="","",IF(OR(H15="Sent",H15="Draft"),AsOf-C15,IF(I15="","",I15-C15)))</f>
        <v>4</v>
      </c>
      <c r="L15" s="40" t="str">
        <f aca="false">IF(C15="","",IF(AND(H15="Sent",AsOf&gt;J15),"Past valid date",IF(AND(H15="Sent",AsOf-C15&gt;7),"Follow up",IF(AND(OR(H15="Accepted",H15="Declined"),I15=""),"Add decision date",""))))</f>
        <v/>
      </c>
      <c r="N15" s="87" t="n">
        <f aca="false">COUNTIF(lg_Status,"Sent")</f>
        <v>11</v>
      </c>
      <c r="O15" s="87"/>
      <c r="P15" s="86" t="n">
        <f aca="false">SUMIFS(lg_Total,lg_Status,"Sent")</f>
        <v>79336.78</v>
      </c>
      <c r="Q15" s="86"/>
    </row>
    <row r="16" customFormat="false" ht="15" hidden="false" customHeight="false" outlineLevel="0" collapsed="false">
      <c r="B16" s="39" t="s">
        <v>176</v>
      </c>
      <c r="C16" s="77" t="n">
        <v>46217</v>
      </c>
      <c r="D16" s="38" t="s">
        <v>177</v>
      </c>
      <c r="E16" s="38" t="s">
        <v>151</v>
      </c>
      <c r="F16" s="38" t="s">
        <v>142</v>
      </c>
      <c r="G16" s="78" t="n">
        <v>9877.27</v>
      </c>
      <c r="H16" s="39" t="s">
        <v>154</v>
      </c>
      <c r="I16" s="77" t="n">
        <v>46228</v>
      </c>
      <c r="J16" s="79" t="n">
        <f aca="false">IF(C16="","",C16+ValidDays)</f>
        <v>46247</v>
      </c>
      <c r="K16" s="80" t="n">
        <f aca="false">IF(C16="","",IF(OR(H16="Sent",H16="Draft"),AsOf-C16,IF(I16="","",I16-C16)))</f>
        <v>11</v>
      </c>
      <c r="L16" s="40" t="str">
        <f aca="false">IF(C16="","",IF(AND(H16="Sent",AsOf&gt;J16),"Past valid date",IF(AND(H16="Sent",AsOf-C16&gt;7),"Follow up",IF(AND(OR(H16="Accepted",H16="Declined"),I16=""),"Add decision date",""))))</f>
        <v/>
      </c>
    </row>
    <row r="17" customFormat="false" ht="15" hidden="false" customHeight="false" outlineLevel="0" collapsed="false">
      <c r="B17" s="39" t="s">
        <v>178</v>
      </c>
      <c r="C17" s="77" t="n">
        <v>46218</v>
      </c>
      <c r="D17" s="38" t="s">
        <v>179</v>
      </c>
      <c r="E17" s="38" t="s">
        <v>141</v>
      </c>
      <c r="F17" s="38" t="s">
        <v>147</v>
      </c>
      <c r="G17" s="78" t="n">
        <v>4490.41</v>
      </c>
      <c r="H17" s="39" t="s">
        <v>143</v>
      </c>
      <c r="I17" s="77" t="n">
        <v>46228</v>
      </c>
      <c r="J17" s="79" t="n">
        <f aca="false">IF(C17="","",C17+ValidDays)</f>
        <v>46248</v>
      </c>
      <c r="K17" s="80" t="n">
        <f aca="false">IF(C17="","",IF(OR(H17="Sent",H17="Draft"),AsOf-C17,IF(I17="","",I17-C17)))</f>
        <v>10</v>
      </c>
      <c r="L17" s="40" t="str">
        <f aca="false">IF(C17="","",IF(AND(H17="Sent",AsOf&gt;J17),"Past valid date",IF(AND(H17="Sent",AsOf-C17&gt;7),"Follow up",IF(AND(OR(H17="Accepted",H17="Declined"),I17=""),"Add decision date",""))))</f>
        <v/>
      </c>
    </row>
    <row r="18" customFormat="false" ht="15" hidden="false" customHeight="false" outlineLevel="0" collapsed="false">
      <c r="B18" s="39" t="s">
        <v>180</v>
      </c>
      <c r="C18" s="77" t="n">
        <v>46219</v>
      </c>
      <c r="D18" s="38" t="s">
        <v>181</v>
      </c>
      <c r="E18" s="38" t="s">
        <v>182</v>
      </c>
      <c r="F18" s="38" t="s">
        <v>71</v>
      </c>
      <c r="G18" s="78" t="n">
        <v>4773.05</v>
      </c>
      <c r="H18" s="39" t="s">
        <v>148</v>
      </c>
      <c r="I18" s="77" t="n">
        <v>46249</v>
      </c>
      <c r="J18" s="79" t="n">
        <f aca="false">IF(C18="","",C18+ValidDays)</f>
        <v>46249</v>
      </c>
      <c r="K18" s="80" t="n">
        <f aca="false">IF(C18="","",IF(OR(H18="Sent",H18="Draft"),AsOf-C18,IF(I18="","",I18-C18)))</f>
        <v>30</v>
      </c>
      <c r="L18" s="40" t="str">
        <f aca="false">IF(C18="","",IF(AND(H18="Sent",AsOf&gt;J18),"Past valid date",IF(AND(H18="Sent",AsOf-C18&gt;7),"Follow up",IF(AND(OR(H18="Accepted",H18="Declined"),I18=""),"Add decision date",""))))</f>
        <v/>
      </c>
    </row>
    <row r="19" customFormat="false" ht="15" hidden="false" customHeight="false" outlineLevel="0" collapsed="false">
      <c r="B19" s="39" t="s">
        <v>183</v>
      </c>
      <c r="C19" s="77" t="n">
        <v>46227</v>
      </c>
      <c r="D19" s="38" t="s">
        <v>184</v>
      </c>
      <c r="E19" s="38" t="s">
        <v>185</v>
      </c>
      <c r="F19" s="38" t="s">
        <v>147</v>
      </c>
      <c r="G19" s="78" t="n">
        <v>3409.37</v>
      </c>
      <c r="H19" s="39" t="s">
        <v>154</v>
      </c>
      <c r="I19" s="77" t="n">
        <v>46243</v>
      </c>
      <c r="J19" s="79" t="n">
        <f aca="false">IF(C19="","",C19+ValidDays)</f>
        <v>46257</v>
      </c>
      <c r="K19" s="80" t="n">
        <f aca="false">IF(C19="","",IF(OR(H19="Sent",H19="Draft"),AsOf-C19,IF(I19="","",I19-C19)))</f>
        <v>16</v>
      </c>
      <c r="L19" s="40" t="str">
        <f aca="false">IF(C19="","",IF(AND(H19="Sent",AsOf&gt;J19),"Past valid date",IF(AND(H19="Sent",AsOf-C19&gt;7),"Follow up",IF(AND(OR(H19="Accepted",H19="Declined"),I19=""),"Add decision date",""))))</f>
        <v/>
      </c>
    </row>
    <row r="20" customFormat="false" ht="15" hidden="false" customHeight="false" outlineLevel="0" collapsed="false">
      <c r="B20" s="39" t="s">
        <v>186</v>
      </c>
      <c r="C20" s="77" t="n">
        <v>46238</v>
      </c>
      <c r="D20" s="38" t="s">
        <v>187</v>
      </c>
      <c r="E20" s="38" t="s">
        <v>151</v>
      </c>
      <c r="F20" s="38" t="s">
        <v>147</v>
      </c>
      <c r="G20" s="78" t="n">
        <v>6764.15</v>
      </c>
      <c r="H20" s="39" t="s">
        <v>143</v>
      </c>
      <c r="I20" s="77" t="n">
        <v>46241</v>
      </c>
      <c r="J20" s="79" t="n">
        <f aca="false">IF(C20="","",C20+ValidDays)</f>
        <v>46268</v>
      </c>
      <c r="K20" s="80" t="n">
        <f aca="false">IF(C20="","",IF(OR(H20="Sent",H20="Draft"),AsOf-C20,IF(I20="","",I20-C20)))</f>
        <v>3</v>
      </c>
      <c r="L20" s="40" t="str">
        <f aca="false">IF(C20="","",IF(AND(H20="Sent",AsOf&gt;J20),"Past valid date",IF(AND(H20="Sent",AsOf-C20&gt;7),"Follow up",IF(AND(OR(H20="Accepted",H20="Declined"),I20=""),"Add decision date",""))))</f>
        <v/>
      </c>
    </row>
    <row r="21" customFormat="false" ht="15" hidden="false" customHeight="false" outlineLevel="0" collapsed="false">
      <c r="B21" s="39" t="s">
        <v>188</v>
      </c>
      <c r="C21" s="77" t="n">
        <v>46239</v>
      </c>
      <c r="D21" s="38" t="s">
        <v>189</v>
      </c>
      <c r="E21" s="38" t="s">
        <v>141</v>
      </c>
      <c r="F21" s="38" t="s">
        <v>147</v>
      </c>
      <c r="G21" s="78" t="n">
        <v>8709.94</v>
      </c>
      <c r="H21" s="39" t="s">
        <v>148</v>
      </c>
      <c r="I21" s="77" t="n">
        <v>46269</v>
      </c>
      <c r="J21" s="79" t="n">
        <f aca="false">IF(C21="","",C21+ValidDays)</f>
        <v>46269</v>
      </c>
      <c r="K21" s="80" t="n">
        <f aca="false">IF(C21="","",IF(OR(H21="Sent",H21="Draft"),AsOf-C21,IF(I21="","",I21-C21)))</f>
        <v>30</v>
      </c>
      <c r="L21" s="40" t="str">
        <f aca="false">IF(C21="","",IF(AND(H21="Sent",AsOf&gt;J21),"Past valid date",IF(AND(H21="Sent",AsOf-C21&gt;7),"Follow up",IF(AND(OR(H21="Accepted",H21="Declined"),I21=""),"Add decision date",""))))</f>
        <v/>
      </c>
    </row>
    <row r="22" customFormat="false" ht="15" hidden="false" customHeight="false" outlineLevel="0" collapsed="false">
      <c r="B22" s="39" t="s">
        <v>190</v>
      </c>
      <c r="C22" s="77" t="n">
        <v>46244</v>
      </c>
      <c r="D22" s="38" t="s">
        <v>191</v>
      </c>
      <c r="E22" s="38" t="s">
        <v>146</v>
      </c>
      <c r="F22" s="38" t="s">
        <v>142</v>
      </c>
      <c r="G22" s="78" t="n">
        <v>12682.53</v>
      </c>
      <c r="H22" s="39" t="s">
        <v>143</v>
      </c>
      <c r="I22" s="77" t="n">
        <v>46253</v>
      </c>
      <c r="J22" s="79" t="n">
        <f aca="false">IF(C22="","",C22+ValidDays)</f>
        <v>46274</v>
      </c>
      <c r="K22" s="80" t="n">
        <f aca="false">IF(C22="","",IF(OR(H22="Sent",H22="Draft"),AsOf-C22,IF(I22="","",I22-C22)))</f>
        <v>9</v>
      </c>
      <c r="L22" s="40" t="str">
        <f aca="false">IF(C22="","",IF(AND(H22="Sent",AsOf&gt;J22),"Past valid date",IF(AND(H22="Sent",AsOf-C22&gt;7),"Follow up",IF(AND(OR(H22="Accepted",H22="Declined"),I22=""),"Add decision date",""))))</f>
        <v/>
      </c>
    </row>
    <row r="23" customFormat="false" ht="15" hidden="false" customHeight="false" outlineLevel="0" collapsed="false">
      <c r="B23" s="39" t="s">
        <v>192</v>
      </c>
      <c r="C23" s="77" t="n">
        <v>46245</v>
      </c>
      <c r="D23" s="38" t="s">
        <v>145</v>
      </c>
      <c r="E23" s="38" t="s">
        <v>164</v>
      </c>
      <c r="F23" s="38" t="s">
        <v>71</v>
      </c>
      <c r="G23" s="78" t="n">
        <v>3653.44</v>
      </c>
      <c r="H23" s="39" t="s">
        <v>143</v>
      </c>
      <c r="I23" s="77" t="n">
        <v>46257</v>
      </c>
      <c r="J23" s="79" t="n">
        <f aca="false">IF(C23="","",C23+ValidDays)</f>
        <v>46275</v>
      </c>
      <c r="K23" s="80" t="n">
        <f aca="false">IF(C23="","",IF(OR(H23="Sent",H23="Draft"),AsOf-C23,IF(I23="","",I23-C23)))</f>
        <v>12</v>
      </c>
      <c r="L23" s="40" t="str">
        <f aca="false">IF(C23="","",IF(AND(H23="Sent",AsOf&gt;J23),"Past valid date",IF(AND(H23="Sent",AsOf-C23&gt;7),"Follow up",IF(AND(OR(H23="Accepted",H23="Declined"),I23=""),"Add decision date",""))))</f>
        <v/>
      </c>
    </row>
    <row r="24" customFormat="false" ht="15" hidden="false" customHeight="false" outlineLevel="0" collapsed="false">
      <c r="B24" s="39" t="s">
        <v>193</v>
      </c>
      <c r="C24" s="77" t="n">
        <v>46248</v>
      </c>
      <c r="D24" s="38" t="s">
        <v>194</v>
      </c>
      <c r="E24" s="38" t="s">
        <v>157</v>
      </c>
      <c r="F24" s="38" t="s">
        <v>147</v>
      </c>
      <c r="G24" s="78" t="n">
        <v>1603.35</v>
      </c>
      <c r="H24" s="39" t="s">
        <v>154</v>
      </c>
      <c r="I24" s="77" t="n">
        <v>46269</v>
      </c>
      <c r="J24" s="79" t="n">
        <f aca="false">IF(C24="","",C24+ValidDays)</f>
        <v>46278</v>
      </c>
      <c r="K24" s="80" t="n">
        <f aca="false">IF(C24="","",IF(OR(H24="Sent",H24="Draft"),AsOf-C24,IF(I24="","",I24-C24)))</f>
        <v>21</v>
      </c>
      <c r="L24" s="40" t="str">
        <f aca="false">IF(C24="","",IF(AND(H24="Sent",AsOf&gt;J24),"Past valid date",IF(AND(H24="Sent",AsOf-C24&gt;7),"Follow up",IF(AND(OR(H24="Accepted",H24="Declined"),I24=""),"Add decision date",""))))</f>
        <v/>
      </c>
    </row>
    <row r="25" customFormat="false" ht="15" hidden="false" customHeight="false" outlineLevel="0" collapsed="false">
      <c r="B25" s="39" t="s">
        <v>195</v>
      </c>
      <c r="C25" s="77" t="n">
        <v>46255</v>
      </c>
      <c r="D25" s="38" t="s">
        <v>196</v>
      </c>
      <c r="E25" s="38" t="s">
        <v>146</v>
      </c>
      <c r="F25" s="38" t="s">
        <v>71</v>
      </c>
      <c r="G25" s="78" t="n">
        <v>11926.57</v>
      </c>
      <c r="H25" s="39" t="s">
        <v>143</v>
      </c>
      <c r="I25" s="77" t="n">
        <v>46270</v>
      </c>
      <c r="J25" s="79" t="n">
        <f aca="false">IF(C25="","",C25+ValidDays)</f>
        <v>46285</v>
      </c>
      <c r="K25" s="80" t="n">
        <f aca="false">IF(C25="","",IF(OR(H25="Sent",H25="Draft"),AsOf-C25,IF(I25="","",I25-C25)))</f>
        <v>15</v>
      </c>
      <c r="L25" s="40" t="str">
        <f aca="false">IF(C25="","",IF(AND(H25="Sent",AsOf&gt;J25),"Past valid date",IF(AND(H25="Sent",AsOf-C25&gt;7),"Follow up",IF(AND(OR(H25="Accepted",H25="Declined"),I25=""),"Add decision date",""))))</f>
        <v/>
      </c>
    </row>
    <row r="26" customFormat="false" ht="15" hidden="false" customHeight="false" outlineLevel="0" collapsed="false">
      <c r="B26" s="39" t="s">
        <v>197</v>
      </c>
      <c r="C26" s="77" t="n">
        <v>46258</v>
      </c>
      <c r="D26" s="38" t="s">
        <v>198</v>
      </c>
      <c r="E26" s="38" t="s">
        <v>182</v>
      </c>
      <c r="F26" s="38" t="s">
        <v>147</v>
      </c>
      <c r="G26" s="78" t="n">
        <v>4060.94</v>
      </c>
      <c r="H26" s="39" t="s">
        <v>143</v>
      </c>
      <c r="I26" s="77" t="n">
        <v>46261</v>
      </c>
      <c r="J26" s="79" t="n">
        <f aca="false">IF(C26="","",C26+ValidDays)</f>
        <v>46288</v>
      </c>
      <c r="K26" s="80" t="n">
        <f aca="false">IF(C26="","",IF(OR(H26="Sent",H26="Draft"),AsOf-C26,IF(I26="","",I26-C26)))</f>
        <v>3</v>
      </c>
      <c r="L26" s="40" t="str">
        <f aca="false">IF(C26="","",IF(AND(H26="Sent",AsOf&gt;J26),"Past valid date",IF(AND(H26="Sent",AsOf-C26&gt;7),"Follow up",IF(AND(OR(H26="Accepted",H26="Declined"),I26=""),"Add decision date",""))))</f>
        <v/>
      </c>
    </row>
    <row r="27" customFormat="false" ht="15" hidden="false" customHeight="false" outlineLevel="0" collapsed="false">
      <c r="B27" s="39" t="s">
        <v>199</v>
      </c>
      <c r="C27" s="77" t="n">
        <v>46260</v>
      </c>
      <c r="D27" s="38" t="s">
        <v>200</v>
      </c>
      <c r="E27" s="38" t="s">
        <v>182</v>
      </c>
      <c r="F27" s="38" t="s">
        <v>147</v>
      </c>
      <c r="G27" s="78" t="n">
        <v>5121.12</v>
      </c>
      <c r="H27" s="39" t="s">
        <v>120</v>
      </c>
      <c r="I27" s="77"/>
      <c r="J27" s="79" t="n">
        <f aca="false">IF(C27="","",C27+ValidDays)</f>
        <v>46290</v>
      </c>
      <c r="K27" s="80" t="n">
        <f aca="false">IF(C27="","",IF(OR(H27="Sent",H27="Draft"),AsOf-C27,IF(I27="","",I27-C27)))</f>
        <v>47</v>
      </c>
      <c r="L27" s="40" t="str">
        <f aca="false">IF(C27="","",IF(AND(H27="Sent",AsOf&gt;J27),"Past valid date",IF(AND(H27="Sent",AsOf-C27&gt;7),"Follow up",IF(AND(OR(H27="Accepted",H27="Declined"),I27=""),"Add decision date",""))))</f>
        <v>Past valid date</v>
      </c>
    </row>
    <row r="28" customFormat="false" ht="15" hidden="false" customHeight="false" outlineLevel="0" collapsed="false">
      <c r="B28" s="39" t="s">
        <v>201</v>
      </c>
      <c r="C28" s="77" t="n">
        <v>46261</v>
      </c>
      <c r="D28" s="38" t="s">
        <v>202</v>
      </c>
      <c r="E28" s="38" t="s">
        <v>151</v>
      </c>
      <c r="F28" s="38" t="s">
        <v>147</v>
      </c>
      <c r="G28" s="78" t="n">
        <v>7852.94</v>
      </c>
      <c r="H28" s="39" t="s">
        <v>143</v>
      </c>
      <c r="I28" s="77" t="n">
        <v>46265</v>
      </c>
      <c r="J28" s="79" t="n">
        <f aca="false">IF(C28="","",C28+ValidDays)</f>
        <v>46291</v>
      </c>
      <c r="K28" s="80" t="n">
        <f aca="false">IF(C28="","",IF(OR(H28="Sent",H28="Draft"),AsOf-C28,IF(I28="","",I28-C28)))</f>
        <v>4</v>
      </c>
      <c r="L28" s="40" t="str">
        <f aca="false">IF(C28="","",IF(AND(H28="Sent",AsOf&gt;J28),"Past valid date",IF(AND(H28="Sent",AsOf-C28&gt;7),"Follow up",IF(AND(OR(H28="Accepted",H28="Declined"),I28=""),"Add decision date",""))))</f>
        <v/>
      </c>
    </row>
    <row r="29" customFormat="false" ht="15" hidden="false" customHeight="false" outlineLevel="0" collapsed="false">
      <c r="B29" s="39" t="s">
        <v>203</v>
      </c>
      <c r="C29" s="77" t="n">
        <v>46262</v>
      </c>
      <c r="D29" s="38" t="s">
        <v>204</v>
      </c>
      <c r="E29" s="38" t="s">
        <v>182</v>
      </c>
      <c r="F29" s="38" t="s">
        <v>142</v>
      </c>
      <c r="G29" s="78" t="n">
        <v>3233.06</v>
      </c>
      <c r="H29" s="39" t="s">
        <v>143</v>
      </c>
      <c r="I29" s="77" t="n">
        <v>46278</v>
      </c>
      <c r="J29" s="79" t="n">
        <f aca="false">IF(C29="","",C29+ValidDays)</f>
        <v>46292</v>
      </c>
      <c r="K29" s="80" t="n">
        <f aca="false">IF(C29="","",IF(OR(H29="Sent",H29="Draft"),AsOf-C29,IF(I29="","",I29-C29)))</f>
        <v>16</v>
      </c>
      <c r="L29" s="40" t="str">
        <f aca="false">IF(C29="","",IF(AND(H29="Sent",AsOf&gt;J29),"Past valid date",IF(AND(H29="Sent",AsOf-C29&gt;7),"Follow up",IF(AND(OR(H29="Accepted",H29="Declined"),I29=""),"Add decision date",""))))</f>
        <v/>
      </c>
    </row>
    <row r="30" customFormat="false" ht="15" hidden="false" customHeight="false" outlineLevel="0" collapsed="false">
      <c r="B30" s="39" t="s">
        <v>205</v>
      </c>
      <c r="C30" s="77" t="n">
        <v>46265</v>
      </c>
      <c r="D30" s="38" t="s">
        <v>206</v>
      </c>
      <c r="E30" s="38" t="s">
        <v>182</v>
      </c>
      <c r="F30" s="38" t="s">
        <v>71</v>
      </c>
      <c r="G30" s="78" t="n">
        <v>2655.71</v>
      </c>
      <c r="H30" s="39" t="s">
        <v>143</v>
      </c>
      <c r="I30" s="77" t="n">
        <v>46281</v>
      </c>
      <c r="J30" s="79" t="n">
        <f aca="false">IF(C30="","",C30+ValidDays)</f>
        <v>46295</v>
      </c>
      <c r="K30" s="80" t="n">
        <f aca="false">IF(C30="","",IF(OR(H30="Sent",H30="Draft"),AsOf-C30,IF(I30="","",I30-C30)))</f>
        <v>16</v>
      </c>
      <c r="L30" s="40" t="str">
        <f aca="false">IF(C30="","",IF(AND(H30="Sent",AsOf&gt;J30),"Past valid date",IF(AND(H30="Sent",AsOf-C30&gt;7),"Follow up",IF(AND(OR(H30="Accepted",H30="Declined"),I30=""),"Add decision date",""))))</f>
        <v/>
      </c>
    </row>
    <row r="31" customFormat="false" ht="15" hidden="false" customHeight="false" outlineLevel="0" collapsed="false">
      <c r="B31" s="39" t="s">
        <v>207</v>
      </c>
      <c r="C31" s="77" t="n">
        <v>46266</v>
      </c>
      <c r="D31" s="38" t="s">
        <v>208</v>
      </c>
      <c r="E31" s="38" t="s">
        <v>146</v>
      </c>
      <c r="F31" s="38" t="s">
        <v>147</v>
      </c>
      <c r="G31" s="78" t="n">
        <v>9566.45</v>
      </c>
      <c r="H31" s="39" t="s">
        <v>120</v>
      </c>
      <c r="I31" s="77"/>
      <c r="J31" s="79" t="n">
        <f aca="false">IF(C31="","",C31+ValidDays)</f>
        <v>46296</v>
      </c>
      <c r="K31" s="80" t="n">
        <f aca="false">IF(C31="","",IF(OR(H31="Sent",H31="Draft"),AsOf-C31,IF(I31="","",I31-C31)))</f>
        <v>41</v>
      </c>
      <c r="L31" s="40" t="str">
        <f aca="false">IF(C31="","",IF(AND(H31="Sent",AsOf&gt;J31),"Past valid date",IF(AND(H31="Sent",AsOf-C31&gt;7),"Follow up",IF(AND(OR(H31="Accepted",H31="Declined"),I31=""),"Add decision date",""))))</f>
        <v>Past valid date</v>
      </c>
    </row>
    <row r="32" customFormat="false" ht="15" hidden="false" customHeight="false" outlineLevel="0" collapsed="false">
      <c r="B32" s="39" t="s">
        <v>209</v>
      </c>
      <c r="C32" s="77" t="n">
        <v>46267</v>
      </c>
      <c r="D32" s="38" t="s">
        <v>210</v>
      </c>
      <c r="E32" s="38" t="s">
        <v>171</v>
      </c>
      <c r="F32" s="38" t="s">
        <v>71</v>
      </c>
      <c r="G32" s="78" t="n">
        <v>6277.9</v>
      </c>
      <c r="H32" s="39" t="s">
        <v>143</v>
      </c>
      <c r="I32" s="77" t="n">
        <v>46279</v>
      </c>
      <c r="J32" s="79" t="n">
        <f aca="false">IF(C32="","",C32+ValidDays)</f>
        <v>46297</v>
      </c>
      <c r="K32" s="80" t="n">
        <f aca="false">IF(C32="","",IF(OR(H32="Sent",H32="Draft"),AsOf-C32,IF(I32="","",I32-C32)))</f>
        <v>12</v>
      </c>
      <c r="L32" s="40" t="str">
        <f aca="false">IF(C32="","",IF(AND(H32="Sent",AsOf&gt;J32),"Past valid date",IF(AND(H32="Sent",AsOf-C32&gt;7),"Follow up",IF(AND(OR(H32="Accepted",H32="Declined"),I32=""),"Add decision date",""))))</f>
        <v/>
      </c>
    </row>
    <row r="33" customFormat="false" ht="15" hidden="false" customHeight="false" outlineLevel="0" collapsed="false">
      <c r="B33" s="39" t="s">
        <v>211</v>
      </c>
      <c r="C33" s="77" t="n">
        <v>46269</v>
      </c>
      <c r="D33" s="38" t="s">
        <v>212</v>
      </c>
      <c r="E33" s="38" t="s">
        <v>185</v>
      </c>
      <c r="F33" s="38" t="s">
        <v>147</v>
      </c>
      <c r="G33" s="78" t="n">
        <v>5813.7</v>
      </c>
      <c r="H33" s="39" t="s">
        <v>154</v>
      </c>
      <c r="I33" s="77" t="n">
        <v>46282</v>
      </c>
      <c r="J33" s="79" t="n">
        <f aca="false">IF(C33="","",C33+ValidDays)</f>
        <v>46299</v>
      </c>
      <c r="K33" s="80" t="n">
        <f aca="false">IF(C33="","",IF(OR(H33="Sent",H33="Draft"),AsOf-C33,IF(I33="","",I33-C33)))</f>
        <v>13</v>
      </c>
      <c r="L33" s="40" t="str">
        <f aca="false">IF(C33="","",IF(AND(H33="Sent",AsOf&gt;J33),"Past valid date",IF(AND(H33="Sent",AsOf-C33&gt;7),"Follow up",IF(AND(OR(H33="Accepted",H33="Declined"),I33=""),"Add decision date",""))))</f>
        <v/>
      </c>
    </row>
    <row r="34" customFormat="false" ht="15" hidden="false" customHeight="false" outlineLevel="0" collapsed="false">
      <c r="B34" s="39" t="s">
        <v>213</v>
      </c>
      <c r="C34" s="77" t="n">
        <v>46272</v>
      </c>
      <c r="D34" s="38" t="s">
        <v>214</v>
      </c>
      <c r="E34" s="38" t="s">
        <v>141</v>
      </c>
      <c r="F34" s="38" t="s">
        <v>71</v>
      </c>
      <c r="G34" s="78" t="n">
        <v>5370.41</v>
      </c>
      <c r="H34" s="39" t="s">
        <v>154</v>
      </c>
      <c r="I34" s="77" t="n">
        <v>46279</v>
      </c>
      <c r="J34" s="79" t="n">
        <f aca="false">IF(C34="","",C34+ValidDays)</f>
        <v>46302</v>
      </c>
      <c r="K34" s="80" t="n">
        <f aca="false">IF(C34="","",IF(OR(H34="Sent",H34="Draft"),AsOf-C34,IF(I34="","",I34-C34)))</f>
        <v>7</v>
      </c>
      <c r="L34" s="40" t="str">
        <f aca="false">IF(C34="","",IF(AND(H34="Sent",AsOf&gt;J34),"Past valid date",IF(AND(H34="Sent",AsOf-C34&gt;7),"Follow up",IF(AND(OR(H34="Accepted",H34="Declined"),I34=""),"Add decision date",""))))</f>
        <v/>
      </c>
    </row>
    <row r="35" customFormat="false" ht="15" hidden="false" customHeight="false" outlineLevel="0" collapsed="false">
      <c r="B35" s="39" t="s">
        <v>215</v>
      </c>
      <c r="C35" s="77" t="n">
        <v>46276</v>
      </c>
      <c r="D35" s="38" t="s">
        <v>216</v>
      </c>
      <c r="E35" s="38" t="s">
        <v>171</v>
      </c>
      <c r="F35" s="38" t="s">
        <v>71</v>
      </c>
      <c r="G35" s="78" t="n">
        <v>9086.12</v>
      </c>
      <c r="H35" s="39" t="s">
        <v>143</v>
      </c>
      <c r="I35" s="77" t="n">
        <v>46291</v>
      </c>
      <c r="J35" s="79" t="n">
        <f aca="false">IF(C35="","",C35+ValidDays)</f>
        <v>46306</v>
      </c>
      <c r="K35" s="80" t="n">
        <f aca="false">IF(C35="","",IF(OR(H35="Sent",H35="Draft"),AsOf-C35,IF(I35="","",I35-C35)))</f>
        <v>15</v>
      </c>
      <c r="L35" s="40" t="str">
        <f aca="false">IF(C35="","",IF(AND(H35="Sent",AsOf&gt;J35),"Past valid date",IF(AND(H35="Sent",AsOf-C35&gt;7),"Follow up",IF(AND(OR(H35="Accepted",H35="Declined"),I35=""),"Add decision date",""))))</f>
        <v/>
      </c>
    </row>
    <row r="36" customFormat="false" ht="15" hidden="false" customHeight="false" outlineLevel="0" collapsed="false">
      <c r="B36" s="39" t="s">
        <v>217</v>
      </c>
      <c r="C36" s="77" t="n">
        <v>46282</v>
      </c>
      <c r="D36" s="38" t="s">
        <v>218</v>
      </c>
      <c r="E36" s="38" t="s">
        <v>141</v>
      </c>
      <c r="F36" s="38" t="s">
        <v>71</v>
      </c>
      <c r="G36" s="78" t="n">
        <v>8273.62</v>
      </c>
      <c r="H36" s="39" t="s">
        <v>120</v>
      </c>
      <c r="I36" s="77"/>
      <c r="J36" s="79" t="n">
        <f aca="false">IF(C36="","",C36+ValidDays)</f>
        <v>46312</v>
      </c>
      <c r="K36" s="80" t="n">
        <f aca="false">IF(C36="","",IF(OR(H36="Sent",H36="Draft"),AsOf-C36,IF(I36="","",I36-C36)))</f>
        <v>25</v>
      </c>
      <c r="L36" s="40" t="str">
        <f aca="false">IF(C36="","",IF(AND(H36="Sent",AsOf&gt;J36),"Past valid date",IF(AND(H36="Sent",AsOf-C36&gt;7),"Follow up",IF(AND(OR(H36="Accepted",H36="Declined"),I36=""),"Add decision date",""))))</f>
        <v>Follow up</v>
      </c>
    </row>
    <row r="37" customFormat="false" ht="15" hidden="false" customHeight="false" outlineLevel="0" collapsed="false">
      <c r="B37" s="39" t="s">
        <v>219</v>
      </c>
      <c r="C37" s="77" t="n">
        <v>46283</v>
      </c>
      <c r="D37" s="38" t="s">
        <v>175</v>
      </c>
      <c r="E37" s="38" t="s">
        <v>151</v>
      </c>
      <c r="F37" s="38" t="s">
        <v>71</v>
      </c>
      <c r="G37" s="78" t="n">
        <v>8921.78</v>
      </c>
      <c r="H37" s="39" t="s">
        <v>143</v>
      </c>
      <c r="I37" s="77" t="n">
        <v>46298</v>
      </c>
      <c r="J37" s="79" t="n">
        <f aca="false">IF(C37="","",C37+ValidDays)</f>
        <v>46313</v>
      </c>
      <c r="K37" s="80" t="n">
        <f aca="false">IF(C37="","",IF(OR(H37="Sent",H37="Draft"),AsOf-C37,IF(I37="","",I37-C37)))</f>
        <v>15</v>
      </c>
      <c r="L37" s="40" t="str">
        <f aca="false">IF(C37="","",IF(AND(H37="Sent",AsOf&gt;J37),"Past valid date",IF(AND(H37="Sent",AsOf-C37&gt;7),"Follow up",IF(AND(OR(H37="Accepted",H37="Declined"),I37=""),"Add decision date",""))))</f>
        <v/>
      </c>
    </row>
    <row r="38" customFormat="false" ht="15" hidden="false" customHeight="false" outlineLevel="0" collapsed="false">
      <c r="B38" s="39" t="s">
        <v>220</v>
      </c>
      <c r="C38" s="77" t="n">
        <v>46286</v>
      </c>
      <c r="D38" s="38" t="s">
        <v>221</v>
      </c>
      <c r="E38" s="38" t="s">
        <v>171</v>
      </c>
      <c r="F38" s="38" t="s">
        <v>71</v>
      </c>
      <c r="G38" s="78" t="n">
        <v>10223.87</v>
      </c>
      <c r="H38" s="39" t="s">
        <v>120</v>
      </c>
      <c r="I38" s="77"/>
      <c r="J38" s="79" t="n">
        <f aca="false">IF(C38="","",C38+ValidDays)</f>
        <v>46316</v>
      </c>
      <c r="K38" s="80" t="n">
        <f aca="false">IF(C38="","",IF(OR(H38="Sent",H38="Draft"),AsOf-C38,IF(I38="","",I38-C38)))</f>
        <v>21</v>
      </c>
      <c r="L38" s="40" t="str">
        <f aca="false">IF(C38="","",IF(AND(H38="Sent",AsOf&gt;J38),"Past valid date",IF(AND(H38="Sent",AsOf-C38&gt;7),"Follow up",IF(AND(OR(H38="Accepted",H38="Declined"),I38=""),"Add decision date",""))))</f>
        <v>Follow up</v>
      </c>
    </row>
    <row r="39" customFormat="false" ht="15" hidden="false" customHeight="false" outlineLevel="0" collapsed="false">
      <c r="B39" s="39" t="s">
        <v>222</v>
      </c>
      <c r="C39" s="77" t="n">
        <v>46287</v>
      </c>
      <c r="D39" s="38" t="s">
        <v>223</v>
      </c>
      <c r="E39" s="38" t="s">
        <v>151</v>
      </c>
      <c r="F39" s="38" t="s">
        <v>71</v>
      </c>
      <c r="G39" s="78" t="n">
        <v>9667.6</v>
      </c>
      <c r="H39" s="39" t="s">
        <v>120</v>
      </c>
      <c r="I39" s="77"/>
      <c r="J39" s="79" t="n">
        <f aca="false">IF(C39="","",C39+ValidDays)</f>
        <v>46317</v>
      </c>
      <c r="K39" s="80" t="n">
        <f aca="false">IF(C39="","",IF(OR(H39="Sent",H39="Draft"),AsOf-C39,IF(I39="","",I39-C39)))</f>
        <v>20</v>
      </c>
      <c r="L39" s="40" t="str">
        <f aca="false">IF(C39="","",IF(AND(H39="Sent",AsOf&gt;J39),"Past valid date",IF(AND(H39="Sent",AsOf-C39&gt;7),"Follow up",IF(AND(OR(H39="Accepted",H39="Declined"),I39=""),"Add decision date",""))))</f>
        <v>Follow up</v>
      </c>
    </row>
    <row r="40" customFormat="false" ht="15" hidden="false" customHeight="false" outlineLevel="0" collapsed="false">
      <c r="B40" s="39" t="s">
        <v>224</v>
      </c>
      <c r="C40" s="77" t="n">
        <v>46288</v>
      </c>
      <c r="D40" s="38" t="s">
        <v>225</v>
      </c>
      <c r="E40" s="38" t="s">
        <v>146</v>
      </c>
      <c r="F40" s="38" t="s">
        <v>147</v>
      </c>
      <c r="G40" s="78" t="n">
        <v>8323.86</v>
      </c>
      <c r="H40" s="39" t="s">
        <v>143</v>
      </c>
      <c r="I40" s="77" t="n">
        <v>46303</v>
      </c>
      <c r="J40" s="79" t="n">
        <f aca="false">IF(C40="","",C40+ValidDays)</f>
        <v>46318</v>
      </c>
      <c r="K40" s="80" t="n">
        <f aca="false">IF(C40="","",IF(OR(H40="Sent",H40="Draft"),AsOf-C40,IF(I40="","",I40-C40)))</f>
        <v>15</v>
      </c>
      <c r="L40" s="40" t="str">
        <f aca="false">IF(C40="","",IF(AND(H40="Sent",AsOf&gt;J40),"Past valid date",IF(AND(H40="Sent",AsOf-C40&gt;7),"Follow up",IF(AND(OR(H40="Accepted",H40="Declined"),I40=""),"Add decision date",""))))</f>
        <v/>
      </c>
    </row>
    <row r="41" customFormat="false" ht="15" hidden="false" customHeight="false" outlineLevel="0" collapsed="false">
      <c r="B41" s="39" t="s">
        <v>226</v>
      </c>
      <c r="C41" s="77" t="n">
        <v>46289</v>
      </c>
      <c r="D41" s="38" t="s">
        <v>227</v>
      </c>
      <c r="E41" s="38" t="s">
        <v>146</v>
      </c>
      <c r="F41" s="38" t="s">
        <v>147</v>
      </c>
      <c r="G41" s="78" t="n">
        <v>12998.87</v>
      </c>
      <c r="H41" s="39" t="s">
        <v>120</v>
      </c>
      <c r="I41" s="77"/>
      <c r="J41" s="79" t="n">
        <f aca="false">IF(C41="","",C41+ValidDays)</f>
        <v>46319</v>
      </c>
      <c r="K41" s="80" t="n">
        <f aca="false">IF(C41="","",IF(OR(H41="Sent",H41="Draft"),AsOf-C41,IF(I41="","",I41-C41)))</f>
        <v>18</v>
      </c>
      <c r="L41" s="40" t="str">
        <f aca="false">IF(C41="","",IF(AND(H41="Sent",AsOf&gt;J41),"Past valid date",IF(AND(H41="Sent",AsOf-C41&gt;7),"Follow up",IF(AND(OR(H41="Accepted",H41="Declined"),I41=""),"Add decision date",""))))</f>
        <v>Follow up</v>
      </c>
    </row>
    <row r="42" customFormat="false" ht="15" hidden="false" customHeight="false" outlineLevel="0" collapsed="false">
      <c r="B42" s="39" t="s">
        <v>228</v>
      </c>
      <c r="C42" s="77" t="n">
        <v>46293</v>
      </c>
      <c r="D42" s="38" t="s">
        <v>229</v>
      </c>
      <c r="E42" s="38" t="s">
        <v>182</v>
      </c>
      <c r="F42" s="38" t="s">
        <v>71</v>
      </c>
      <c r="G42" s="78" t="n">
        <v>4526.37</v>
      </c>
      <c r="H42" s="39" t="s">
        <v>154</v>
      </c>
      <c r="I42" s="77" t="n">
        <v>46299</v>
      </c>
      <c r="J42" s="79" t="n">
        <f aca="false">IF(C42="","",C42+ValidDays)</f>
        <v>46323</v>
      </c>
      <c r="K42" s="80" t="n">
        <f aca="false">IF(C42="","",IF(OR(H42="Sent",H42="Draft"),AsOf-C42,IF(I42="","",I42-C42)))</f>
        <v>6</v>
      </c>
      <c r="L42" s="40" t="str">
        <f aca="false">IF(C42="","",IF(AND(H42="Sent",AsOf&gt;J42),"Past valid date",IF(AND(H42="Sent",AsOf-C42&gt;7),"Follow up",IF(AND(OR(H42="Accepted",H42="Declined"),I42=""),"Add decision date",""))))</f>
        <v/>
      </c>
    </row>
    <row r="43" customFormat="false" ht="15" hidden="false" customHeight="false" outlineLevel="0" collapsed="false">
      <c r="B43" s="39" t="s">
        <v>230</v>
      </c>
      <c r="C43" s="77" t="n">
        <v>46295</v>
      </c>
      <c r="D43" s="38" t="s">
        <v>231</v>
      </c>
      <c r="E43" s="38" t="s">
        <v>164</v>
      </c>
      <c r="F43" s="38" t="s">
        <v>71</v>
      </c>
      <c r="G43" s="78" t="n">
        <v>3079.98</v>
      </c>
      <c r="H43" s="39" t="s">
        <v>120</v>
      </c>
      <c r="I43" s="77"/>
      <c r="J43" s="79" t="n">
        <f aca="false">IF(C43="","",C43+ValidDays)</f>
        <v>46325</v>
      </c>
      <c r="K43" s="80" t="n">
        <f aca="false">IF(C43="","",IF(OR(H43="Sent",H43="Draft"),AsOf-C43,IF(I43="","",I43-C43)))</f>
        <v>12</v>
      </c>
      <c r="L43" s="40" t="str">
        <f aca="false">IF(C43="","",IF(AND(H43="Sent",AsOf&gt;J43),"Past valid date",IF(AND(H43="Sent",AsOf-C43&gt;7),"Follow up",IF(AND(OR(H43="Accepted",H43="Declined"),I43=""),"Add decision date",""))))</f>
        <v>Follow up</v>
      </c>
    </row>
    <row r="44" customFormat="false" ht="15" hidden="false" customHeight="false" outlineLevel="0" collapsed="false">
      <c r="B44" s="39" t="s">
        <v>232</v>
      </c>
      <c r="C44" s="77" t="n">
        <v>46297</v>
      </c>
      <c r="D44" s="38" t="s">
        <v>233</v>
      </c>
      <c r="E44" s="38" t="s">
        <v>157</v>
      </c>
      <c r="F44" s="38" t="s">
        <v>147</v>
      </c>
      <c r="G44" s="78" t="n">
        <v>1656.73</v>
      </c>
      <c r="H44" s="39" t="s">
        <v>120</v>
      </c>
      <c r="I44" s="77"/>
      <c r="J44" s="79" t="n">
        <f aca="false">IF(C44="","",C44+ValidDays)</f>
        <v>46327</v>
      </c>
      <c r="K44" s="80" t="n">
        <f aca="false">IF(C44="","",IF(OR(H44="Sent",H44="Draft"),AsOf-C44,IF(I44="","",I44-C44)))</f>
        <v>10</v>
      </c>
      <c r="L44" s="40" t="str">
        <f aca="false">IF(C44="","",IF(AND(H44="Sent",AsOf&gt;J44),"Past valid date",IF(AND(H44="Sent",AsOf-C44&gt;7),"Follow up",IF(AND(OR(H44="Accepted",H44="Declined"),I44=""),"Add decision date",""))))</f>
        <v>Follow up</v>
      </c>
    </row>
    <row r="45" customFormat="false" ht="15" hidden="false" customHeight="false" outlineLevel="0" collapsed="false">
      <c r="B45" s="39" t="s">
        <v>234</v>
      </c>
      <c r="C45" s="77" t="n">
        <v>46300</v>
      </c>
      <c r="D45" s="38" t="s">
        <v>235</v>
      </c>
      <c r="E45" s="38" t="s">
        <v>151</v>
      </c>
      <c r="F45" s="38" t="s">
        <v>142</v>
      </c>
      <c r="G45" s="78" t="n">
        <v>7100.48</v>
      </c>
      <c r="H45" s="39" t="s">
        <v>120</v>
      </c>
      <c r="I45" s="77"/>
      <c r="J45" s="79" t="n">
        <f aca="false">IF(C45="","",C45+ValidDays)</f>
        <v>46330</v>
      </c>
      <c r="K45" s="80" t="n">
        <f aca="false">IF(C45="","",IF(OR(H45="Sent",H45="Draft"),AsOf-C45,IF(I45="","",I45-C45)))</f>
        <v>7</v>
      </c>
      <c r="L45" s="40" t="str">
        <f aca="false">IF(C45="","",IF(AND(H45="Sent",AsOf&gt;J45),"Past valid date",IF(AND(H45="Sent",AsOf-C45&gt;7),"Follow up",IF(AND(OR(H45="Accepted",H45="Declined"),I45=""),"Add decision date",""))))</f>
        <v/>
      </c>
    </row>
    <row r="46" customFormat="false" ht="15" hidden="false" customHeight="false" outlineLevel="0" collapsed="false">
      <c r="B46" s="39" t="s">
        <v>236</v>
      </c>
      <c r="C46" s="77" t="n">
        <v>46301</v>
      </c>
      <c r="D46" s="38" t="s">
        <v>237</v>
      </c>
      <c r="E46" s="38" t="s">
        <v>164</v>
      </c>
      <c r="F46" s="38" t="s">
        <v>142</v>
      </c>
      <c r="G46" s="78" t="n">
        <v>3863.8</v>
      </c>
      <c r="H46" s="39" t="s">
        <v>120</v>
      </c>
      <c r="I46" s="77"/>
      <c r="J46" s="79" t="n">
        <f aca="false">IF(C46="","",C46+ValidDays)</f>
        <v>46331</v>
      </c>
      <c r="K46" s="80" t="n">
        <f aca="false">IF(C46="","",IF(OR(H46="Sent",H46="Draft"),AsOf-C46,IF(I46="","",I46-C46)))</f>
        <v>6</v>
      </c>
      <c r="L46" s="40" t="str">
        <f aca="false">IF(C46="","",IF(AND(H46="Sent",AsOf&gt;J46),"Past valid date",IF(AND(H46="Sent",AsOf-C46&gt;7),"Follow up",IF(AND(OR(H46="Accepted",H46="Declined"),I46=""),"Add decision date",""))))</f>
        <v/>
      </c>
    </row>
    <row r="47" customFormat="false" ht="15" hidden="false" customHeight="false" outlineLevel="0" collapsed="false">
      <c r="B47" s="39" t="s">
        <v>238</v>
      </c>
      <c r="C47" s="77" t="n">
        <v>46303</v>
      </c>
      <c r="D47" s="38" t="s">
        <v>239</v>
      </c>
      <c r="E47" s="38" t="s">
        <v>151</v>
      </c>
      <c r="F47" s="38" t="s">
        <v>142</v>
      </c>
      <c r="G47" s="78" t="n">
        <v>7784.26</v>
      </c>
      <c r="H47" s="39" t="s">
        <v>120</v>
      </c>
      <c r="I47" s="77"/>
      <c r="J47" s="79" t="n">
        <f aca="false">IF(C47="","",C47+ValidDays)</f>
        <v>46333</v>
      </c>
      <c r="K47" s="80" t="n">
        <f aca="false">IF(C47="","",IF(OR(H47="Sent",H47="Draft"),AsOf-C47,IF(I47="","",I47-C47)))</f>
        <v>4</v>
      </c>
      <c r="L47" s="40" t="str">
        <f aca="false">IF(C47="","",IF(AND(H47="Sent",AsOf&gt;J47),"Past valid date",IF(AND(H47="Sent",AsOf-C47&gt;7),"Follow up",IF(AND(OR(H47="Accepted",H47="Declined"),I47=""),"Add decision date",""))))</f>
        <v/>
      </c>
    </row>
    <row r="48" customFormat="false" ht="15" hidden="false" customHeight="false" outlineLevel="0" collapsed="false">
      <c r="B48" s="39"/>
      <c r="C48" s="77"/>
      <c r="D48" s="38"/>
      <c r="E48" s="38"/>
      <c r="F48" s="38"/>
      <c r="G48" s="78"/>
      <c r="H48" s="39"/>
      <c r="I48" s="77"/>
      <c r="J48" s="79" t="str">
        <f aca="false">IF(C48="","",C48+ValidDays)</f>
        <v/>
      </c>
      <c r="K48" s="80" t="str">
        <f aca="false">IF(C48="","",IF(OR(H48="Sent",H48="Draft"),AsOf-C48,IF(I48="","",I48-C48)))</f>
        <v/>
      </c>
      <c r="L48" s="40" t="str">
        <f aca="false">IF(C48="","",IF(AND(H48="Sent",AsOf&gt;J48),"Past valid date",IF(AND(H48="Sent",AsOf-C48&gt;7),"Follow up",IF(AND(OR(H48="Accepted",H48="Declined"),I48=""),"Add decision date",""))))</f>
        <v/>
      </c>
    </row>
    <row r="49" customFormat="false" ht="15" hidden="false" customHeight="false" outlineLevel="0" collapsed="false">
      <c r="B49" s="39"/>
      <c r="C49" s="77"/>
      <c r="D49" s="38"/>
      <c r="E49" s="38"/>
      <c r="F49" s="38"/>
      <c r="G49" s="78"/>
      <c r="H49" s="39"/>
      <c r="I49" s="77"/>
      <c r="J49" s="79" t="str">
        <f aca="false">IF(C49="","",C49+ValidDays)</f>
        <v/>
      </c>
      <c r="K49" s="80" t="str">
        <f aca="false">IF(C49="","",IF(OR(H49="Sent",H49="Draft"),AsOf-C49,IF(I49="","",I49-C49)))</f>
        <v/>
      </c>
      <c r="L49" s="40" t="str">
        <f aca="false">IF(C49="","",IF(AND(H49="Sent",AsOf&gt;J49),"Past valid date",IF(AND(H49="Sent",AsOf-C49&gt;7),"Follow up",IF(AND(OR(H49="Accepted",H49="Declined"),I49=""),"Add decision date",""))))</f>
        <v/>
      </c>
    </row>
    <row r="50" customFormat="false" ht="15" hidden="false" customHeight="false" outlineLevel="0" collapsed="false">
      <c r="B50" s="39"/>
      <c r="C50" s="77"/>
      <c r="D50" s="38"/>
      <c r="E50" s="38"/>
      <c r="F50" s="38"/>
      <c r="G50" s="78"/>
      <c r="H50" s="39"/>
      <c r="I50" s="77"/>
      <c r="J50" s="79" t="str">
        <f aca="false">IF(C50="","",C50+ValidDays)</f>
        <v/>
      </c>
      <c r="K50" s="80" t="str">
        <f aca="false">IF(C50="","",IF(OR(H50="Sent",H50="Draft"),AsOf-C50,IF(I50="","",I50-C50)))</f>
        <v/>
      </c>
      <c r="L50" s="40" t="str">
        <f aca="false">IF(C50="","",IF(AND(H50="Sent",AsOf&gt;J50),"Past valid date",IF(AND(H50="Sent",AsOf-C50&gt;7),"Follow up",IF(AND(OR(H50="Accepted",H50="Declined"),I50=""),"Add decision date",""))))</f>
        <v/>
      </c>
    </row>
    <row r="51" customFormat="false" ht="15" hidden="false" customHeight="false" outlineLevel="0" collapsed="false">
      <c r="B51" s="39"/>
      <c r="C51" s="77"/>
      <c r="D51" s="38"/>
      <c r="E51" s="38"/>
      <c r="F51" s="38"/>
      <c r="G51" s="78"/>
      <c r="H51" s="39"/>
      <c r="I51" s="77"/>
      <c r="J51" s="79" t="str">
        <f aca="false">IF(C51="","",C51+ValidDays)</f>
        <v/>
      </c>
      <c r="K51" s="80" t="str">
        <f aca="false">IF(C51="","",IF(OR(H51="Sent",H51="Draft"),AsOf-C51,IF(I51="","",I51-C51)))</f>
        <v/>
      </c>
      <c r="L51" s="40" t="str">
        <f aca="false">IF(C51="","",IF(AND(H51="Sent",AsOf&gt;J51),"Past valid date",IF(AND(H51="Sent",AsOf-C51&gt;7),"Follow up",IF(AND(OR(H51="Accepted",H51="Declined"),I51=""),"Add decision date",""))))</f>
        <v/>
      </c>
    </row>
    <row r="52" customFormat="false" ht="15" hidden="false" customHeight="false" outlineLevel="0" collapsed="false">
      <c r="B52" s="39"/>
      <c r="C52" s="77"/>
      <c r="D52" s="38"/>
      <c r="E52" s="38"/>
      <c r="F52" s="38"/>
      <c r="G52" s="78"/>
      <c r="H52" s="39"/>
      <c r="I52" s="77"/>
      <c r="J52" s="79" t="str">
        <f aca="false">IF(C52="","",C52+ValidDays)</f>
        <v/>
      </c>
      <c r="K52" s="80" t="str">
        <f aca="false">IF(C52="","",IF(OR(H52="Sent",H52="Draft"),AsOf-C52,IF(I52="","",I52-C52)))</f>
        <v/>
      </c>
      <c r="L52" s="40" t="str">
        <f aca="false">IF(C52="","",IF(AND(H52="Sent",AsOf&gt;J52),"Past valid date",IF(AND(H52="Sent",AsOf-C52&gt;7),"Follow up",IF(AND(OR(H52="Accepted",H52="Declined"),I52=""),"Add decision date",""))))</f>
        <v/>
      </c>
    </row>
    <row r="53" customFormat="false" ht="15" hidden="false" customHeight="false" outlineLevel="0" collapsed="false">
      <c r="B53" s="39"/>
      <c r="C53" s="77"/>
      <c r="D53" s="38"/>
      <c r="E53" s="38"/>
      <c r="F53" s="38"/>
      <c r="G53" s="78"/>
      <c r="H53" s="39"/>
      <c r="I53" s="77"/>
      <c r="J53" s="79" t="str">
        <f aca="false">IF(C53="","",C53+ValidDays)</f>
        <v/>
      </c>
      <c r="K53" s="80" t="str">
        <f aca="false">IF(C53="","",IF(OR(H53="Sent",H53="Draft"),AsOf-C53,IF(I53="","",I53-C53)))</f>
        <v/>
      </c>
      <c r="L53" s="40" t="str">
        <f aca="false">IF(C53="","",IF(AND(H53="Sent",AsOf&gt;J53),"Past valid date",IF(AND(H53="Sent",AsOf-C53&gt;7),"Follow up",IF(AND(OR(H53="Accepted",H53="Declined"),I53=""),"Add decision date",""))))</f>
        <v/>
      </c>
    </row>
    <row r="54" customFormat="false" ht="15" hidden="false" customHeight="false" outlineLevel="0" collapsed="false">
      <c r="B54" s="39"/>
      <c r="C54" s="77"/>
      <c r="D54" s="38"/>
      <c r="E54" s="38"/>
      <c r="F54" s="38"/>
      <c r="G54" s="78"/>
      <c r="H54" s="39"/>
      <c r="I54" s="77"/>
      <c r="J54" s="79" t="str">
        <f aca="false">IF(C54="","",C54+ValidDays)</f>
        <v/>
      </c>
      <c r="K54" s="80" t="str">
        <f aca="false">IF(C54="","",IF(OR(H54="Sent",H54="Draft"),AsOf-C54,IF(I54="","",I54-C54)))</f>
        <v/>
      </c>
      <c r="L54" s="40" t="str">
        <f aca="false">IF(C54="","",IF(AND(H54="Sent",AsOf&gt;J54),"Past valid date",IF(AND(H54="Sent",AsOf-C54&gt;7),"Follow up",IF(AND(OR(H54="Accepted",H54="Declined"),I54=""),"Add decision date",""))))</f>
        <v/>
      </c>
    </row>
    <row r="55" customFormat="false" ht="15" hidden="false" customHeight="false" outlineLevel="0" collapsed="false">
      <c r="B55" s="39"/>
      <c r="C55" s="77"/>
      <c r="D55" s="38"/>
      <c r="E55" s="38"/>
      <c r="F55" s="38"/>
      <c r="G55" s="78"/>
      <c r="H55" s="39"/>
      <c r="I55" s="77"/>
      <c r="J55" s="79" t="str">
        <f aca="false">IF(C55="","",C55+ValidDays)</f>
        <v/>
      </c>
      <c r="K55" s="80" t="str">
        <f aca="false">IF(C55="","",IF(OR(H55="Sent",H55="Draft"),AsOf-C55,IF(I55="","",I55-C55)))</f>
        <v/>
      </c>
      <c r="L55" s="40" t="str">
        <f aca="false">IF(C55="","",IF(AND(H55="Sent",AsOf&gt;J55),"Past valid date",IF(AND(H55="Sent",AsOf-C55&gt;7),"Follow up",IF(AND(OR(H55="Accepted",H55="Declined"),I55=""),"Add decision date",""))))</f>
        <v/>
      </c>
    </row>
    <row r="56" customFormat="false" ht="15" hidden="false" customHeight="false" outlineLevel="0" collapsed="false">
      <c r="B56" s="39"/>
      <c r="C56" s="77"/>
      <c r="D56" s="38"/>
      <c r="E56" s="38"/>
      <c r="F56" s="38"/>
      <c r="G56" s="78"/>
      <c r="H56" s="39"/>
      <c r="I56" s="77"/>
      <c r="J56" s="79" t="str">
        <f aca="false">IF(C56="","",C56+ValidDays)</f>
        <v/>
      </c>
      <c r="K56" s="80" t="str">
        <f aca="false">IF(C56="","",IF(OR(H56="Sent",H56="Draft"),AsOf-C56,IF(I56="","",I56-C56)))</f>
        <v/>
      </c>
      <c r="L56" s="40" t="str">
        <f aca="false">IF(C56="","",IF(AND(H56="Sent",AsOf&gt;J56),"Past valid date",IF(AND(H56="Sent",AsOf-C56&gt;7),"Follow up",IF(AND(OR(H56="Accepted",H56="Declined"),I56=""),"Add decision date",""))))</f>
        <v/>
      </c>
    </row>
    <row r="57" customFormat="false" ht="15" hidden="false" customHeight="false" outlineLevel="0" collapsed="false">
      <c r="B57" s="39"/>
      <c r="C57" s="77"/>
      <c r="D57" s="38"/>
      <c r="E57" s="38"/>
      <c r="F57" s="38"/>
      <c r="G57" s="78"/>
      <c r="H57" s="39"/>
      <c r="I57" s="77"/>
      <c r="J57" s="79" t="str">
        <f aca="false">IF(C57="","",C57+ValidDays)</f>
        <v/>
      </c>
      <c r="K57" s="80" t="str">
        <f aca="false">IF(C57="","",IF(OR(H57="Sent",H57="Draft"),AsOf-C57,IF(I57="","",I57-C57)))</f>
        <v/>
      </c>
      <c r="L57" s="40" t="str">
        <f aca="false">IF(C57="","",IF(AND(H57="Sent",AsOf&gt;J57),"Past valid date",IF(AND(H57="Sent",AsOf-C57&gt;7),"Follow up",IF(AND(OR(H57="Accepted",H57="Declined"),I57=""),"Add decision date",""))))</f>
        <v/>
      </c>
    </row>
    <row r="58" customFormat="false" ht="15" hidden="false" customHeight="false" outlineLevel="0" collapsed="false">
      <c r="B58" s="39"/>
      <c r="C58" s="77"/>
      <c r="D58" s="38"/>
      <c r="E58" s="38"/>
      <c r="F58" s="38"/>
      <c r="G58" s="78"/>
      <c r="H58" s="39"/>
      <c r="I58" s="77"/>
      <c r="J58" s="79" t="str">
        <f aca="false">IF(C58="","",C58+ValidDays)</f>
        <v/>
      </c>
      <c r="K58" s="80" t="str">
        <f aca="false">IF(C58="","",IF(OR(H58="Sent",H58="Draft"),AsOf-C58,IF(I58="","",I58-C58)))</f>
        <v/>
      </c>
      <c r="L58" s="40" t="str">
        <f aca="false">IF(C58="","",IF(AND(H58="Sent",AsOf&gt;J58),"Past valid date",IF(AND(H58="Sent",AsOf-C58&gt;7),"Follow up",IF(AND(OR(H58="Accepted",H58="Declined"),I58=""),"Add decision date",""))))</f>
        <v/>
      </c>
    </row>
    <row r="59" customFormat="false" ht="15" hidden="false" customHeight="false" outlineLevel="0" collapsed="false">
      <c r="B59" s="39"/>
      <c r="C59" s="77"/>
      <c r="D59" s="38"/>
      <c r="E59" s="38"/>
      <c r="F59" s="38"/>
      <c r="G59" s="78"/>
      <c r="H59" s="39"/>
      <c r="I59" s="77"/>
      <c r="J59" s="79" t="str">
        <f aca="false">IF(C59="","",C59+ValidDays)</f>
        <v/>
      </c>
      <c r="K59" s="80" t="str">
        <f aca="false">IF(C59="","",IF(OR(H59="Sent",H59="Draft"),AsOf-C59,IF(I59="","",I59-C59)))</f>
        <v/>
      </c>
      <c r="L59" s="40" t="str">
        <f aca="false">IF(C59="","",IF(AND(H59="Sent",AsOf&gt;J59),"Past valid date",IF(AND(H59="Sent",AsOf-C59&gt;7),"Follow up",IF(AND(OR(H59="Accepted",H59="Declined"),I59=""),"Add decision date",""))))</f>
        <v/>
      </c>
    </row>
    <row r="60" customFormat="false" ht="15" hidden="false" customHeight="false" outlineLevel="0" collapsed="false">
      <c r="B60" s="39"/>
      <c r="C60" s="77"/>
      <c r="D60" s="38"/>
      <c r="E60" s="38"/>
      <c r="F60" s="38"/>
      <c r="G60" s="78"/>
      <c r="H60" s="39"/>
      <c r="I60" s="77"/>
      <c r="J60" s="79" t="str">
        <f aca="false">IF(C60="","",C60+ValidDays)</f>
        <v/>
      </c>
      <c r="K60" s="80" t="str">
        <f aca="false">IF(C60="","",IF(OR(H60="Sent",H60="Draft"),AsOf-C60,IF(I60="","",I60-C60)))</f>
        <v/>
      </c>
      <c r="L60" s="40" t="str">
        <f aca="false">IF(C60="","",IF(AND(H60="Sent",AsOf&gt;J60),"Past valid date",IF(AND(H60="Sent",AsOf-C60&gt;7),"Follow up",IF(AND(OR(H60="Accepted",H60="Declined"),I60=""),"Add decision date",""))))</f>
        <v/>
      </c>
    </row>
    <row r="61" customFormat="false" ht="15" hidden="false" customHeight="false" outlineLevel="0" collapsed="false">
      <c r="B61" s="39"/>
      <c r="C61" s="77"/>
      <c r="D61" s="38"/>
      <c r="E61" s="38"/>
      <c r="F61" s="38"/>
      <c r="G61" s="78"/>
      <c r="H61" s="39"/>
      <c r="I61" s="77"/>
      <c r="J61" s="79" t="str">
        <f aca="false">IF(C61="","",C61+ValidDays)</f>
        <v/>
      </c>
      <c r="K61" s="80" t="str">
        <f aca="false">IF(C61="","",IF(OR(H61="Sent",H61="Draft"),AsOf-C61,IF(I61="","",I61-C61)))</f>
        <v/>
      </c>
      <c r="L61" s="40" t="str">
        <f aca="false">IF(C61="","",IF(AND(H61="Sent",AsOf&gt;J61),"Past valid date",IF(AND(H61="Sent",AsOf-C61&gt;7),"Follow up",IF(AND(OR(H61="Accepted",H61="Declined"),I61=""),"Add decision date",""))))</f>
        <v/>
      </c>
    </row>
    <row r="62" customFormat="false" ht="15" hidden="false" customHeight="false" outlineLevel="0" collapsed="false">
      <c r="B62" s="39"/>
      <c r="C62" s="77"/>
      <c r="D62" s="38"/>
      <c r="E62" s="38"/>
      <c r="F62" s="38"/>
      <c r="G62" s="78"/>
      <c r="H62" s="39"/>
      <c r="I62" s="77"/>
      <c r="J62" s="79" t="str">
        <f aca="false">IF(C62="","",C62+ValidDays)</f>
        <v/>
      </c>
      <c r="K62" s="80" t="str">
        <f aca="false">IF(C62="","",IF(OR(H62="Sent",H62="Draft"),AsOf-C62,IF(I62="","",I62-C62)))</f>
        <v/>
      </c>
      <c r="L62" s="40" t="str">
        <f aca="false">IF(C62="","",IF(AND(H62="Sent",AsOf&gt;J62),"Past valid date",IF(AND(H62="Sent",AsOf-C62&gt;7),"Follow up",IF(AND(OR(H62="Accepted",H62="Declined"),I62=""),"Add decision date",""))))</f>
        <v/>
      </c>
    </row>
    <row r="63" customFormat="false" ht="15" hidden="false" customHeight="false" outlineLevel="0" collapsed="false">
      <c r="B63" s="39"/>
      <c r="C63" s="77"/>
      <c r="D63" s="38"/>
      <c r="E63" s="38"/>
      <c r="F63" s="38"/>
      <c r="G63" s="78"/>
      <c r="H63" s="39"/>
      <c r="I63" s="77"/>
      <c r="J63" s="79" t="str">
        <f aca="false">IF(C63="","",C63+ValidDays)</f>
        <v/>
      </c>
      <c r="K63" s="80" t="str">
        <f aca="false">IF(C63="","",IF(OR(H63="Sent",H63="Draft"),AsOf-C63,IF(I63="","",I63-C63)))</f>
        <v/>
      </c>
      <c r="L63" s="40" t="str">
        <f aca="false">IF(C63="","",IF(AND(H63="Sent",AsOf&gt;J63),"Past valid date",IF(AND(H63="Sent",AsOf-C63&gt;7),"Follow up",IF(AND(OR(H63="Accepted",H63="Declined"),I63=""),"Add decision date",""))))</f>
        <v/>
      </c>
    </row>
    <row r="64" customFormat="false" ht="15" hidden="false" customHeight="false" outlineLevel="0" collapsed="false">
      <c r="B64" s="39"/>
      <c r="C64" s="77"/>
      <c r="D64" s="38"/>
      <c r="E64" s="38"/>
      <c r="F64" s="38"/>
      <c r="G64" s="78"/>
      <c r="H64" s="39"/>
      <c r="I64" s="77"/>
      <c r="J64" s="79" t="str">
        <f aca="false">IF(C64="","",C64+ValidDays)</f>
        <v/>
      </c>
      <c r="K64" s="80" t="str">
        <f aca="false">IF(C64="","",IF(OR(H64="Sent",H64="Draft"),AsOf-C64,IF(I64="","",I64-C64)))</f>
        <v/>
      </c>
      <c r="L64" s="40" t="str">
        <f aca="false">IF(C64="","",IF(AND(H64="Sent",AsOf&gt;J64),"Past valid date",IF(AND(H64="Sent",AsOf-C64&gt;7),"Follow up",IF(AND(OR(H64="Accepted",H64="Declined"),I64=""),"Add decision date",""))))</f>
        <v/>
      </c>
    </row>
    <row r="65" customFormat="false" ht="15" hidden="false" customHeight="false" outlineLevel="0" collapsed="false">
      <c r="B65" s="39"/>
      <c r="C65" s="77"/>
      <c r="D65" s="38"/>
      <c r="E65" s="38"/>
      <c r="F65" s="38"/>
      <c r="G65" s="78"/>
      <c r="H65" s="39"/>
      <c r="I65" s="77"/>
      <c r="J65" s="79" t="str">
        <f aca="false">IF(C65="","",C65+ValidDays)</f>
        <v/>
      </c>
      <c r="K65" s="80" t="str">
        <f aca="false">IF(C65="","",IF(OR(H65="Sent",H65="Draft"),AsOf-C65,IF(I65="","",I65-C65)))</f>
        <v/>
      </c>
      <c r="L65" s="40" t="str">
        <f aca="false">IF(C65="","",IF(AND(H65="Sent",AsOf&gt;J65),"Past valid date",IF(AND(H65="Sent",AsOf-C65&gt;7),"Follow up",IF(AND(OR(H65="Accepted",H65="Declined"),I65=""),"Add decision date",""))))</f>
        <v/>
      </c>
    </row>
    <row r="66" customFormat="false" ht="15" hidden="false" customHeight="false" outlineLevel="0" collapsed="false">
      <c r="B66" s="39"/>
      <c r="C66" s="77"/>
      <c r="D66" s="38"/>
      <c r="E66" s="38"/>
      <c r="F66" s="38"/>
      <c r="G66" s="78"/>
      <c r="H66" s="39"/>
      <c r="I66" s="77"/>
      <c r="J66" s="79" t="str">
        <f aca="false">IF(C66="","",C66+ValidDays)</f>
        <v/>
      </c>
      <c r="K66" s="80" t="str">
        <f aca="false">IF(C66="","",IF(OR(H66="Sent",H66="Draft"),AsOf-C66,IF(I66="","",I66-C66)))</f>
        <v/>
      </c>
      <c r="L66" s="40" t="str">
        <f aca="false">IF(C66="","",IF(AND(H66="Sent",AsOf&gt;J66),"Past valid date",IF(AND(H66="Sent",AsOf-C66&gt;7),"Follow up",IF(AND(OR(H66="Accepted",H66="Declined"),I66=""),"Add decision date",""))))</f>
        <v/>
      </c>
    </row>
    <row r="67" customFormat="false" ht="15" hidden="false" customHeight="false" outlineLevel="0" collapsed="false">
      <c r="B67" s="39"/>
      <c r="C67" s="77"/>
      <c r="D67" s="38"/>
      <c r="E67" s="38"/>
      <c r="F67" s="38"/>
      <c r="G67" s="78"/>
      <c r="H67" s="39"/>
      <c r="I67" s="77"/>
      <c r="J67" s="79" t="str">
        <f aca="false">IF(C67="","",C67+ValidDays)</f>
        <v/>
      </c>
      <c r="K67" s="80" t="str">
        <f aca="false">IF(C67="","",IF(OR(H67="Sent",H67="Draft"),AsOf-C67,IF(I67="","",I67-C67)))</f>
        <v/>
      </c>
      <c r="L67" s="40" t="str">
        <f aca="false">IF(C67="","",IF(AND(H67="Sent",AsOf&gt;J67),"Past valid date",IF(AND(H67="Sent",AsOf-C67&gt;7),"Follow up",IF(AND(OR(H67="Accepted",H67="Declined"),I67=""),"Add decision date",""))))</f>
        <v/>
      </c>
    </row>
    <row r="68" customFormat="false" ht="15" hidden="false" customHeight="false" outlineLevel="0" collapsed="false">
      <c r="B68" s="39"/>
      <c r="C68" s="77"/>
      <c r="D68" s="38"/>
      <c r="E68" s="38"/>
      <c r="F68" s="38"/>
      <c r="G68" s="78"/>
      <c r="H68" s="39"/>
      <c r="I68" s="77"/>
      <c r="J68" s="79" t="str">
        <f aca="false">IF(C68="","",C68+ValidDays)</f>
        <v/>
      </c>
      <c r="K68" s="80" t="str">
        <f aca="false">IF(C68="","",IF(OR(H68="Sent",H68="Draft"),AsOf-C68,IF(I68="","",I68-C68)))</f>
        <v/>
      </c>
      <c r="L68" s="40" t="str">
        <f aca="false">IF(C68="","",IF(AND(H68="Sent",AsOf&gt;J68),"Past valid date",IF(AND(H68="Sent",AsOf-C68&gt;7),"Follow up",IF(AND(OR(H68="Accepted",H68="Declined"),I68=""),"Add decision date",""))))</f>
        <v/>
      </c>
    </row>
    <row r="69" customFormat="false" ht="15" hidden="false" customHeight="false" outlineLevel="0" collapsed="false">
      <c r="B69" s="39"/>
      <c r="C69" s="77"/>
      <c r="D69" s="38"/>
      <c r="E69" s="38"/>
      <c r="F69" s="38"/>
      <c r="G69" s="78"/>
      <c r="H69" s="39"/>
      <c r="I69" s="77"/>
      <c r="J69" s="79" t="str">
        <f aca="false">IF(C69="","",C69+ValidDays)</f>
        <v/>
      </c>
      <c r="K69" s="80" t="str">
        <f aca="false">IF(C69="","",IF(OR(H69="Sent",H69="Draft"),AsOf-C69,IF(I69="","",I69-C69)))</f>
        <v/>
      </c>
      <c r="L69" s="40" t="str">
        <f aca="false">IF(C69="","",IF(AND(H69="Sent",AsOf&gt;J69),"Past valid date",IF(AND(H69="Sent",AsOf-C69&gt;7),"Follow up",IF(AND(OR(H69="Accepted",H69="Declined"),I69=""),"Add decision date",""))))</f>
        <v/>
      </c>
    </row>
    <row r="70" customFormat="false" ht="15" hidden="false" customHeight="false" outlineLevel="0" collapsed="false">
      <c r="B70" s="39"/>
      <c r="C70" s="77"/>
      <c r="D70" s="38"/>
      <c r="E70" s="38"/>
      <c r="F70" s="38"/>
      <c r="G70" s="78"/>
      <c r="H70" s="39"/>
      <c r="I70" s="77"/>
      <c r="J70" s="79" t="str">
        <f aca="false">IF(C70="","",C70+ValidDays)</f>
        <v/>
      </c>
      <c r="K70" s="80" t="str">
        <f aca="false">IF(C70="","",IF(OR(H70="Sent",H70="Draft"),AsOf-C70,IF(I70="","",I70-C70)))</f>
        <v/>
      </c>
      <c r="L70" s="40" t="str">
        <f aca="false">IF(C70="","",IF(AND(H70="Sent",AsOf&gt;J70),"Past valid date",IF(AND(H70="Sent",AsOf-C70&gt;7),"Follow up",IF(AND(OR(H70="Accepted",H70="Declined"),I70=""),"Add decision date",""))))</f>
        <v/>
      </c>
    </row>
    <row r="71" customFormat="false" ht="15" hidden="false" customHeight="false" outlineLevel="0" collapsed="false">
      <c r="B71" s="39"/>
      <c r="C71" s="77"/>
      <c r="D71" s="38"/>
      <c r="E71" s="38"/>
      <c r="F71" s="38"/>
      <c r="G71" s="78"/>
      <c r="H71" s="39"/>
      <c r="I71" s="77"/>
      <c r="J71" s="79" t="str">
        <f aca="false">IF(C71="","",C71+ValidDays)</f>
        <v/>
      </c>
      <c r="K71" s="80" t="str">
        <f aca="false">IF(C71="","",IF(OR(H71="Sent",H71="Draft"),AsOf-C71,IF(I71="","",I71-C71)))</f>
        <v/>
      </c>
      <c r="L71" s="40" t="str">
        <f aca="false">IF(C71="","",IF(AND(H71="Sent",AsOf&gt;J71),"Past valid date",IF(AND(H71="Sent",AsOf-C71&gt;7),"Follow up",IF(AND(OR(H71="Accepted",H71="Declined"),I71=""),"Add decision date",""))))</f>
        <v/>
      </c>
    </row>
    <row r="72" customFormat="false" ht="15" hidden="false" customHeight="false" outlineLevel="0" collapsed="false">
      <c r="B72" s="39"/>
      <c r="C72" s="77"/>
      <c r="D72" s="38"/>
      <c r="E72" s="38"/>
      <c r="F72" s="38"/>
      <c r="G72" s="78"/>
      <c r="H72" s="39"/>
      <c r="I72" s="77"/>
      <c r="J72" s="79" t="str">
        <f aca="false">IF(C72="","",C72+ValidDays)</f>
        <v/>
      </c>
      <c r="K72" s="80" t="str">
        <f aca="false">IF(C72="","",IF(OR(H72="Sent",H72="Draft"),AsOf-C72,IF(I72="","",I72-C72)))</f>
        <v/>
      </c>
      <c r="L72" s="40" t="str">
        <f aca="false">IF(C72="","",IF(AND(H72="Sent",AsOf&gt;J72),"Past valid date",IF(AND(H72="Sent",AsOf-C72&gt;7),"Follow up",IF(AND(OR(H72="Accepted",H72="Declined"),I72=""),"Add decision date",""))))</f>
        <v/>
      </c>
    </row>
    <row r="73" customFormat="false" ht="15" hidden="false" customHeight="false" outlineLevel="0" collapsed="false">
      <c r="B73" s="39"/>
      <c r="C73" s="77"/>
      <c r="D73" s="38"/>
      <c r="E73" s="38"/>
      <c r="F73" s="38"/>
      <c r="G73" s="78"/>
      <c r="H73" s="39"/>
      <c r="I73" s="77"/>
      <c r="J73" s="79" t="str">
        <f aca="false">IF(C73="","",C73+ValidDays)</f>
        <v/>
      </c>
      <c r="K73" s="80" t="str">
        <f aca="false">IF(C73="","",IF(OR(H73="Sent",H73="Draft"),AsOf-C73,IF(I73="","",I73-C73)))</f>
        <v/>
      </c>
      <c r="L73" s="40" t="str">
        <f aca="false">IF(C73="","",IF(AND(H73="Sent",AsOf&gt;J73),"Past valid date",IF(AND(H73="Sent",AsOf-C73&gt;7),"Follow up",IF(AND(OR(H73="Accepted",H73="Declined"),I73=""),"Add decision date",""))))</f>
        <v/>
      </c>
    </row>
    <row r="74" customFormat="false" ht="15" hidden="false" customHeight="false" outlineLevel="0" collapsed="false">
      <c r="B74" s="39"/>
      <c r="C74" s="77"/>
      <c r="D74" s="38"/>
      <c r="E74" s="38"/>
      <c r="F74" s="38"/>
      <c r="G74" s="78"/>
      <c r="H74" s="39"/>
      <c r="I74" s="77"/>
      <c r="J74" s="79" t="str">
        <f aca="false">IF(C74="","",C74+ValidDays)</f>
        <v/>
      </c>
      <c r="K74" s="80" t="str">
        <f aca="false">IF(C74="","",IF(OR(H74="Sent",H74="Draft"),AsOf-C74,IF(I74="","",I74-C74)))</f>
        <v/>
      </c>
      <c r="L74" s="40" t="str">
        <f aca="false">IF(C74="","",IF(AND(H74="Sent",AsOf&gt;J74),"Past valid date",IF(AND(H74="Sent",AsOf-C74&gt;7),"Follow up",IF(AND(OR(H74="Accepted",H74="Declined"),I74=""),"Add decision date",""))))</f>
        <v/>
      </c>
    </row>
    <row r="75" customFormat="false" ht="15" hidden="false" customHeight="false" outlineLevel="0" collapsed="false">
      <c r="B75" s="39"/>
      <c r="C75" s="77"/>
      <c r="D75" s="38"/>
      <c r="E75" s="38"/>
      <c r="F75" s="38"/>
      <c r="G75" s="78"/>
      <c r="H75" s="39"/>
      <c r="I75" s="77"/>
      <c r="J75" s="79" t="str">
        <f aca="false">IF(C75="","",C75+ValidDays)</f>
        <v/>
      </c>
      <c r="K75" s="80" t="str">
        <f aca="false">IF(C75="","",IF(OR(H75="Sent",H75="Draft"),AsOf-C75,IF(I75="","",I75-C75)))</f>
        <v/>
      </c>
      <c r="L75" s="40" t="str">
        <f aca="false">IF(C75="","",IF(AND(H75="Sent",AsOf&gt;J75),"Past valid date",IF(AND(H75="Sent",AsOf-C75&gt;7),"Follow up",IF(AND(OR(H75="Accepted",H75="Declined"),I75=""),"Add decision date",""))))</f>
        <v/>
      </c>
    </row>
    <row r="76" customFormat="false" ht="15" hidden="false" customHeight="false" outlineLevel="0" collapsed="false">
      <c r="B76" s="39"/>
      <c r="C76" s="77"/>
      <c r="D76" s="38"/>
      <c r="E76" s="38"/>
      <c r="F76" s="38"/>
      <c r="G76" s="78"/>
      <c r="H76" s="39"/>
      <c r="I76" s="77"/>
      <c r="J76" s="79" t="str">
        <f aca="false">IF(C76="","",C76+ValidDays)</f>
        <v/>
      </c>
      <c r="K76" s="80" t="str">
        <f aca="false">IF(C76="","",IF(OR(H76="Sent",H76="Draft"),AsOf-C76,IF(I76="","",I76-C76)))</f>
        <v/>
      </c>
      <c r="L76" s="40" t="str">
        <f aca="false">IF(C76="","",IF(AND(H76="Sent",AsOf&gt;J76),"Past valid date",IF(AND(H76="Sent",AsOf-C76&gt;7),"Follow up",IF(AND(OR(H76="Accepted",H76="Declined"),I76=""),"Add decision date",""))))</f>
        <v/>
      </c>
    </row>
    <row r="77" customFormat="false" ht="15" hidden="false" customHeight="false" outlineLevel="0" collapsed="false">
      <c r="B77" s="39"/>
      <c r="C77" s="77"/>
      <c r="D77" s="38"/>
      <c r="E77" s="38"/>
      <c r="F77" s="38"/>
      <c r="G77" s="78"/>
      <c r="H77" s="39"/>
      <c r="I77" s="77"/>
      <c r="J77" s="79" t="str">
        <f aca="false">IF(C77="","",C77+ValidDays)</f>
        <v/>
      </c>
      <c r="K77" s="80" t="str">
        <f aca="false">IF(C77="","",IF(OR(H77="Sent",H77="Draft"),AsOf-C77,IF(I77="","",I77-C77)))</f>
        <v/>
      </c>
      <c r="L77" s="40" t="str">
        <f aca="false">IF(C77="","",IF(AND(H77="Sent",AsOf&gt;J77),"Past valid date",IF(AND(H77="Sent",AsOf-C77&gt;7),"Follow up",IF(AND(OR(H77="Accepted",H77="Declined"),I77=""),"Add decision date",""))))</f>
        <v/>
      </c>
    </row>
    <row r="78" customFormat="false" ht="15" hidden="false" customHeight="false" outlineLevel="0" collapsed="false">
      <c r="B78" s="39"/>
      <c r="C78" s="77"/>
      <c r="D78" s="38"/>
      <c r="E78" s="38"/>
      <c r="F78" s="38"/>
      <c r="G78" s="78"/>
      <c r="H78" s="39"/>
      <c r="I78" s="77"/>
      <c r="J78" s="79" t="str">
        <f aca="false">IF(C78="","",C78+ValidDays)</f>
        <v/>
      </c>
      <c r="K78" s="80" t="str">
        <f aca="false">IF(C78="","",IF(OR(H78="Sent",H78="Draft"),AsOf-C78,IF(I78="","",I78-C78)))</f>
        <v/>
      </c>
      <c r="L78" s="40" t="str">
        <f aca="false">IF(C78="","",IF(AND(H78="Sent",AsOf&gt;J78),"Past valid date",IF(AND(H78="Sent",AsOf-C78&gt;7),"Follow up",IF(AND(OR(H78="Accepted",H78="Declined"),I78=""),"Add decision date",""))))</f>
        <v/>
      </c>
    </row>
    <row r="79" customFormat="false" ht="15" hidden="false" customHeight="false" outlineLevel="0" collapsed="false">
      <c r="B79" s="39"/>
      <c r="C79" s="77"/>
      <c r="D79" s="38"/>
      <c r="E79" s="38"/>
      <c r="F79" s="38"/>
      <c r="G79" s="78"/>
      <c r="H79" s="39"/>
      <c r="I79" s="77"/>
      <c r="J79" s="79" t="str">
        <f aca="false">IF(C79="","",C79+ValidDays)</f>
        <v/>
      </c>
      <c r="K79" s="80" t="str">
        <f aca="false">IF(C79="","",IF(OR(H79="Sent",H79="Draft"),AsOf-C79,IF(I79="","",I79-C79)))</f>
        <v/>
      </c>
      <c r="L79" s="40" t="str">
        <f aca="false">IF(C79="","",IF(AND(H79="Sent",AsOf&gt;J79),"Past valid date",IF(AND(H79="Sent",AsOf-C79&gt;7),"Follow up",IF(AND(OR(H79="Accepted",H79="Declined"),I79=""),"Add decision date",""))))</f>
        <v/>
      </c>
    </row>
    <row r="80" customFormat="false" ht="15" hidden="false" customHeight="false" outlineLevel="0" collapsed="false">
      <c r="B80" s="39"/>
      <c r="C80" s="77"/>
      <c r="D80" s="38"/>
      <c r="E80" s="38"/>
      <c r="F80" s="38"/>
      <c r="G80" s="78"/>
      <c r="H80" s="39"/>
      <c r="I80" s="77"/>
      <c r="J80" s="79" t="str">
        <f aca="false">IF(C80="","",C80+ValidDays)</f>
        <v/>
      </c>
      <c r="K80" s="80" t="str">
        <f aca="false">IF(C80="","",IF(OR(H80="Sent",H80="Draft"),AsOf-C80,IF(I80="","",I80-C80)))</f>
        <v/>
      </c>
      <c r="L80" s="40" t="str">
        <f aca="false">IF(C80="","",IF(AND(H80="Sent",AsOf&gt;J80),"Past valid date",IF(AND(H80="Sent",AsOf-C80&gt;7),"Follow up",IF(AND(OR(H80="Accepted",H80="Declined"),I80=""),"Add decision date",""))))</f>
        <v/>
      </c>
    </row>
    <row r="81" customFormat="false" ht="15" hidden="false" customHeight="false" outlineLevel="0" collapsed="false">
      <c r="B81" s="39"/>
      <c r="C81" s="77"/>
      <c r="D81" s="38"/>
      <c r="E81" s="38"/>
      <c r="F81" s="38"/>
      <c r="G81" s="78"/>
      <c r="H81" s="39"/>
      <c r="I81" s="77"/>
      <c r="J81" s="79" t="str">
        <f aca="false">IF(C81="","",C81+ValidDays)</f>
        <v/>
      </c>
      <c r="K81" s="80" t="str">
        <f aca="false">IF(C81="","",IF(OR(H81="Sent",H81="Draft"),AsOf-C81,IF(I81="","",I81-C81)))</f>
        <v/>
      </c>
      <c r="L81" s="40" t="str">
        <f aca="false">IF(C81="","",IF(AND(H81="Sent",AsOf&gt;J81),"Past valid date",IF(AND(H81="Sent",AsOf-C81&gt;7),"Follow up",IF(AND(OR(H81="Accepted",H81="Declined"),I81=""),"Add decision date",""))))</f>
        <v/>
      </c>
    </row>
    <row r="82" customFormat="false" ht="15" hidden="false" customHeight="false" outlineLevel="0" collapsed="false">
      <c r="B82" s="39"/>
      <c r="C82" s="77"/>
      <c r="D82" s="38"/>
      <c r="E82" s="38"/>
      <c r="F82" s="38"/>
      <c r="G82" s="78"/>
      <c r="H82" s="39"/>
      <c r="I82" s="77"/>
      <c r="J82" s="79" t="str">
        <f aca="false">IF(C82="","",C82+ValidDays)</f>
        <v/>
      </c>
      <c r="K82" s="80" t="str">
        <f aca="false">IF(C82="","",IF(OR(H82="Sent",H82="Draft"),AsOf-C82,IF(I82="","",I82-C82)))</f>
        <v/>
      </c>
      <c r="L82" s="40" t="str">
        <f aca="false">IF(C82="","",IF(AND(H82="Sent",AsOf&gt;J82),"Past valid date",IF(AND(H82="Sent",AsOf-C82&gt;7),"Follow up",IF(AND(OR(H82="Accepted",H82="Declined"),I82=""),"Add decision date",""))))</f>
        <v/>
      </c>
    </row>
    <row r="83" customFormat="false" ht="15" hidden="false" customHeight="false" outlineLevel="0" collapsed="false">
      <c r="B83" s="39"/>
      <c r="C83" s="77"/>
      <c r="D83" s="38"/>
      <c r="E83" s="38"/>
      <c r="F83" s="38"/>
      <c r="G83" s="78"/>
      <c r="H83" s="39"/>
      <c r="I83" s="77"/>
      <c r="J83" s="79" t="str">
        <f aca="false">IF(C83="","",C83+ValidDays)</f>
        <v/>
      </c>
      <c r="K83" s="80" t="str">
        <f aca="false">IF(C83="","",IF(OR(H83="Sent",H83="Draft"),AsOf-C83,IF(I83="","",I83-C83)))</f>
        <v/>
      </c>
      <c r="L83" s="40" t="str">
        <f aca="false">IF(C83="","",IF(AND(H83="Sent",AsOf&gt;J83),"Past valid date",IF(AND(H83="Sent",AsOf-C83&gt;7),"Follow up",IF(AND(OR(H83="Accepted",H83="Declined"),I83=""),"Add decision date",""))))</f>
        <v/>
      </c>
    </row>
    <row r="84" customFormat="false" ht="15" hidden="false" customHeight="false" outlineLevel="0" collapsed="false">
      <c r="B84" s="39"/>
      <c r="C84" s="77"/>
      <c r="D84" s="38"/>
      <c r="E84" s="38"/>
      <c r="F84" s="38"/>
      <c r="G84" s="78"/>
      <c r="H84" s="39"/>
      <c r="I84" s="77"/>
      <c r="J84" s="79" t="str">
        <f aca="false">IF(C84="","",C84+ValidDays)</f>
        <v/>
      </c>
      <c r="K84" s="80" t="str">
        <f aca="false">IF(C84="","",IF(OR(H84="Sent",H84="Draft"),AsOf-C84,IF(I84="","",I84-C84)))</f>
        <v/>
      </c>
      <c r="L84" s="40" t="str">
        <f aca="false">IF(C84="","",IF(AND(H84="Sent",AsOf&gt;J84),"Past valid date",IF(AND(H84="Sent",AsOf-C84&gt;7),"Follow up",IF(AND(OR(H84="Accepted",H84="Declined"),I84=""),"Add decision date",""))))</f>
        <v/>
      </c>
    </row>
    <row r="85" customFormat="false" ht="15" hidden="false" customHeight="false" outlineLevel="0" collapsed="false">
      <c r="B85" s="39"/>
      <c r="C85" s="77"/>
      <c r="D85" s="38"/>
      <c r="E85" s="38"/>
      <c r="F85" s="38"/>
      <c r="G85" s="78"/>
      <c r="H85" s="39"/>
      <c r="I85" s="77"/>
      <c r="J85" s="79" t="str">
        <f aca="false">IF(C85="","",C85+ValidDays)</f>
        <v/>
      </c>
      <c r="K85" s="80" t="str">
        <f aca="false">IF(C85="","",IF(OR(H85="Sent",H85="Draft"),AsOf-C85,IF(I85="","",I85-C85)))</f>
        <v/>
      </c>
      <c r="L85" s="40" t="str">
        <f aca="false">IF(C85="","",IF(AND(H85="Sent",AsOf&gt;J85),"Past valid date",IF(AND(H85="Sent",AsOf-C85&gt;7),"Follow up",IF(AND(OR(H85="Accepted",H85="Declined"),I85=""),"Add decision date",""))))</f>
        <v/>
      </c>
    </row>
    <row r="86" customFormat="false" ht="15" hidden="false" customHeight="false" outlineLevel="0" collapsed="false">
      <c r="B86" s="39"/>
      <c r="C86" s="77"/>
      <c r="D86" s="38"/>
      <c r="E86" s="38"/>
      <c r="F86" s="38"/>
      <c r="G86" s="78"/>
      <c r="H86" s="39"/>
      <c r="I86" s="77"/>
      <c r="J86" s="79" t="str">
        <f aca="false">IF(C86="","",C86+ValidDays)</f>
        <v/>
      </c>
      <c r="K86" s="80" t="str">
        <f aca="false">IF(C86="","",IF(OR(H86="Sent",H86="Draft"),AsOf-C86,IF(I86="","",I86-C86)))</f>
        <v/>
      </c>
      <c r="L86" s="40" t="str">
        <f aca="false">IF(C86="","",IF(AND(H86="Sent",AsOf&gt;J86),"Past valid date",IF(AND(H86="Sent",AsOf-C86&gt;7),"Follow up",IF(AND(OR(H86="Accepted",H86="Declined"),I86=""),"Add decision date",""))))</f>
        <v/>
      </c>
    </row>
    <row r="87" customFormat="false" ht="15" hidden="false" customHeight="false" outlineLevel="0" collapsed="false">
      <c r="B87" s="39"/>
      <c r="C87" s="77"/>
      <c r="D87" s="38"/>
      <c r="E87" s="38"/>
      <c r="F87" s="38"/>
      <c r="G87" s="78"/>
      <c r="H87" s="39"/>
      <c r="I87" s="77"/>
      <c r="J87" s="79" t="str">
        <f aca="false">IF(C87="","",C87+ValidDays)</f>
        <v/>
      </c>
      <c r="K87" s="80" t="str">
        <f aca="false">IF(C87="","",IF(OR(H87="Sent",H87="Draft"),AsOf-C87,IF(I87="","",I87-C87)))</f>
        <v/>
      </c>
      <c r="L87" s="40" t="str">
        <f aca="false">IF(C87="","",IF(AND(H87="Sent",AsOf&gt;J87),"Past valid date",IF(AND(H87="Sent",AsOf-C87&gt;7),"Follow up",IF(AND(OR(H87="Accepted",H87="Declined"),I87=""),"Add decision date",""))))</f>
        <v/>
      </c>
    </row>
    <row r="88" customFormat="false" ht="15" hidden="false" customHeight="false" outlineLevel="0" collapsed="false">
      <c r="B88" s="39"/>
      <c r="C88" s="77"/>
      <c r="D88" s="38"/>
      <c r="E88" s="38"/>
      <c r="F88" s="38"/>
      <c r="G88" s="78"/>
      <c r="H88" s="39"/>
      <c r="I88" s="77"/>
      <c r="J88" s="79" t="str">
        <f aca="false">IF(C88="","",C88+ValidDays)</f>
        <v/>
      </c>
      <c r="K88" s="80" t="str">
        <f aca="false">IF(C88="","",IF(OR(H88="Sent",H88="Draft"),AsOf-C88,IF(I88="","",I88-C88)))</f>
        <v/>
      </c>
      <c r="L88" s="40" t="str">
        <f aca="false">IF(C88="","",IF(AND(H88="Sent",AsOf&gt;J88),"Past valid date",IF(AND(H88="Sent",AsOf-C88&gt;7),"Follow up",IF(AND(OR(H88="Accepted",H88="Declined"),I88=""),"Add decision date",""))))</f>
        <v/>
      </c>
    </row>
    <row r="89" customFormat="false" ht="15" hidden="false" customHeight="false" outlineLevel="0" collapsed="false">
      <c r="B89" s="39"/>
      <c r="C89" s="77"/>
      <c r="D89" s="38"/>
      <c r="E89" s="38"/>
      <c r="F89" s="38"/>
      <c r="G89" s="78"/>
      <c r="H89" s="39"/>
      <c r="I89" s="77"/>
      <c r="J89" s="79" t="str">
        <f aca="false">IF(C89="","",C89+ValidDays)</f>
        <v/>
      </c>
      <c r="K89" s="80" t="str">
        <f aca="false">IF(C89="","",IF(OR(H89="Sent",H89="Draft"),AsOf-C89,IF(I89="","",I89-C89)))</f>
        <v/>
      </c>
      <c r="L89" s="40" t="str">
        <f aca="false">IF(C89="","",IF(AND(H89="Sent",AsOf&gt;J89),"Past valid date",IF(AND(H89="Sent",AsOf-C89&gt;7),"Follow up",IF(AND(OR(H89="Accepted",H89="Declined"),I89=""),"Add decision date",""))))</f>
        <v/>
      </c>
    </row>
    <row r="90" customFormat="false" ht="15" hidden="false" customHeight="false" outlineLevel="0" collapsed="false">
      <c r="B90" s="39"/>
      <c r="C90" s="77"/>
      <c r="D90" s="38"/>
      <c r="E90" s="38"/>
      <c r="F90" s="38"/>
      <c r="G90" s="78"/>
      <c r="H90" s="39"/>
      <c r="I90" s="77"/>
      <c r="J90" s="79" t="str">
        <f aca="false">IF(C90="","",C90+ValidDays)</f>
        <v/>
      </c>
      <c r="K90" s="80" t="str">
        <f aca="false">IF(C90="","",IF(OR(H90="Sent",H90="Draft"),AsOf-C90,IF(I90="","",I90-C90)))</f>
        <v/>
      </c>
      <c r="L90" s="40" t="str">
        <f aca="false">IF(C90="","",IF(AND(H90="Sent",AsOf&gt;J90),"Past valid date",IF(AND(H90="Sent",AsOf-C90&gt;7),"Follow up",IF(AND(OR(H90="Accepted",H90="Declined"),I90=""),"Add decision date",""))))</f>
        <v/>
      </c>
    </row>
    <row r="91" customFormat="false" ht="15" hidden="false" customHeight="false" outlineLevel="0" collapsed="false">
      <c r="B91" s="39"/>
      <c r="C91" s="77"/>
      <c r="D91" s="38"/>
      <c r="E91" s="38"/>
      <c r="F91" s="38"/>
      <c r="G91" s="78"/>
      <c r="H91" s="39"/>
      <c r="I91" s="77"/>
      <c r="J91" s="79" t="str">
        <f aca="false">IF(C91="","",C91+ValidDays)</f>
        <v/>
      </c>
      <c r="K91" s="80" t="str">
        <f aca="false">IF(C91="","",IF(OR(H91="Sent",H91="Draft"),AsOf-C91,IF(I91="","",I91-C91)))</f>
        <v/>
      </c>
      <c r="L91" s="40" t="str">
        <f aca="false">IF(C91="","",IF(AND(H91="Sent",AsOf&gt;J91),"Past valid date",IF(AND(H91="Sent",AsOf-C91&gt;7),"Follow up",IF(AND(OR(H91="Accepted",H91="Declined"),I91=""),"Add decision date",""))))</f>
        <v/>
      </c>
    </row>
    <row r="92" customFormat="false" ht="15" hidden="false" customHeight="false" outlineLevel="0" collapsed="false">
      <c r="B92" s="39"/>
      <c r="C92" s="77"/>
      <c r="D92" s="38"/>
      <c r="E92" s="38"/>
      <c r="F92" s="38"/>
      <c r="G92" s="78"/>
      <c r="H92" s="39"/>
      <c r="I92" s="77"/>
      <c r="J92" s="79" t="str">
        <f aca="false">IF(C92="","",C92+ValidDays)</f>
        <v/>
      </c>
      <c r="K92" s="80" t="str">
        <f aca="false">IF(C92="","",IF(OR(H92="Sent",H92="Draft"),AsOf-C92,IF(I92="","",I92-C92)))</f>
        <v/>
      </c>
      <c r="L92" s="40" t="str">
        <f aca="false">IF(C92="","",IF(AND(H92="Sent",AsOf&gt;J92),"Past valid date",IF(AND(H92="Sent",AsOf-C92&gt;7),"Follow up",IF(AND(OR(H92="Accepted",H92="Declined"),I92=""),"Add decision date",""))))</f>
        <v/>
      </c>
    </row>
    <row r="93" customFormat="false" ht="15" hidden="false" customHeight="false" outlineLevel="0" collapsed="false">
      <c r="B93" s="39"/>
      <c r="C93" s="77"/>
      <c r="D93" s="38"/>
      <c r="E93" s="38"/>
      <c r="F93" s="38"/>
      <c r="G93" s="78"/>
      <c r="H93" s="39"/>
      <c r="I93" s="77"/>
      <c r="J93" s="79" t="str">
        <f aca="false">IF(C93="","",C93+ValidDays)</f>
        <v/>
      </c>
      <c r="K93" s="80" t="str">
        <f aca="false">IF(C93="","",IF(OR(H93="Sent",H93="Draft"),AsOf-C93,IF(I93="","",I93-C93)))</f>
        <v/>
      </c>
      <c r="L93" s="40" t="str">
        <f aca="false">IF(C93="","",IF(AND(H93="Sent",AsOf&gt;J93),"Past valid date",IF(AND(H93="Sent",AsOf-C93&gt;7),"Follow up",IF(AND(OR(H93="Accepted",H93="Declined"),I93=""),"Add decision date",""))))</f>
        <v/>
      </c>
    </row>
    <row r="94" customFormat="false" ht="15" hidden="false" customHeight="false" outlineLevel="0" collapsed="false">
      <c r="B94" s="39"/>
      <c r="C94" s="77"/>
      <c r="D94" s="38"/>
      <c r="E94" s="38"/>
      <c r="F94" s="38"/>
      <c r="G94" s="78"/>
      <c r="H94" s="39"/>
      <c r="I94" s="77"/>
      <c r="J94" s="79" t="str">
        <f aca="false">IF(C94="","",C94+ValidDays)</f>
        <v/>
      </c>
      <c r="K94" s="80" t="str">
        <f aca="false">IF(C94="","",IF(OR(H94="Sent",H94="Draft"),AsOf-C94,IF(I94="","",I94-C94)))</f>
        <v/>
      </c>
      <c r="L94" s="40" t="str">
        <f aca="false">IF(C94="","",IF(AND(H94="Sent",AsOf&gt;J94),"Past valid date",IF(AND(H94="Sent",AsOf-C94&gt;7),"Follow up",IF(AND(OR(H94="Accepted",H94="Declined"),I94=""),"Add decision date",""))))</f>
        <v/>
      </c>
    </row>
    <row r="95" customFormat="false" ht="15" hidden="false" customHeight="false" outlineLevel="0" collapsed="false">
      <c r="B95" s="39"/>
      <c r="C95" s="77"/>
      <c r="D95" s="38"/>
      <c r="E95" s="38"/>
      <c r="F95" s="38"/>
      <c r="G95" s="78"/>
      <c r="H95" s="39"/>
      <c r="I95" s="77"/>
      <c r="J95" s="79" t="str">
        <f aca="false">IF(C95="","",C95+ValidDays)</f>
        <v/>
      </c>
      <c r="K95" s="80" t="str">
        <f aca="false">IF(C95="","",IF(OR(H95="Sent",H95="Draft"),AsOf-C95,IF(I95="","",I95-C95)))</f>
        <v/>
      </c>
      <c r="L95" s="40" t="str">
        <f aca="false">IF(C95="","",IF(AND(H95="Sent",AsOf&gt;J95),"Past valid date",IF(AND(H95="Sent",AsOf-C95&gt;7),"Follow up",IF(AND(OR(H95="Accepted",H95="Declined"),I95=""),"Add decision date",""))))</f>
        <v/>
      </c>
    </row>
    <row r="96" customFormat="false" ht="15" hidden="false" customHeight="false" outlineLevel="0" collapsed="false">
      <c r="B96" s="39"/>
      <c r="C96" s="77"/>
      <c r="D96" s="38"/>
      <c r="E96" s="38"/>
      <c r="F96" s="38"/>
      <c r="G96" s="78"/>
      <c r="H96" s="39"/>
      <c r="I96" s="77"/>
      <c r="J96" s="79" t="str">
        <f aca="false">IF(C96="","",C96+ValidDays)</f>
        <v/>
      </c>
      <c r="K96" s="80" t="str">
        <f aca="false">IF(C96="","",IF(OR(H96="Sent",H96="Draft"),AsOf-C96,IF(I96="","",I96-C96)))</f>
        <v/>
      </c>
      <c r="L96" s="40" t="str">
        <f aca="false">IF(C96="","",IF(AND(H96="Sent",AsOf&gt;J96),"Past valid date",IF(AND(H96="Sent",AsOf-C96&gt;7),"Follow up",IF(AND(OR(H96="Accepted",H96="Declined"),I96=""),"Add decision date",""))))</f>
        <v/>
      </c>
    </row>
    <row r="97" customFormat="false" ht="15" hidden="false" customHeight="false" outlineLevel="0" collapsed="false">
      <c r="B97" s="39"/>
      <c r="C97" s="77"/>
      <c r="D97" s="38"/>
      <c r="E97" s="38"/>
      <c r="F97" s="38"/>
      <c r="G97" s="78"/>
      <c r="H97" s="39"/>
      <c r="I97" s="77"/>
      <c r="J97" s="79" t="str">
        <f aca="false">IF(C97="","",C97+ValidDays)</f>
        <v/>
      </c>
      <c r="K97" s="80" t="str">
        <f aca="false">IF(C97="","",IF(OR(H97="Sent",H97="Draft"),AsOf-C97,IF(I97="","",I97-C97)))</f>
        <v/>
      </c>
      <c r="L97" s="40" t="str">
        <f aca="false">IF(C97="","",IF(AND(H97="Sent",AsOf&gt;J97),"Past valid date",IF(AND(H97="Sent",AsOf-C97&gt;7),"Follow up",IF(AND(OR(H97="Accepted",H97="Declined"),I97=""),"Add decision date",""))))</f>
        <v/>
      </c>
    </row>
    <row r="98" customFormat="false" ht="15" hidden="false" customHeight="false" outlineLevel="0" collapsed="false">
      <c r="B98" s="39"/>
      <c r="C98" s="77"/>
      <c r="D98" s="38"/>
      <c r="E98" s="38"/>
      <c r="F98" s="38"/>
      <c r="G98" s="78"/>
      <c r="H98" s="39"/>
      <c r="I98" s="77"/>
      <c r="J98" s="79" t="str">
        <f aca="false">IF(C98="","",C98+ValidDays)</f>
        <v/>
      </c>
      <c r="K98" s="80" t="str">
        <f aca="false">IF(C98="","",IF(OR(H98="Sent",H98="Draft"),AsOf-C98,IF(I98="","",I98-C98)))</f>
        <v/>
      </c>
      <c r="L98" s="40" t="str">
        <f aca="false">IF(C98="","",IF(AND(H98="Sent",AsOf&gt;J98),"Past valid date",IF(AND(H98="Sent",AsOf-C98&gt;7),"Follow up",IF(AND(OR(H98="Accepted",H98="Declined"),I98=""),"Add decision date",""))))</f>
        <v/>
      </c>
    </row>
    <row r="99" customFormat="false" ht="15" hidden="false" customHeight="false" outlineLevel="0" collapsed="false">
      <c r="B99" s="39"/>
      <c r="C99" s="77"/>
      <c r="D99" s="38"/>
      <c r="E99" s="38"/>
      <c r="F99" s="38"/>
      <c r="G99" s="78"/>
      <c r="H99" s="39"/>
      <c r="I99" s="77"/>
      <c r="J99" s="79" t="str">
        <f aca="false">IF(C99="","",C99+ValidDays)</f>
        <v/>
      </c>
      <c r="K99" s="80" t="str">
        <f aca="false">IF(C99="","",IF(OR(H99="Sent",H99="Draft"),AsOf-C99,IF(I99="","",I99-C99)))</f>
        <v/>
      </c>
      <c r="L99" s="40" t="str">
        <f aca="false">IF(C99="","",IF(AND(H99="Sent",AsOf&gt;J99),"Past valid date",IF(AND(H99="Sent",AsOf-C99&gt;7),"Follow up",IF(AND(OR(H99="Accepted",H99="Declined"),I99=""),"Add decision date",""))))</f>
        <v/>
      </c>
    </row>
    <row r="100" customFormat="false" ht="15" hidden="false" customHeight="false" outlineLevel="0" collapsed="false">
      <c r="B100" s="39"/>
      <c r="C100" s="77"/>
      <c r="D100" s="38"/>
      <c r="E100" s="38"/>
      <c r="F100" s="38"/>
      <c r="G100" s="78"/>
      <c r="H100" s="39"/>
      <c r="I100" s="77"/>
      <c r="J100" s="79" t="str">
        <f aca="false">IF(C100="","",C100+ValidDays)</f>
        <v/>
      </c>
      <c r="K100" s="80" t="str">
        <f aca="false">IF(C100="","",IF(OR(H100="Sent",H100="Draft"),AsOf-C100,IF(I100="","",I100-C100)))</f>
        <v/>
      </c>
      <c r="L100" s="40" t="str">
        <f aca="false">IF(C100="","",IF(AND(H100="Sent",AsOf&gt;J100),"Past valid date",IF(AND(H100="Sent",AsOf-C100&gt;7),"Follow up",IF(AND(OR(H100="Accepted",H100="Declined"),I100=""),"Add decision date",""))))</f>
        <v/>
      </c>
    </row>
    <row r="101" customFormat="false" ht="15" hidden="false" customHeight="false" outlineLevel="0" collapsed="false">
      <c r="B101" s="39"/>
      <c r="C101" s="77"/>
      <c r="D101" s="38"/>
      <c r="E101" s="38"/>
      <c r="F101" s="38"/>
      <c r="G101" s="78"/>
      <c r="H101" s="39"/>
      <c r="I101" s="77"/>
      <c r="J101" s="79" t="str">
        <f aca="false">IF(C101="","",C101+ValidDays)</f>
        <v/>
      </c>
      <c r="K101" s="80" t="str">
        <f aca="false">IF(C101="","",IF(OR(H101="Sent",H101="Draft"),AsOf-C101,IF(I101="","",I101-C101)))</f>
        <v/>
      </c>
      <c r="L101" s="40" t="str">
        <f aca="false">IF(C101="","",IF(AND(H101="Sent",AsOf&gt;J101),"Past valid date",IF(AND(H101="Sent",AsOf-C101&gt;7),"Follow up",IF(AND(OR(H101="Accepted",H101="Declined"),I101=""),"Add decision date",""))))</f>
        <v/>
      </c>
    </row>
    <row r="102" customFormat="false" ht="15" hidden="false" customHeight="false" outlineLevel="0" collapsed="false">
      <c r="B102" s="39"/>
      <c r="C102" s="77"/>
      <c r="D102" s="38"/>
      <c r="E102" s="38"/>
      <c r="F102" s="38"/>
      <c r="G102" s="78"/>
      <c r="H102" s="39"/>
      <c r="I102" s="77"/>
      <c r="J102" s="79" t="str">
        <f aca="false">IF(C102="","",C102+ValidDays)</f>
        <v/>
      </c>
      <c r="K102" s="80" t="str">
        <f aca="false">IF(C102="","",IF(OR(H102="Sent",H102="Draft"),AsOf-C102,IF(I102="","",I102-C102)))</f>
        <v/>
      </c>
      <c r="L102" s="40" t="str">
        <f aca="false">IF(C102="","",IF(AND(H102="Sent",AsOf&gt;J102),"Past valid date",IF(AND(H102="Sent",AsOf-C102&gt;7),"Follow up",IF(AND(OR(H102="Accepted",H102="Declined"),I102=""),"Add decision date",""))))</f>
        <v/>
      </c>
    </row>
    <row r="103" customFormat="false" ht="15" hidden="false" customHeight="false" outlineLevel="0" collapsed="false">
      <c r="B103" s="39"/>
      <c r="C103" s="77"/>
      <c r="D103" s="38"/>
      <c r="E103" s="38"/>
      <c r="F103" s="38"/>
      <c r="G103" s="78"/>
      <c r="H103" s="39"/>
      <c r="I103" s="77"/>
      <c r="J103" s="79" t="str">
        <f aca="false">IF(C103="","",C103+ValidDays)</f>
        <v/>
      </c>
      <c r="K103" s="80" t="str">
        <f aca="false">IF(C103="","",IF(OR(H103="Sent",H103="Draft"),AsOf-C103,IF(I103="","",I103-C103)))</f>
        <v/>
      </c>
      <c r="L103" s="40" t="str">
        <f aca="false">IF(C103="","",IF(AND(H103="Sent",AsOf&gt;J103),"Past valid date",IF(AND(H103="Sent",AsOf-C103&gt;7),"Follow up",IF(AND(OR(H103="Accepted",H103="Declined"),I103=""),"Add decision date",""))))</f>
        <v/>
      </c>
    </row>
    <row r="104" customFormat="false" ht="15" hidden="false" customHeight="false" outlineLevel="0" collapsed="false">
      <c r="B104" s="39"/>
      <c r="C104" s="77"/>
      <c r="D104" s="38"/>
      <c r="E104" s="38"/>
      <c r="F104" s="38"/>
      <c r="G104" s="78"/>
      <c r="H104" s="39"/>
      <c r="I104" s="77"/>
      <c r="J104" s="79" t="str">
        <f aca="false">IF(C104="","",C104+ValidDays)</f>
        <v/>
      </c>
      <c r="K104" s="80" t="str">
        <f aca="false">IF(C104="","",IF(OR(H104="Sent",H104="Draft"),AsOf-C104,IF(I104="","",I104-C104)))</f>
        <v/>
      </c>
      <c r="L104" s="40" t="str">
        <f aca="false">IF(C104="","",IF(AND(H104="Sent",AsOf&gt;J104),"Past valid date",IF(AND(H104="Sent",AsOf-C104&gt;7),"Follow up",IF(AND(OR(H104="Accepted",H104="Declined"),I104=""),"Add decision date",""))))</f>
        <v/>
      </c>
    </row>
    <row r="105" customFormat="false" ht="15" hidden="false" customHeight="false" outlineLevel="0" collapsed="false">
      <c r="B105" s="39"/>
      <c r="C105" s="77"/>
      <c r="D105" s="38"/>
      <c r="E105" s="38"/>
      <c r="F105" s="38"/>
      <c r="G105" s="78"/>
      <c r="H105" s="39"/>
      <c r="I105" s="77"/>
      <c r="J105" s="79" t="str">
        <f aca="false">IF(C105="","",C105+ValidDays)</f>
        <v/>
      </c>
      <c r="K105" s="80" t="str">
        <f aca="false">IF(C105="","",IF(OR(H105="Sent",H105="Draft"),AsOf-C105,IF(I105="","",I105-C105)))</f>
        <v/>
      </c>
      <c r="L105" s="40" t="str">
        <f aca="false">IF(C105="","",IF(AND(H105="Sent",AsOf&gt;J105),"Past valid date",IF(AND(H105="Sent",AsOf-C105&gt;7),"Follow up",IF(AND(OR(H105="Accepted",H105="Declined"),I105=""),"Add decision date",""))))</f>
        <v/>
      </c>
    </row>
    <row r="106" customFormat="false" ht="15" hidden="false" customHeight="false" outlineLevel="0" collapsed="false">
      <c r="B106" s="39"/>
      <c r="C106" s="77"/>
      <c r="D106" s="38"/>
      <c r="E106" s="38"/>
      <c r="F106" s="38"/>
      <c r="G106" s="78"/>
      <c r="H106" s="39"/>
      <c r="I106" s="77"/>
      <c r="J106" s="79" t="str">
        <f aca="false">IF(C106="","",C106+ValidDays)</f>
        <v/>
      </c>
      <c r="K106" s="80" t="str">
        <f aca="false">IF(C106="","",IF(OR(H106="Sent",H106="Draft"),AsOf-C106,IF(I106="","",I106-C106)))</f>
        <v/>
      </c>
      <c r="L106" s="40" t="str">
        <f aca="false">IF(C106="","",IF(AND(H106="Sent",AsOf&gt;J106),"Past valid date",IF(AND(H106="Sent",AsOf-C106&gt;7),"Follow up",IF(AND(OR(H106="Accepted",H106="Declined"),I106=""),"Add decision date",""))))</f>
        <v/>
      </c>
    </row>
    <row r="107" customFormat="false" ht="15" hidden="false" customHeight="false" outlineLevel="0" collapsed="false">
      <c r="B107" s="39"/>
      <c r="C107" s="77"/>
      <c r="D107" s="38"/>
      <c r="E107" s="38"/>
      <c r="F107" s="38"/>
      <c r="G107" s="78"/>
      <c r="H107" s="39"/>
      <c r="I107" s="77"/>
      <c r="J107" s="79" t="str">
        <f aca="false">IF(C107="","",C107+ValidDays)</f>
        <v/>
      </c>
      <c r="K107" s="80" t="str">
        <f aca="false">IF(C107="","",IF(OR(H107="Sent",H107="Draft"),AsOf-C107,IF(I107="","",I107-C107)))</f>
        <v/>
      </c>
      <c r="L107" s="40" t="str">
        <f aca="false">IF(C107="","",IF(AND(H107="Sent",AsOf&gt;J107),"Past valid date",IF(AND(H107="Sent",AsOf-C107&gt;7),"Follow up",IF(AND(OR(H107="Accepted",H107="Declined"),I107=""),"Add decision date",""))))</f>
        <v/>
      </c>
    </row>
    <row r="108" customFormat="false" ht="15" hidden="false" customHeight="false" outlineLevel="0" collapsed="false">
      <c r="B108" s="39"/>
      <c r="C108" s="77"/>
      <c r="D108" s="38"/>
      <c r="E108" s="38"/>
      <c r="F108" s="38"/>
      <c r="G108" s="78"/>
      <c r="H108" s="39"/>
      <c r="I108" s="77"/>
      <c r="J108" s="79" t="str">
        <f aca="false">IF(C108="","",C108+ValidDays)</f>
        <v/>
      </c>
      <c r="K108" s="80" t="str">
        <f aca="false">IF(C108="","",IF(OR(H108="Sent",H108="Draft"),AsOf-C108,IF(I108="","",I108-C108)))</f>
        <v/>
      </c>
      <c r="L108" s="40" t="str">
        <f aca="false">IF(C108="","",IF(AND(H108="Sent",AsOf&gt;J108),"Past valid date",IF(AND(H108="Sent",AsOf-C108&gt;7),"Follow up",IF(AND(OR(H108="Accepted",H108="Declined"),I108=""),"Add decision date",""))))</f>
        <v/>
      </c>
    </row>
    <row r="109" customFormat="false" ht="15" hidden="false" customHeight="false" outlineLevel="0" collapsed="false">
      <c r="B109" s="39"/>
      <c r="C109" s="77"/>
      <c r="D109" s="38"/>
      <c r="E109" s="38"/>
      <c r="F109" s="38"/>
      <c r="G109" s="78"/>
      <c r="H109" s="39"/>
      <c r="I109" s="77"/>
      <c r="J109" s="79" t="str">
        <f aca="false">IF(C109="","",C109+ValidDays)</f>
        <v/>
      </c>
      <c r="K109" s="80" t="str">
        <f aca="false">IF(C109="","",IF(OR(H109="Sent",H109="Draft"),AsOf-C109,IF(I109="","",I109-C109)))</f>
        <v/>
      </c>
      <c r="L109" s="40" t="str">
        <f aca="false">IF(C109="","",IF(AND(H109="Sent",AsOf&gt;J109),"Past valid date",IF(AND(H109="Sent",AsOf-C109&gt;7),"Follow up",IF(AND(OR(H109="Accepted",H109="Declined"),I109=""),"Add decision date",""))))</f>
        <v/>
      </c>
    </row>
    <row r="110" customFormat="false" ht="15" hidden="false" customHeight="false" outlineLevel="0" collapsed="false">
      <c r="B110" s="39"/>
      <c r="C110" s="77"/>
      <c r="D110" s="38"/>
      <c r="E110" s="38"/>
      <c r="F110" s="38"/>
      <c r="G110" s="78"/>
      <c r="H110" s="39"/>
      <c r="I110" s="77"/>
      <c r="J110" s="79" t="str">
        <f aca="false">IF(C110="","",C110+ValidDays)</f>
        <v/>
      </c>
      <c r="K110" s="80" t="str">
        <f aca="false">IF(C110="","",IF(OR(H110="Sent",H110="Draft"),AsOf-C110,IF(I110="","",I110-C110)))</f>
        <v/>
      </c>
      <c r="L110" s="40" t="str">
        <f aca="false">IF(C110="","",IF(AND(H110="Sent",AsOf&gt;J110),"Past valid date",IF(AND(H110="Sent",AsOf-C110&gt;7),"Follow up",IF(AND(OR(H110="Accepted",H110="Declined"),I110=""),"Add decision date",""))))</f>
        <v/>
      </c>
    </row>
    <row r="111" customFormat="false" ht="15" hidden="false" customHeight="false" outlineLevel="0" collapsed="false">
      <c r="B111" s="39"/>
      <c r="C111" s="77"/>
      <c r="D111" s="38"/>
      <c r="E111" s="38"/>
      <c r="F111" s="38"/>
      <c r="G111" s="78"/>
      <c r="H111" s="39"/>
      <c r="I111" s="77"/>
      <c r="J111" s="79" t="str">
        <f aca="false">IF(C111="","",C111+ValidDays)</f>
        <v/>
      </c>
      <c r="K111" s="80" t="str">
        <f aca="false">IF(C111="","",IF(OR(H111="Sent",H111="Draft"),AsOf-C111,IF(I111="","",I111-C111)))</f>
        <v/>
      </c>
      <c r="L111" s="40" t="str">
        <f aca="false">IF(C111="","",IF(AND(H111="Sent",AsOf&gt;J111),"Past valid date",IF(AND(H111="Sent",AsOf-C111&gt;7),"Follow up",IF(AND(OR(H111="Accepted",H111="Declined"),I111=""),"Add decision date",""))))</f>
        <v/>
      </c>
    </row>
    <row r="112" customFormat="false" ht="15" hidden="false" customHeight="false" outlineLevel="0" collapsed="false">
      <c r="B112" s="39"/>
      <c r="C112" s="77"/>
      <c r="D112" s="38"/>
      <c r="E112" s="38"/>
      <c r="F112" s="38"/>
      <c r="G112" s="78"/>
      <c r="H112" s="39"/>
      <c r="I112" s="77"/>
      <c r="J112" s="79" t="str">
        <f aca="false">IF(C112="","",C112+ValidDays)</f>
        <v/>
      </c>
      <c r="K112" s="80" t="str">
        <f aca="false">IF(C112="","",IF(OR(H112="Sent",H112="Draft"),AsOf-C112,IF(I112="","",I112-C112)))</f>
        <v/>
      </c>
      <c r="L112" s="40" t="str">
        <f aca="false">IF(C112="","",IF(AND(H112="Sent",AsOf&gt;J112),"Past valid date",IF(AND(H112="Sent",AsOf-C112&gt;7),"Follow up",IF(AND(OR(H112="Accepted",H112="Declined"),I112=""),"Add decision date",""))))</f>
        <v/>
      </c>
    </row>
    <row r="113" customFormat="false" ht="15" hidden="false" customHeight="false" outlineLevel="0" collapsed="false">
      <c r="B113" s="39"/>
      <c r="C113" s="77"/>
      <c r="D113" s="38"/>
      <c r="E113" s="38"/>
      <c r="F113" s="38"/>
      <c r="G113" s="78"/>
      <c r="H113" s="39"/>
      <c r="I113" s="77"/>
      <c r="J113" s="79" t="str">
        <f aca="false">IF(C113="","",C113+ValidDays)</f>
        <v/>
      </c>
      <c r="K113" s="80" t="str">
        <f aca="false">IF(C113="","",IF(OR(H113="Sent",H113="Draft"),AsOf-C113,IF(I113="","",I113-C113)))</f>
        <v/>
      </c>
      <c r="L113" s="40" t="str">
        <f aca="false">IF(C113="","",IF(AND(H113="Sent",AsOf&gt;J113),"Past valid date",IF(AND(H113="Sent",AsOf-C113&gt;7),"Follow up",IF(AND(OR(H113="Accepted",H113="Declined"),I113=""),"Add decision date",""))))</f>
        <v/>
      </c>
    </row>
    <row r="114" customFormat="false" ht="15" hidden="false" customHeight="false" outlineLevel="0" collapsed="false">
      <c r="B114" s="39"/>
      <c r="C114" s="77"/>
      <c r="D114" s="38"/>
      <c r="E114" s="38"/>
      <c r="F114" s="38"/>
      <c r="G114" s="78"/>
      <c r="H114" s="39"/>
      <c r="I114" s="77"/>
      <c r="J114" s="79" t="str">
        <f aca="false">IF(C114="","",C114+ValidDays)</f>
        <v/>
      </c>
      <c r="K114" s="80" t="str">
        <f aca="false">IF(C114="","",IF(OR(H114="Sent",H114="Draft"),AsOf-C114,IF(I114="","",I114-C114)))</f>
        <v/>
      </c>
      <c r="L114" s="40" t="str">
        <f aca="false">IF(C114="","",IF(AND(H114="Sent",AsOf&gt;J114),"Past valid date",IF(AND(H114="Sent",AsOf-C114&gt;7),"Follow up",IF(AND(OR(H114="Accepted",H114="Declined"),I114=""),"Add decision date",""))))</f>
        <v/>
      </c>
    </row>
    <row r="115" customFormat="false" ht="15" hidden="false" customHeight="false" outlineLevel="0" collapsed="false">
      <c r="B115" s="39"/>
      <c r="C115" s="77"/>
      <c r="D115" s="38"/>
      <c r="E115" s="38"/>
      <c r="F115" s="38"/>
      <c r="G115" s="78"/>
      <c r="H115" s="39"/>
      <c r="I115" s="77"/>
      <c r="J115" s="79" t="str">
        <f aca="false">IF(C115="","",C115+ValidDays)</f>
        <v/>
      </c>
      <c r="K115" s="80" t="str">
        <f aca="false">IF(C115="","",IF(OR(H115="Sent",H115="Draft"),AsOf-C115,IF(I115="","",I115-C115)))</f>
        <v/>
      </c>
      <c r="L115" s="40" t="str">
        <f aca="false">IF(C115="","",IF(AND(H115="Sent",AsOf&gt;J115),"Past valid date",IF(AND(H115="Sent",AsOf-C115&gt;7),"Follow up",IF(AND(OR(H115="Accepted",H115="Declined"),I115=""),"Add decision date",""))))</f>
        <v/>
      </c>
    </row>
    <row r="116" customFormat="false" ht="15" hidden="false" customHeight="false" outlineLevel="0" collapsed="false">
      <c r="B116" s="39"/>
      <c r="C116" s="77"/>
      <c r="D116" s="38"/>
      <c r="E116" s="38"/>
      <c r="F116" s="38"/>
      <c r="G116" s="78"/>
      <c r="H116" s="39"/>
      <c r="I116" s="77"/>
      <c r="J116" s="79" t="str">
        <f aca="false">IF(C116="","",C116+ValidDays)</f>
        <v/>
      </c>
      <c r="K116" s="80" t="str">
        <f aca="false">IF(C116="","",IF(OR(H116="Sent",H116="Draft"),AsOf-C116,IF(I116="","",I116-C116)))</f>
        <v/>
      </c>
      <c r="L116" s="40" t="str">
        <f aca="false">IF(C116="","",IF(AND(H116="Sent",AsOf&gt;J116),"Past valid date",IF(AND(H116="Sent",AsOf-C116&gt;7),"Follow up",IF(AND(OR(H116="Accepted",H116="Declined"),I116=""),"Add decision date",""))))</f>
        <v/>
      </c>
    </row>
    <row r="117" customFormat="false" ht="15" hidden="false" customHeight="false" outlineLevel="0" collapsed="false">
      <c r="B117" s="39"/>
      <c r="C117" s="77"/>
      <c r="D117" s="38"/>
      <c r="E117" s="38"/>
      <c r="F117" s="38"/>
      <c r="G117" s="78"/>
      <c r="H117" s="39"/>
      <c r="I117" s="77"/>
      <c r="J117" s="79" t="str">
        <f aca="false">IF(C117="","",C117+ValidDays)</f>
        <v/>
      </c>
      <c r="K117" s="80" t="str">
        <f aca="false">IF(C117="","",IF(OR(H117="Sent",H117="Draft"),AsOf-C117,IF(I117="","",I117-C117)))</f>
        <v/>
      </c>
      <c r="L117" s="40" t="str">
        <f aca="false">IF(C117="","",IF(AND(H117="Sent",AsOf&gt;J117),"Past valid date",IF(AND(H117="Sent",AsOf-C117&gt;7),"Follow up",IF(AND(OR(H117="Accepted",H117="Declined"),I117=""),"Add decision date",""))))</f>
        <v/>
      </c>
    </row>
    <row r="118" customFormat="false" ht="15" hidden="false" customHeight="false" outlineLevel="0" collapsed="false">
      <c r="B118" s="39"/>
      <c r="C118" s="77"/>
      <c r="D118" s="38"/>
      <c r="E118" s="38"/>
      <c r="F118" s="38"/>
      <c r="G118" s="78"/>
      <c r="H118" s="39"/>
      <c r="I118" s="77"/>
      <c r="J118" s="79" t="str">
        <f aca="false">IF(C118="","",C118+ValidDays)</f>
        <v/>
      </c>
      <c r="K118" s="80" t="str">
        <f aca="false">IF(C118="","",IF(OR(H118="Sent",H118="Draft"),AsOf-C118,IF(I118="","",I118-C118)))</f>
        <v/>
      </c>
      <c r="L118" s="40" t="str">
        <f aca="false">IF(C118="","",IF(AND(H118="Sent",AsOf&gt;J118),"Past valid date",IF(AND(H118="Sent",AsOf-C118&gt;7),"Follow up",IF(AND(OR(H118="Accepted",H118="Declined"),I118=""),"Add decision date",""))))</f>
        <v/>
      </c>
    </row>
    <row r="119" customFormat="false" ht="15" hidden="false" customHeight="false" outlineLevel="0" collapsed="false">
      <c r="B119" s="39"/>
      <c r="C119" s="77"/>
      <c r="D119" s="38"/>
      <c r="E119" s="38"/>
      <c r="F119" s="38"/>
      <c r="G119" s="78"/>
      <c r="H119" s="39"/>
      <c r="I119" s="77"/>
      <c r="J119" s="79" t="str">
        <f aca="false">IF(C119="","",C119+ValidDays)</f>
        <v/>
      </c>
      <c r="K119" s="80" t="str">
        <f aca="false">IF(C119="","",IF(OR(H119="Sent",H119="Draft"),AsOf-C119,IF(I119="","",I119-C119)))</f>
        <v/>
      </c>
      <c r="L119" s="40" t="str">
        <f aca="false">IF(C119="","",IF(AND(H119="Sent",AsOf&gt;J119),"Past valid date",IF(AND(H119="Sent",AsOf-C119&gt;7),"Follow up",IF(AND(OR(H119="Accepted",H119="Declined"),I119=""),"Add decision date",""))))</f>
        <v/>
      </c>
    </row>
    <row r="120" customFormat="false" ht="15" hidden="false" customHeight="false" outlineLevel="0" collapsed="false">
      <c r="B120" s="39"/>
      <c r="C120" s="77"/>
      <c r="D120" s="38"/>
      <c r="E120" s="38"/>
      <c r="F120" s="38"/>
      <c r="G120" s="78"/>
      <c r="H120" s="39"/>
      <c r="I120" s="77"/>
      <c r="J120" s="79" t="str">
        <f aca="false">IF(C120="","",C120+ValidDays)</f>
        <v/>
      </c>
      <c r="K120" s="80" t="str">
        <f aca="false">IF(C120="","",IF(OR(H120="Sent",H120="Draft"),AsOf-C120,IF(I120="","",I120-C120)))</f>
        <v/>
      </c>
      <c r="L120" s="40" t="str">
        <f aca="false">IF(C120="","",IF(AND(H120="Sent",AsOf&gt;J120),"Past valid date",IF(AND(H120="Sent",AsOf-C120&gt;7),"Follow up",IF(AND(OR(H120="Accepted",H120="Declined"),I120=""),"Add decision date",""))))</f>
        <v/>
      </c>
    </row>
    <row r="121" customFormat="false" ht="15" hidden="false" customHeight="false" outlineLevel="0" collapsed="false">
      <c r="B121" s="39"/>
      <c r="C121" s="77"/>
      <c r="D121" s="38"/>
      <c r="E121" s="38"/>
      <c r="F121" s="38"/>
      <c r="G121" s="78"/>
      <c r="H121" s="39"/>
      <c r="I121" s="77"/>
      <c r="J121" s="79" t="str">
        <f aca="false">IF(C121="","",C121+ValidDays)</f>
        <v/>
      </c>
      <c r="K121" s="80" t="str">
        <f aca="false">IF(C121="","",IF(OR(H121="Sent",H121="Draft"),AsOf-C121,IF(I121="","",I121-C121)))</f>
        <v/>
      </c>
      <c r="L121" s="40" t="str">
        <f aca="false">IF(C121="","",IF(AND(H121="Sent",AsOf&gt;J121),"Past valid date",IF(AND(H121="Sent",AsOf-C121&gt;7),"Follow up",IF(AND(OR(H121="Accepted",H121="Declined"),I121=""),"Add decision date",""))))</f>
        <v/>
      </c>
    </row>
    <row r="122" customFormat="false" ht="15" hidden="false" customHeight="false" outlineLevel="0" collapsed="false">
      <c r="B122" s="39"/>
      <c r="C122" s="77"/>
      <c r="D122" s="38"/>
      <c r="E122" s="38"/>
      <c r="F122" s="38"/>
      <c r="G122" s="78"/>
      <c r="H122" s="39"/>
      <c r="I122" s="77"/>
      <c r="J122" s="79" t="str">
        <f aca="false">IF(C122="","",C122+ValidDays)</f>
        <v/>
      </c>
      <c r="K122" s="80" t="str">
        <f aca="false">IF(C122="","",IF(OR(H122="Sent",H122="Draft"),AsOf-C122,IF(I122="","",I122-C122)))</f>
        <v/>
      </c>
      <c r="L122" s="40" t="str">
        <f aca="false">IF(C122="","",IF(AND(H122="Sent",AsOf&gt;J122),"Past valid date",IF(AND(H122="Sent",AsOf-C122&gt;7),"Follow up",IF(AND(OR(H122="Accepted",H122="Declined"),I122=""),"Add decision date",""))))</f>
        <v/>
      </c>
    </row>
    <row r="123" customFormat="false" ht="15" hidden="false" customHeight="false" outlineLevel="0" collapsed="false">
      <c r="B123" s="39"/>
      <c r="C123" s="77"/>
      <c r="D123" s="38"/>
      <c r="E123" s="38"/>
      <c r="F123" s="38"/>
      <c r="G123" s="78"/>
      <c r="H123" s="39"/>
      <c r="I123" s="77"/>
      <c r="J123" s="79" t="str">
        <f aca="false">IF(C123="","",C123+ValidDays)</f>
        <v/>
      </c>
      <c r="K123" s="80" t="str">
        <f aca="false">IF(C123="","",IF(OR(H123="Sent",H123="Draft"),AsOf-C123,IF(I123="","",I123-C123)))</f>
        <v/>
      </c>
      <c r="L123" s="40" t="str">
        <f aca="false">IF(C123="","",IF(AND(H123="Sent",AsOf&gt;J123),"Past valid date",IF(AND(H123="Sent",AsOf-C123&gt;7),"Follow up",IF(AND(OR(H123="Accepted",H123="Declined"),I123=""),"Add decision date",""))))</f>
        <v/>
      </c>
    </row>
    <row r="124" customFormat="false" ht="15" hidden="false" customHeight="false" outlineLevel="0" collapsed="false">
      <c r="B124" s="39"/>
      <c r="C124" s="77"/>
      <c r="D124" s="38"/>
      <c r="E124" s="38"/>
      <c r="F124" s="38"/>
      <c r="G124" s="78"/>
      <c r="H124" s="39"/>
      <c r="I124" s="77"/>
      <c r="J124" s="79" t="str">
        <f aca="false">IF(C124="","",C124+ValidDays)</f>
        <v/>
      </c>
      <c r="K124" s="80" t="str">
        <f aca="false">IF(C124="","",IF(OR(H124="Sent",H124="Draft"),AsOf-C124,IF(I124="","",I124-C124)))</f>
        <v/>
      </c>
      <c r="L124" s="40" t="str">
        <f aca="false">IF(C124="","",IF(AND(H124="Sent",AsOf&gt;J124),"Past valid date",IF(AND(H124="Sent",AsOf-C124&gt;7),"Follow up",IF(AND(OR(H124="Accepted",H124="Declined"),I124=""),"Add decision date",""))))</f>
        <v/>
      </c>
    </row>
    <row r="125" customFormat="false" ht="15" hidden="false" customHeight="false" outlineLevel="0" collapsed="false">
      <c r="B125" s="39"/>
      <c r="C125" s="77"/>
      <c r="D125" s="38"/>
      <c r="E125" s="38"/>
      <c r="F125" s="38"/>
      <c r="G125" s="78"/>
      <c r="H125" s="39"/>
      <c r="I125" s="77"/>
      <c r="J125" s="79" t="str">
        <f aca="false">IF(C125="","",C125+ValidDays)</f>
        <v/>
      </c>
      <c r="K125" s="80" t="str">
        <f aca="false">IF(C125="","",IF(OR(H125="Sent",H125="Draft"),AsOf-C125,IF(I125="","",I125-C125)))</f>
        <v/>
      </c>
      <c r="L125" s="40" t="str">
        <f aca="false">IF(C125="","",IF(AND(H125="Sent",AsOf&gt;J125),"Past valid date",IF(AND(H125="Sent",AsOf-C125&gt;7),"Follow up",IF(AND(OR(H125="Accepted",H125="Declined"),I125=""),"Add decision date",""))))</f>
        <v/>
      </c>
    </row>
    <row r="126" customFormat="false" ht="15" hidden="false" customHeight="false" outlineLevel="0" collapsed="false">
      <c r="B126" s="39"/>
      <c r="C126" s="77"/>
      <c r="D126" s="38"/>
      <c r="E126" s="38"/>
      <c r="F126" s="38"/>
      <c r="G126" s="78"/>
      <c r="H126" s="39"/>
      <c r="I126" s="77"/>
      <c r="J126" s="79" t="str">
        <f aca="false">IF(C126="","",C126+ValidDays)</f>
        <v/>
      </c>
      <c r="K126" s="80" t="str">
        <f aca="false">IF(C126="","",IF(OR(H126="Sent",H126="Draft"),AsOf-C126,IF(I126="","",I126-C126)))</f>
        <v/>
      </c>
      <c r="L126" s="40" t="str">
        <f aca="false">IF(C126="","",IF(AND(H126="Sent",AsOf&gt;J126),"Past valid date",IF(AND(H126="Sent",AsOf-C126&gt;7),"Follow up",IF(AND(OR(H126="Accepted",H126="Declined"),I126=""),"Add decision date",""))))</f>
        <v/>
      </c>
    </row>
    <row r="127" customFormat="false" ht="15" hidden="false" customHeight="false" outlineLevel="0" collapsed="false">
      <c r="B127" s="39"/>
      <c r="C127" s="77"/>
      <c r="D127" s="38"/>
      <c r="E127" s="38"/>
      <c r="F127" s="38"/>
      <c r="G127" s="78"/>
      <c r="H127" s="39"/>
      <c r="I127" s="77"/>
      <c r="J127" s="79" t="str">
        <f aca="false">IF(C127="","",C127+ValidDays)</f>
        <v/>
      </c>
      <c r="K127" s="80" t="str">
        <f aca="false">IF(C127="","",IF(OR(H127="Sent",H127="Draft"),AsOf-C127,IF(I127="","",I127-C127)))</f>
        <v/>
      </c>
      <c r="L127" s="40" t="str">
        <f aca="false">IF(C127="","",IF(AND(H127="Sent",AsOf&gt;J127),"Past valid date",IF(AND(H127="Sent",AsOf-C127&gt;7),"Follow up",IF(AND(OR(H127="Accepted",H127="Declined"),I127=""),"Add decision date",""))))</f>
        <v/>
      </c>
    </row>
    <row r="128" customFormat="false" ht="15" hidden="false" customHeight="false" outlineLevel="0" collapsed="false">
      <c r="B128" s="39"/>
      <c r="C128" s="77"/>
      <c r="D128" s="38"/>
      <c r="E128" s="38"/>
      <c r="F128" s="38"/>
      <c r="G128" s="78"/>
      <c r="H128" s="39"/>
      <c r="I128" s="77"/>
      <c r="J128" s="79" t="str">
        <f aca="false">IF(C128="","",C128+ValidDays)</f>
        <v/>
      </c>
      <c r="K128" s="80" t="str">
        <f aca="false">IF(C128="","",IF(OR(H128="Sent",H128="Draft"),AsOf-C128,IF(I128="","",I128-C128)))</f>
        <v/>
      </c>
      <c r="L128" s="40" t="str">
        <f aca="false">IF(C128="","",IF(AND(H128="Sent",AsOf&gt;J128),"Past valid date",IF(AND(H128="Sent",AsOf-C128&gt;7),"Follow up",IF(AND(OR(H128="Accepted",H128="Declined"),I128=""),"Add decision date",""))))</f>
        <v/>
      </c>
    </row>
    <row r="129" customFormat="false" ht="15" hidden="false" customHeight="false" outlineLevel="0" collapsed="false">
      <c r="B129" s="39"/>
      <c r="C129" s="77"/>
      <c r="D129" s="38"/>
      <c r="E129" s="38"/>
      <c r="F129" s="38"/>
      <c r="G129" s="78"/>
      <c r="H129" s="39"/>
      <c r="I129" s="77"/>
      <c r="J129" s="79" t="str">
        <f aca="false">IF(C129="","",C129+ValidDays)</f>
        <v/>
      </c>
      <c r="K129" s="80" t="str">
        <f aca="false">IF(C129="","",IF(OR(H129="Sent",H129="Draft"),AsOf-C129,IF(I129="","",I129-C129)))</f>
        <v/>
      </c>
      <c r="L129" s="40" t="str">
        <f aca="false">IF(C129="","",IF(AND(H129="Sent",AsOf&gt;J129),"Past valid date",IF(AND(H129="Sent",AsOf-C129&gt;7),"Follow up",IF(AND(OR(H129="Accepted",H129="Declined"),I129=""),"Add decision date",""))))</f>
        <v/>
      </c>
    </row>
    <row r="130" customFormat="false" ht="15" hidden="false" customHeight="false" outlineLevel="0" collapsed="false">
      <c r="B130" s="39"/>
      <c r="C130" s="77"/>
      <c r="D130" s="38"/>
      <c r="E130" s="38"/>
      <c r="F130" s="38"/>
      <c r="G130" s="78"/>
      <c r="H130" s="39"/>
      <c r="I130" s="77"/>
      <c r="J130" s="79" t="str">
        <f aca="false">IF(C130="","",C130+ValidDays)</f>
        <v/>
      </c>
      <c r="K130" s="80" t="str">
        <f aca="false">IF(C130="","",IF(OR(H130="Sent",H130="Draft"),AsOf-C130,IF(I130="","",I130-C130)))</f>
        <v/>
      </c>
      <c r="L130" s="40" t="str">
        <f aca="false">IF(C130="","",IF(AND(H130="Sent",AsOf&gt;J130),"Past valid date",IF(AND(H130="Sent",AsOf-C130&gt;7),"Follow up",IF(AND(OR(H130="Accepted",H130="Declined"),I130=""),"Add decision date",""))))</f>
        <v/>
      </c>
    </row>
    <row r="131" customFormat="false" ht="15" hidden="false" customHeight="false" outlineLevel="0" collapsed="false">
      <c r="B131" s="39"/>
      <c r="C131" s="77"/>
      <c r="D131" s="38"/>
      <c r="E131" s="38"/>
      <c r="F131" s="38"/>
      <c r="G131" s="78"/>
      <c r="H131" s="39"/>
      <c r="I131" s="77"/>
      <c r="J131" s="79" t="str">
        <f aca="false">IF(C131="","",C131+ValidDays)</f>
        <v/>
      </c>
      <c r="K131" s="80" t="str">
        <f aca="false">IF(C131="","",IF(OR(H131="Sent",H131="Draft"),AsOf-C131,IF(I131="","",I131-C131)))</f>
        <v/>
      </c>
      <c r="L131" s="40" t="str">
        <f aca="false">IF(C131="","",IF(AND(H131="Sent",AsOf&gt;J131),"Past valid date",IF(AND(H131="Sent",AsOf-C131&gt;7),"Follow up",IF(AND(OR(H131="Accepted",H131="Declined"),I131=""),"Add decision date",""))))</f>
        <v/>
      </c>
    </row>
    <row r="132" customFormat="false" ht="15" hidden="false" customHeight="false" outlineLevel="0" collapsed="false">
      <c r="B132" s="39"/>
      <c r="C132" s="77"/>
      <c r="D132" s="38"/>
      <c r="E132" s="38"/>
      <c r="F132" s="38"/>
      <c r="G132" s="78"/>
      <c r="H132" s="39"/>
      <c r="I132" s="77"/>
      <c r="J132" s="79" t="str">
        <f aca="false">IF(C132="","",C132+ValidDays)</f>
        <v/>
      </c>
      <c r="K132" s="80" t="str">
        <f aca="false">IF(C132="","",IF(OR(H132="Sent",H132="Draft"),AsOf-C132,IF(I132="","",I132-C132)))</f>
        <v/>
      </c>
      <c r="L132" s="40" t="str">
        <f aca="false">IF(C132="","",IF(AND(H132="Sent",AsOf&gt;J132),"Past valid date",IF(AND(H132="Sent",AsOf-C132&gt;7),"Follow up",IF(AND(OR(H132="Accepted",H132="Declined"),I132=""),"Add decision date",""))))</f>
        <v/>
      </c>
    </row>
    <row r="133" customFormat="false" ht="15" hidden="false" customHeight="false" outlineLevel="0" collapsed="false">
      <c r="B133" s="39"/>
      <c r="C133" s="77"/>
      <c r="D133" s="38"/>
      <c r="E133" s="38"/>
      <c r="F133" s="38"/>
      <c r="G133" s="78"/>
      <c r="H133" s="39"/>
      <c r="I133" s="77"/>
      <c r="J133" s="79" t="str">
        <f aca="false">IF(C133="","",C133+ValidDays)</f>
        <v/>
      </c>
      <c r="K133" s="80" t="str">
        <f aca="false">IF(C133="","",IF(OR(H133="Sent",H133="Draft"),AsOf-C133,IF(I133="","",I133-C133)))</f>
        <v/>
      </c>
      <c r="L133" s="40" t="str">
        <f aca="false">IF(C133="","",IF(AND(H133="Sent",AsOf&gt;J133),"Past valid date",IF(AND(H133="Sent",AsOf-C133&gt;7),"Follow up",IF(AND(OR(H133="Accepted",H133="Declined"),I133=""),"Add decision date",""))))</f>
        <v/>
      </c>
    </row>
    <row r="134" customFormat="false" ht="15" hidden="false" customHeight="false" outlineLevel="0" collapsed="false">
      <c r="B134" s="39"/>
      <c r="C134" s="77"/>
      <c r="D134" s="38"/>
      <c r="E134" s="38"/>
      <c r="F134" s="38"/>
      <c r="G134" s="78"/>
      <c r="H134" s="39"/>
      <c r="I134" s="77"/>
      <c r="J134" s="79" t="str">
        <f aca="false">IF(C134="","",C134+ValidDays)</f>
        <v/>
      </c>
      <c r="K134" s="80" t="str">
        <f aca="false">IF(C134="","",IF(OR(H134="Sent",H134="Draft"),AsOf-C134,IF(I134="","",I134-C134)))</f>
        <v/>
      </c>
      <c r="L134" s="40" t="str">
        <f aca="false">IF(C134="","",IF(AND(H134="Sent",AsOf&gt;J134),"Past valid date",IF(AND(H134="Sent",AsOf-C134&gt;7),"Follow up",IF(AND(OR(H134="Accepted",H134="Declined"),I134=""),"Add decision date",""))))</f>
        <v/>
      </c>
    </row>
    <row r="135" customFormat="false" ht="15" hidden="false" customHeight="false" outlineLevel="0" collapsed="false">
      <c r="B135" s="39"/>
      <c r="C135" s="77"/>
      <c r="D135" s="38"/>
      <c r="E135" s="38"/>
      <c r="F135" s="38"/>
      <c r="G135" s="78"/>
      <c r="H135" s="39"/>
      <c r="I135" s="77"/>
      <c r="J135" s="79" t="str">
        <f aca="false">IF(C135="","",C135+ValidDays)</f>
        <v/>
      </c>
      <c r="K135" s="80" t="str">
        <f aca="false">IF(C135="","",IF(OR(H135="Sent",H135="Draft"),AsOf-C135,IF(I135="","",I135-C135)))</f>
        <v/>
      </c>
      <c r="L135" s="40" t="str">
        <f aca="false">IF(C135="","",IF(AND(H135="Sent",AsOf&gt;J135),"Past valid date",IF(AND(H135="Sent",AsOf-C135&gt;7),"Follow up",IF(AND(OR(H135="Accepted",H135="Declined"),I135=""),"Add decision date",""))))</f>
        <v/>
      </c>
    </row>
    <row r="136" customFormat="false" ht="15" hidden="false" customHeight="false" outlineLevel="0" collapsed="false">
      <c r="B136" s="39"/>
      <c r="C136" s="77"/>
      <c r="D136" s="38"/>
      <c r="E136" s="38"/>
      <c r="F136" s="38"/>
      <c r="G136" s="78"/>
      <c r="H136" s="39"/>
      <c r="I136" s="77"/>
      <c r="J136" s="79" t="str">
        <f aca="false">IF(C136="","",C136+ValidDays)</f>
        <v/>
      </c>
      <c r="K136" s="80" t="str">
        <f aca="false">IF(C136="","",IF(OR(H136="Sent",H136="Draft"),AsOf-C136,IF(I136="","",I136-C136)))</f>
        <v/>
      </c>
      <c r="L136" s="40" t="str">
        <f aca="false">IF(C136="","",IF(AND(H136="Sent",AsOf&gt;J136),"Past valid date",IF(AND(H136="Sent",AsOf-C136&gt;7),"Follow up",IF(AND(OR(H136="Accepted",H136="Declined"),I136=""),"Add decision date",""))))</f>
        <v/>
      </c>
    </row>
    <row r="137" customFormat="false" ht="15" hidden="false" customHeight="false" outlineLevel="0" collapsed="false">
      <c r="B137" s="39"/>
      <c r="C137" s="77"/>
      <c r="D137" s="38"/>
      <c r="E137" s="38"/>
      <c r="F137" s="38"/>
      <c r="G137" s="78"/>
      <c r="H137" s="39"/>
      <c r="I137" s="77"/>
      <c r="J137" s="79" t="str">
        <f aca="false">IF(C137="","",C137+ValidDays)</f>
        <v/>
      </c>
      <c r="K137" s="80" t="str">
        <f aca="false">IF(C137="","",IF(OR(H137="Sent",H137="Draft"),AsOf-C137,IF(I137="","",I137-C137)))</f>
        <v/>
      </c>
      <c r="L137" s="40" t="str">
        <f aca="false">IF(C137="","",IF(AND(H137="Sent",AsOf&gt;J137),"Past valid date",IF(AND(H137="Sent",AsOf-C137&gt;7),"Follow up",IF(AND(OR(H137="Accepted",H137="Declined"),I137=""),"Add decision date",""))))</f>
        <v/>
      </c>
    </row>
    <row r="138" customFormat="false" ht="15" hidden="false" customHeight="false" outlineLevel="0" collapsed="false">
      <c r="B138" s="39"/>
      <c r="C138" s="77"/>
      <c r="D138" s="38"/>
      <c r="E138" s="38"/>
      <c r="F138" s="38"/>
      <c r="G138" s="78"/>
      <c r="H138" s="39"/>
      <c r="I138" s="77"/>
      <c r="J138" s="79" t="str">
        <f aca="false">IF(C138="","",C138+ValidDays)</f>
        <v/>
      </c>
      <c r="K138" s="80" t="str">
        <f aca="false">IF(C138="","",IF(OR(H138="Sent",H138="Draft"),AsOf-C138,IF(I138="","",I138-C138)))</f>
        <v/>
      </c>
      <c r="L138" s="40" t="str">
        <f aca="false">IF(C138="","",IF(AND(H138="Sent",AsOf&gt;J138),"Past valid date",IF(AND(H138="Sent",AsOf-C138&gt;7),"Follow up",IF(AND(OR(H138="Accepted",H138="Declined"),I138=""),"Add decision date",""))))</f>
        <v/>
      </c>
    </row>
    <row r="139" customFormat="false" ht="15" hidden="false" customHeight="false" outlineLevel="0" collapsed="false">
      <c r="B139" s="39"/>
      <c r="C139" s="77"/>
      <c r="D139" s="38"/>
      <c r="E139" s="38"/>
      <c r="F139" s="38"/>
      <c r="G139" s="78"/>
      <c r="H139" s="39"/>
      <c r="I139" s="77"/>
      <c r="J139" s="79" t="str">
        <f aca="false">IF(C139="","",C139+ValidDays)</f>
        <v/>
      </c>
      <c r="K139" s="80" t="str">
        <f aca="false">IF(C139="","",IF(OR(H139="Sent",H139="Draft"),AsOf-C139,IF(I139="","",I139-C139)))</f>
        <v/>
      </c>
      <c r="L139" s="40" t="str">
        <f aca="false">IF(C139="","",IF(AND(H139="Sent",AsOf&gt;J139),"Past valid date",IF(AND(H139="Sent",AsOf-C139&gt;7),"Follow up",IF(AND(OR(H139="Accepted",H139="Declined"),I139=""),"Add decision date",""))))</f>
        <v/>
      </c>
    </row>
    <row r="140" customFormat="false" ht="15" hidden="false" customHeight="false" outlineLevel="0" collapsed="false">
      <c r="B140" s="39"/>
      <c r="C140" s="77"/>
      <c r="D140" s="38"/>
      <c r="E140" s="38"/>
      <c r="F140" s="38"/>
      <c r="G140" s="78"/>
      <c r="H140" s="39"/>
      <c r="I140" s="77"/>
      <c r="J140" s="79" t="str">
        <f aca="false">IF(C140="","",C140+ValidDays)</f>
        <v/>
      </c>
      <c r="K140" s="80" t="str">
        <f aca="false">IF(C140="","",IF(OR(H140="Sent",H140="Draft"),AsOf-C140,IF(I140="","",I140-C140)))</f>
        <v/>
      </c>
      <c r="L140" s="40" t="str">
        <f aca="false">IF(C140="","",IF(AND(H140="Sent",AsOf&gt;J140),"Past valid date",IF(AND(H140="Sent",AsOf-C140&gt;7),"Follow up",IF(AND(OR(H140="Accepted",H140="Declined"),I140=""),"Add decision date",""))))</f>
        <v/>
      </c>
    </row>
    <row r="141" customFormat="false" ht="15" hidden="false" customHeight="false" outlineLevel="0" collapsed="false">
      <c r="B141" s="39"/>
      <c r="C141" s="77"/>
      <c r="D141" s="38"/>
      <c r="E141" s="38"/>
      <c r="F141" s="38"/>
      <c r="G141" s="78"/>
      <c r="H141" s="39"/>
      <c r="I141" s="77"/>
      <c r="J141" s="79" t="str">
        <f aca="false">IF(C141="","",C141+ValidDays)</f>
        <v/>
      </c>
      <c r="K141" s="80" t="str">
        <f aca="false">IF(C141="","",IF(OR(H141="Sent",H141="Draft"),AsOf-C141,IF(I141="","",I141-C141)))</f>
        <v/>
      </c>
      <c r="L141" s="40" t="str">
        <f aca="false">IF(C141="","",IF(AND(H141="Sent",AsOf&gt;J141),"Past valid date",IF(AND(H141="Sent",AsOf-C141&gt;7),"Follow up",IF(AND(OR(H141="Accepted",H141="Declined"),I141=""),"Add decision date",""))))</f>
        <v/>
      </c>
    </row>
    <row r="142" customFormat="false" ht="15" hidden="false" customHeight="false" outlineLevel="0" collapsed="false">
      <c r="B142" s="39"/>
      <c r="C142" s="77"/>
      <c r="D142" s="38"/>
      <c r="E142" s="38"/>
      <c r="F142" s="38"/>
      <c r="G142" s="78"/>
      <c r="H142" s="39"/>
      <c r="I142" s="77"/>
      <c r="J142" s="79" t="str">
        <f aca="false">IF(C142="","",C142+ValidDays)</f>
        <v/>
      </c>
      <c r="K142" s="80" t="str">
        <f aca="false">IF(C142="","",IF(OR(H142="Sent",H142="Draft"),AsOf-C142,IF(I142="","",I142-C142)))</f>
        <v/>
      </c>
      <c r="L142" s="40" t="str">
        <f aca="false">IF(C142="","",IF(AND(H142="Sent",AsOf&gt;J142),"Past valid date",IF(AND(H142="Sent",AsOf-C142&gt;7),"Follow up",IF(AND(OR(H142="Accepted",H142="Declined"),I142=""),"Add decision date",""))))</f>
        <v/>
      </c>
    </row>
    <row r="143" customFormat="false" ht="15" hidden="false" customHeight="false" outlineLevel="0" collapsed="false">
      <c r="B143" s="39"/>
      <c r="C143" s="77"/>
      <c r="D143" s="38"/>
      <c r="E143" s="38"/>
      <c r="F143" s="38"/>
      <c r="G143" s="78"/>
      <c r="H143" s="39"/>
      <c r="I143" s="77"/>
      <c r="J143" s="79" t="str">
        <f aca="false">IF(C143="","",C143+ValidDays)</f>
        <v/>
      </c>
      <c r="K143" s="80" t="str">
        <f aca="false">IF(C143="","",IF(OR(H143="Sent",H143="Draft"),AsOf-C143,IF(I143="","",I143-C143)))</f>
        <v/>
      </c>
      <c r="L143" s="40" t="str">
        <f aca="false">IF(C143="","",IF(AND(H143="Sent",AsOf&gt;J143),"Past valid date",IF(AND(H143="Sent",AsOf-C143&gt;7),"Follow up",IF(AND(OR(H143="Accepted",H143="Declined"),I143=""),"Add decision date",""))))</f>
        <v/>
      </c>
    </row>
    <row r="144" customFormat="false" ht="15" hidden="false" customHeight="false" outlineLevel="0" collapsed="false">
      <c r="B144" s="39"/>
      <c r="C144" s="77"/>
      <c r="D144" s="38"/>
      <c r="E144" s="38"/>
      <c r="F144" s="38"/>
      <c r="G144" s="78"/>
      <c r="H144" s="39"/>
      <c r="I144" s="77"/>
      <c r="J144" s="79" t="str">
        <f aca="false">IF(C144="","",C144+ValidDays)</f>
        <v/>
      </c>
      <c r="K144" s="80" t="str">
        <f aca="false">IF(C144="","",IF(OR(H144="Sent",H144="Draft"),AsOf-C144,IF(I144="","",I144-C144)))</f>
        <v/>
      </c>
      <c r="L144" s="40" t="str">
        <f aca="false">IF(C144="","",IF(AND(H144="Sent",AsOf&gt;J144),"Past valid date",IF(AND(H144="Sent",AsOf-C144&gt;7),"Follow up",IF(AND(OR(H144="Accepted",H144="Declined"),I144=""),"Add decision date",""))))</f>
        <v/>
      </c>
    </row>
    <row r="145" customFormat="false" ht="15" hidden="false" customHeight="false" outlineLevel="0" collapsed="false">
      <c r="B145" s="39"/>
      <c r="C145" s="77"/>
      <c r="D145" s="38"/>
      <c r="E145" s="38"/>
      <c r="F145" s="38"/>
      <c r="G145" s="78"/>
      <c r="H145" s="39"/>
      <c r="I145" s="77"/>
      <c r="J145" s="79" t="str">
        <f aca="false">IF(C145="","",C145+ValidDays)</f>
        <v/>
      </c>
      <c r="K145" s="80" t="str">
        <f aca="false">IF(C145="","",IF(OR(H145="Sent",H145="Draft"),AsOf-C145,IF(I145="","",I145-C145)))</f>
        <v/>
      </c>
      <c r="L145" s="40" t="str">
        <f aca="false">IF(C145="","",IF(AND(H145="Sent",AsOf&gt;J145),"Past valid date",IF(AND(H145="Sent",AsOf-C145&gt;7),"Follow up",IF(AND(OR(H145="Accepted",H145="Declined"),I145=""),"Add decision date",""))))</f>
        <v/>
      </c>
    </row>
    <row r="146" customFormat="false" ht="15" hidden="false" customHeight="false" outlineLevel="0" collapsed="false">
      <c r="B146" s="39"/>
      <c r="C146" s="77"/>
      <c r="D146" s="38"/>
      <c r="E146" s="38"/>
      <c r="F146" s="38"/>
      <c r="G146" s="78"/>
      <c r="H146" s="39"/>
      <c r="I146" s="77"/>
      <c r="J146" s="79" t="str">
        <f aca="false">IF(C146="","",C146+ValidDays)</f>
        <v/>
      </c>
      <c r="K146" s="80" t="str">
        <f aca="false">IF(C146="","",IF(OR(H146="Sent",H146="Draft"),AsOf-C146,IF(I146="","",I146-C146)))</f>
        <v/>
      </c>
      <c r="L146" s="40" t="str">
        <f aca="false">IF(C146="","",IF(AND(H146="Sent",AsOf&gt;J146),"Past valid date",IF(AND(H146="Sent",AsOf-C146&gt;7),"Follow up",IF(AND(OR(H146="Accepted",H146="Declined"),I146=""),"Add decision date",""))))</f>
        <v/>
      </c>
    </row>
    <row r="147" customFormat="false" ht="15" hidden="false" customHeight="false" outlineLevel="0" collapsed="false">
      <c r="B147" s="39"/>
      <c r="C147" s="77"/>
      <c r="D147" s="38"/>
      <c r="E147" s="38"/>
      <c r="F147" s="38"/>
      <c r="G147" s="78"/>
      <c r="H147" s="39"/>
      <c r="I147" s="77"/>
      <c r="J147" s="79" t="str">
        <f aca="false">IF(C147="","",C147+ValidDays)</f>
        <v/>
      </c>
      <c r="K147" s="80" t="str">
        <f aca="false">IF(C147="","",IF(OR(H147="Sent",H147="Draft"),AsOf-C147,IF(I147="","",I147-C147)))</f>
        <v/>
      </c>
      <c r="L147" s="40" t="str">
        <f aca="false">IF(C147="","",IF(AND(H147="Sent",AsOf&gt;J147),"Past valid date",IF(AND(H147="Sent",AsOf-C147&gt;7),"Follow up",IF(AND(OR(H147="Accepted",H147="Declined"),I147=""),"Add decision date",""))))</f>
        <v/>
      </c>
    </row>
    <row r="148" customFormat="false" ht="15" hidden="false" customHeight="false" outlineLevel="0" collapsed="false">
      <c r="B148" s="39"/>
      <c r="C148" s="77"/>
      <c r="D148" s="38"/>
      <c r="E148" s="38"/>
      <c r="F148" s="38"/>
      <c r="G148" s="78"/>
      <c r="H148" s="39"/>
      <c r="I148" s="77"/>
      <c r="J148" s="79" t="str">
        <f aca="false">IF(C148="","",C148+ValidDays)</f>
        <v/>
      </c>
      <c r="K148" s="80" t="str">
        <f aca="false">IF(C148="","",IF(OR(H148="Sent",H148="Draft"),AsOf-C148,IF(I148="","",I148-C148)))</f>
        <v/>
      </c>
      <c r="L148" s="40" t="str">
        <f aca="false">IF(C148="","",IF(AND(H148="Sent",AsOf&gt;J148),"Past valid date",IF(AND(H148="Sent",AsOf-C148&gt;7),"Follow up",IF(AND(OR(H148="Accepted",H148="Declined"),I148=""),"Add decision date",""))))</f>
        <v/>
      </c>
    </row>
    <row r="149" customFormat="false" ht="15" hidden="false" customHeight="false" outlineLevel="0" collapsed="false">
      <c r="B149" s="39"/>
      <c r="C149" s="77"/>
      <c r="D149" s="38"/>
      <c r="E149" s="38"/>
      <c r="F149" s="38"/>
      <c r="G149" s="78"/>
      <c r="H149" s="39"/>
      <c r="I149" s="77"/>
      <c r="J149" s="79" t="str">
        <f aca="false">IF(C149="","",C149+ValidDays)</f>
        <v/>
      </c>
      <c r="K149" s="80" t="str">
        <f aca="false">IF(C149="","",IF(OR(H149="Sent",H149="Draft"),AsOf-C149,IF(I149="","",I149-C149)))</f>
        <v/>
      </c>
      <c r="L149" s="40" t="str">
        <f aca="false">IF(C149="","",IF(AND(H149="Sent",AsOf&gt;J149),"Past valid date",IF(AND(H149="Sent",AsOf-C149&gt;7),"Follow up",IF(AND(OR(H149="Accepted",H149="Declined"),I149=""),"Add decision date",""))))</f>
        <v/>
      </c>
    </row>
    <row r="150" customFormat="false" ht="15" hidden="false" customHeight="false" outlineLevel="0" collapsed="false">
      <c r="B150" s="39"/>
      <c r="C150" s="77"/>
      <c r="D150" s="38"/>
      <c r="E150" s="38"/>
      <c r="F150" s="38"/>
      <c r="G150" s="78"/>
      <c r="H150" s="39"/>
      <c r="I150" s="77"/>
      <c r="J150" s="79" t="str">
        <f aca="false">IF(C150="","",C150+ValidDays)</f>
        <v/>
      </c>
      <c r="K150" s="80" t="str">
        <f aca="false">IF(C150="","",IF(OR(H150="Sent",H150="Draft"),AsOf-C150,IF(I150="","",I150-C150)))</f>
        <v/>
      </c>
      <c r="L150" s="40" t="str">
        <f aca="false">IF(C150="","",IF(AND(H150="Sent",AsOf&gt;J150),"Past valid date",IF(AND(H150="Sent",AsOf-C150&gt;7),"Follow up",IF(AND(OR(H150="Accepted",H150="Declined"),I150=""),"Add decision date",""))))</f>
        <v/>
      </c>
    </row>
    <row r="151" customFormat="false" ht="15" hidden="false" customHeight="false" outlineLevel="0" collapsed="false">
      <c r="B151" s="39"/>
      <c r="C151" s="77"/>
      <c r="D151" s="38"/>
      <c r="E151" s="38"/>
      <c r="F151" s="38"/>
      <c r="G151" s="78"/>
      <c r="H151" s="39"/>
      <c r="I151" s="77"/>
      <c r="J151" s="79" t="str">
        <f aca="false">IF(C151="","",C151+ValidDays)</f>
        <v/>
      </c>
      <c r="K151" s="80" t="str">
        <f aca="false">IF(C151="","",IF(OR(H151="Sent",H151="Draft"),AsOf-C151,IF(I151="","",I151-C151)))</f>
        <v/>
      </c>
      <c r="L151" s="40" t="str">
        <f aca="false">IF(C151="","",IF(AND(H151="Sent",AsOf&gt;J151),"Past valid date",IF(AND(H151="Sent",AsOf-C151&gt;7),"Follow up",IF(AND(OR(H151="Accepted",H151="Declined"),I151=""),"Add decision date",""))))</f>
        <v/>
      </c>
    </row>
    <row r="152" customFormat="false" ht="15" hidden="false" customHeight="false" outlineLevel="0" collapsed="false">
      <c r="B152" s="39"/>
      <c r="C152" s="77"/>
      <c r="D152" s="38"/>
      <c r="E152" s="38"/>
      <c r="F152" s="38"/>
      <c r="G152" s="78"/>
      <c r="H152" s="39"/>
      <c r="I152" s="77"/>
      <c r="J152" s="79" t="str">
        <f aca="false">IF(C152="","",C152+ValidDays)</f>
        <v/>
      </c>
      <c r="K152" s="80" t="str">
        <f aca="false">IF(C152="","",IF(OR(H152="Sent",H152="Draft"),AsOf-C152,IF(I152="","",I152-C152)))</f>
        <v/>
      </c>
      <c r="L152" s="40" t="str">
        <f aca="false">IF(C152="","",IF(AND(H152="Sent",AsOf&gt;J152),"Past valid date",IF(AND(H152="Sent",AsOf-C152&gt;7),"Follow up",IF(AND(OR(H152="Accepted",H152="Declined"),I152=""),"Add decision date",""))))</f>
        <v/>
      </c>
    </row>
    <row r="153" customFormat="false" ht="15" hidden="false" customHeight="false" outlineLevel="0" collapsed="false">
      <c r="B153" s="39"/>
      <c r="C153" s="77"/>
      <c r="D153" s="38"/>
      <c r="E153" s="38"/>
      <c r="F153" s="38"/>
      <c r="G153" s="78"/>
      <c r="H153" s="39"/>
      <c r="I153" s="77"/>
      <c r="J153" s="79" t="str">
        <f aca="false">IF(C153="","",C153+ValidDays)</f>
        <v/>
      </c>
      <c r="K153" s="80" t="str">
        <f aca="false">IF(C153="","",IF(OR(H153="Sent",H153="Draft"),AsOf-C153,IF(I153="","",I153-C153)))</f>
        <v/>
      </c>
      <c r="L153" s="40" t="str">
        <f aca="false">IF(C153="","",IF(AND(H153="Sent",AsOf&gt;J153),"Past valid date",IF(AND(H153="Sent",AsOf-C153&gt;7),"Follow up",IF(AND(OR(H153="Accepted",H153="Declined"),I153=""),"Add decision date",""))))</f>
        <v/>
      </c>
    </row>
    <row r="154" customFormat="false" ht="15" hidden="false" customHeight="false" outlineLevel="0" collapsed="false">
      <c r="B154" s="39"/>
      <c r="C154" s="77"/>
      <c r="D154" s="38"/>
      <c r="E154" s="38"/>
      <c r="F154" s="38"/>
      <c r="G154" s="78"/>
      <c r="H154" s="39"/>
      <c r="I154" s="77"/>
      <c r="J154" s="79" t="str">
        <f aca="false">IF(C154="","",C154+ValidDays)</f>
        <v/>
      </c>
      <c r="K154" s="80" t="str">
        <f aca="false">IF(C154="","",IF(OR(H154="Sent",H154="Draft"),AsOf-C154,IF(I154="","",I154-C154)))</f>
        <v/>
      </c>
      <c r="L154" s="40" t="str">
        <f aca="false">IF(C154="","",IF(AND(H154="Sent",AsOf&gt;J154),"Past valid date",IF(AND(H154="Sent",AsOf-C154&gt;7),"Follow up",IF(AND(OR(H154="Accepted",H154="Declined"),I154=""),"Add decision date",""))))</f>
        <v/>
      </c>
    </row>
    <row r="155" customFormat="false" ht="15" hidden="false" customHeight="false" outlineLevel="0" collapsed="false">
      <c r="B155" s="39"/>
      <c r="C155" s="77"/>
      <c r="D155" s="38"/>
      <c r="E155" s="38"/>
      <c r="F155" s="38"/>
      <c r="G155" s="78"/>
      <c r="H155" s="39"/>
      <c r="I155" s="77"/>
      <c r="J155" s="79" t="str">
        <f aca="false">IF(C155="","",C155+ValidDays)</f>
        <v/>
      </c>
      <c r="K155" s="80" t="str">
        <f aca="false">IF(C155="","",IF(OR(H155="Sent",H155="Draft"),AsOf-C155,IF(I155="","",I155-C155)))</f>
        <v/>
      </c>
      <c r="L155" s="40" t="str">
        <f aca="false">IF(C155="","",IF(AND(H155="Sent",AsOf&gt;J155),"Past valid date",IF(AND(H155="Sent",AsOf-C155&gt;7),"Follow up",IF(AND(OR(H155="Accepted",H155="Declined"),I155=""),"Add decision date",""))))</f>
        <v/>
      </c>
    </row>
    <row r="156" customFormat="false" ht="15" hidden="false" customHeight="false" outlineLevel="0" collapsed="false">
      <c r="B156" s="39"/>
      <c r="C156" s="77"/>
      <c r="D156" s="38"/>
      <c r="E156" s="38"/>
      <c r="F156" s="38"/>
      <c r="G156" s="78"/>
      <c r="H156" s="39"/>
      <c r="I156" s="77"/>
      <c r="J156" s="79" t="str">
        <f aca="false">IF(C156="","",C156+ValidDays)</f>
        <v/>
      </c>
      <c r="K156" s="80" t="str">
        <f aca="false">IF(C156="","",IF(OR(H156="Sent",H156="Draft"),AsOf-C156,IF(I156="","",I156-C156)))</f>
        <v/>
      </c>
      <c r="L156" s="40" t="str">
        <f aca="false">IF(C156="","",IF(AND(H156="Sent",AsOf&gt;J156),"Past valid date",IF(AND(H156="Sent",AsOf-C156&gt;7),"Follow up",IF(AND(OR(H156="Accepted",H156="Declined"),I156=""),"Add decision date",""))))</f>
        <v/>
      </c>
    </row>
    <row r="157" customFormat="false" ht="15" hidden="false" customHeight="false" outlineLevel="0" collapsed="false">
      <c r="B157" s="39"/>
      <c r="C157" s="77"/>
      <c r="D157" s="38"/>
      <c r="E157" s="38"/>
      <c r="F157" s="38"/>
      <c r="G157" s="78"/>
      <c r="H157" s="39"/>
      <c r="I157" s="77"/>
      <c r="J157" s="79" t="str">
        <f aca="false">IF(C157="","",C157+ValidDays)</f>
        <v/>
      </c>
      <c r="K157" s="80" t="str">
        <f aca="false">IF(C157="","",IF(OR(H157="Sent",H157="Draft"),AsOf-C157,IF(I157="","",I157-C157)))</f>
        <v/>
      </c>
      <c r="L157" s="40" t="str">
        <f aca="false">IF(C157="","",IF(AND(H157="Sent",AsOf&gt;J157),"Past valid date",IF(AND(H157="Sent",AsOf-C157&gt;7),"Follow up",IF(AND(OR(H157="Accepted",H157="Declined"),I157=""),"Add decision date",""))))</f>
        <v/>
      </c>
    </row>
    <row r="158" customFormat="false" ht="15" hidden="false" customHeight="false" outlineLevel="0" collapsed="false">
      <c r="B158" s="39"/>
      <c r="C158" s="77"/>
      <c r="D158" s="38"/>
      <c r="E158" s="38"/>
      <c r="F158" s="38"/>
      <c r="G158" s="78"/>
      <c r="H158" s="39"/>
      <c r="I158" s="77"/>
      <c r="J158" s="79" t="str">
        <f aca="false">IF(C158="","",C158+ValidDays)</f>
        <v/>
      </c>
      <c r="K158" s="80" t="str">
        <f aca="false">IF(C158="","",IF(OR(H158="Sent",H158="Draft"),AsOf-C158,IF(I158="","",I158-C158)))</f>
        <v/>
      </c>
      <c r="L158" s="40" t="str">
        <f aca="false">IF(C158="","",IF(AND(H158="Sent",AsOf&gt;J158),"Past valid date",IF(AND(H158="Sent",AsOf-C158&gt;7),"Follow up",IF(AND(OR(H158="Accepted",H158="Declined"),I158=""),"Add decision date",""))))</f>
        <v/>
      </c>
    </row>
    <row r="159" customFormat="false" ht="15" hidden="false" customHeight="false" outlineLevel="0" collapsed="false">
      <c r="B159" s="39"/>
      <c r="C159" s="77"/>
      <c r="D159" s="38"/>
      <c r="E159" s="38"/>
      <c r="F159" s="38"/>
      <c r="G159" s="78"/>
      <c r="H159" s="39"/>
      <c r="I159" s="77"/>
      <c r="J159" s="79" t="str">
        <f aca="false">IF(C159="","",C159+ValidDays)</f>
        <v/>
      </c>
      <c r="K159" s="80" t="str">
        <f aca="false">IF(C159="","",IF(OR(H159="Sent",H159="Draft"),AsOf-C159,IF(I159="","",I159-C159)))</f>
        <v/>
      </c>
      <c r="L159" s="40" t="str">
        <f aca="false">IF(C159="","",IF(AND(H159="Sent",AsOf&gt;J159),"Past valid date",IF(AND(H159="Sent",AsOf-C159&gt;7),"Follow up",IF(AND(OR(H159="Accepted",H159="Declined"),I159=""),"Add decision date",""))))</f>
        <v/>
      </c>
    </row>
    <row r="160" customFormat="false" ht="15" hidden="false" customHeight="false" outlineLevel="0" collapsed="false">
      <c r="B160" s="39"/>
      <c r="C160" s="77"/>
      <c r="D160" s="38"/>
      <c r="E160" s="38"/>
      <c r="F160" s="38"/>
      <c r="G160" s="78"/>
      <c r="H160" s="39"/>
      <c r="I160" s="77"/>
      <c r="J160" s="79" t="str">
        <f aca="false">IF(C160="","",C160+ValidDays)</f>
        <v/>
      </c>
      <c r="K160" s="80" t="str">
        <f aca="false">IF(C160="","",IF(OR(H160="Sent",H160="Draft"),AsOf-C160,IF(I160="","",I160-C160)))</f>
        <v/>
      </c>
      <c r="L160" s="40" t="str">
        <f aca="false">IF(C160="","",IF(AND(H160="Sent",AsOf&gt;J160),"Past valid date",IF(AND(H160="Sent",AsOf-C160&gt;7),"Follow up",IF(AND(OR(H160="Accepted",H160="Declined"),I160=""),"Add decision date",""))))</f>
        <v/>
      </c>
    </row>
    <row r="161" customFormat="false" ht="15" hidden="false" customHeight="false" outlineLevel="0" collapsed="false">
      <c r="B161" s="39"/>
      <c r="C161" s="77"/>
      <c r="D161" s="38"/>
      <c r="E161" s="38"/>
      <c r="F161" s="38"/>
      <c r="G161" s="78"/>
      <c r="H161" s="39"/>
      <c r="I161" s="77"/>
      <c r="J161" s="79" t="str">
        <f aca="false">IF(C161="","",C161+ValidDays)</f>
        <v/>
      </c>
      <c r="K161" s="80" t="str">
        <f aca="false">IF(C161="","",IF(OR(H161="Sent",H161="Draft"),AsOf-C161,IF(I161="","",I161-C161)))</f>
        <v/>
      </c>
      <c r="L161" s="40" t="str">
        <f aca="false">IF(C161="","",IF(AND(H161="Sent",AsOf&gt;J161),"Past valid date",IF(AND(H161="Sent",AsOf-C161&gt;7),"Follow up",IF(AND(OR(H161="Accepted",H161="Declined"),I161=""),"Add decision date",""))))</f>
        <v/>
      </c>
    </row>
    <row r="162" customFormat="false" ht="15" hidden="false" customHeight="false" outlineLevel="0" collapsed="false">
      <c r="B162" s="39"/>
      <c r="C162" s="77"/>
      <c r="D162" s="38"/>
      <c r="E162" s="38"/>
      <c r="F162" s="38"/>
      <c r="G162" s="78"/>
      <c r="H162" s="39"/>
      <c r="I162" s="77"/>
      <c r="J162" s="79" t="str">
        <f aca="false">IF(C162="","",C162+ValidDays)</f>
        <v/>
      </c>
      <c r="K162" s="80" t="str">
        <f aca="false">IF(C162="","",IF(OR(H162="Sent",H162="Draft"),AsOf-C162,IF(I162="","",I162-C162)))</f>
        <v/>
      </c>
      <c r="L162" s="40" t="str">
        <f aca="false">IF(C162="","",IF(AND(H162="Sent",AsOf&gt;J162),"Past valid date",IF(AND(H162="Sent",AsOf-C162&gt;7),"Follow up",IF(AND(OR(H162="Accepted",H162="Declined"),I162=""),"Add decision date",""))))</f>
        <v/>
      </c>
    </row>
    <row r="163" customFormat="false" ht="15" hidden="false" customHeight="false" outlineLevel="0" collapsed="false">
      <c r="B163" s="39"/>
      <c r="C163" s="77"/>
      <c r="D163" s="38"/>
      <c r="E163" s="38"/>
      <c r="F163" s="38"/>
      <c r="G163" s="78"/>
      <c r="H163" s="39"/>
      <c r="I163" s="77"/>
      <c r="J163" s="79" t="str">
        <f aca="false">IF(C163="","",C163+ValidDays)</f>
        <v/>
      </c>
      <c r="K163" s="80" t="str">
        <f aca="false">IF(C163="","",IF(OR(H163="Sent",H163="Draft"),AsOf-C163,IF(I163="","",I163-C163)))</f>
        <v/>
      </c>
      <c r="L163" s="40" t="str">
        <f aca="false">IF(C163="","",IF(AND(H163="Sent",AsOf&gt;J163),"Past valid date",IF(AND(H163="Sent",AsOf-C163&gt;7),"Follow up",IF(AND(OR(H163="Accepted",H163="Declined"),I163=""),"Add decision date",""))))</f>
        <v/>
      </c>
    </row>
    <row r="164" customFormat="false" ht="15" hidden="false" customHeight="false" outlineLevel="0" collapsed="false">
      <c r="B164" s="39"/>
      <c r="C164" s="77"/>
      <c r="D164" s="38"/>
      <c r="E164" s="38"/>
      <c r="F164" s="38"/>
      <c r="G164" s="78"/>
      <c r="H164" s="39"/>
      <c r="I164" s="77"/>
      <c r="J164" s="79" t="str">
        <f aca="false">IF(C164="","",C164+ValidDays)</f>
        <v/>
      </c>
      <c r="K164" s="80" t="str">
        <f aca="false">IF(C164="","",IF(OR(H164="Sent",H164="Draft"),AsOf-C164,IF(I164="","",I164-C164)))</f>
        <v/>
      </c>
      <c r="L164" s="40" t="str">
        <f aca="false">IF(C164="","",IF(AND(H164="Sent",AsOf&gt;J164),"Past valid date",IF(AND(H164="Sent",AsOf-C164&gt;7),"Follow up",IF(AND(OR(H164="Accepted",H164="Declined"),I164=""),"Add decision date",""))))</f>
        <v/>
      </c>
    </row>
    <row r="165" customFormat="false" ht="15" hidden="false" customHeight="false" outlineLevel="0" collapsed="false">
      <c r="B165" s="39"/>
      <c r="C165" s="77"/>
      <c r="D165" s="38"/>
      <c r="E165" s="38"/>
      <c r="F165" s="38"/>
      <c r="G165" s="78"/>
      <c r="H165" s="39"/>
      <c r="I165" s="77"/>
      <c r="J165" s="79" t="str">
        <f aca="false">IF(C165="","",C165+ValidDays)</f>
        <v/>
      </c>
      <c r="K165" s="80" t="str">
        <f aca="false">IF(C165="","",IF(OR(H165="Sent",H165="Draft"),AsOf-C165,IF(I165="","",I165-C165)))</f>
        <v/>
      </c>
      <c r="L165" s="40" t="str">
        <f aca="false">IF(C165="","",IF(AND(H165="Sent",AsOf&gt;J165),"Past valid date",IF(AND(H165="Sent",AsOf-C165&gt;7),"Follow up",IF(AND(OR(H165="Accepted",H165="Declined"),I165=""),"Add decision date",""))))</f>
        <v/>
      </c>
    </row>
    <row r="166" customFormat="false" ht="15" hidden="false" customHeight="false" outlineLevel="0" collapsed="false">
      <c r="B166" s="39"/>
      <c r="C166" s="77"/>
      <c r="D166" s="38"/>
      <c r="E166" s="38"/>
      <c r="F166" s="38"/>
      <c r="G166" s="78"/>
      <c r="H166" s="39"/>
      <c r="I166" s="77"/>
      <c r="J166" s="79" t="str">
        <f aca="false">IF(C166="","",C166+ValidDays)</f>
        <v/>
      </c>
      <c r="K166" s="80" t="str">
        <f aca="false">IF(C166="","",IF(OR(H166="Sent",H166="Draft"),AsOf-C166,IF(I166="","",I166-C166)))</f>
        <v/>
      </c>
      <c r="L166" s="40" t="str">
        <f aca="false">IF(C166="","",IF(AND(H166="Sent",AsOf&gt;J166),"Past valid date",IF(AND(H166="Sent",AsOf-C166&gt;7),"Follow up",IF(AND(OR(H166="Accepted",H166="Declined"),I166=""),"Add decision date",""))))</f>
        <v/>
      </c>
    </row>
    <row r="167" customFormat="false" ht="15" hidden="false" customHeight="false" outlineLevel="0" collapsed="false">
      <c r="B167" s="39"/>
      <c r="C167" s="77"/>
      <c r="D167" s="38"/>
      <c r="E167" s="38"/>
      <c r="F167" s="38"/>
      <c r="G167" s="78"/>
      <c r="H167" s="39"/>
      <c r="I167" s="77"/>
      <c r="J167" s="79" t="str">
        <f aca="false">IF(C167="","",C167+ValidDays)</f>
        <v/>
      </c>
      <c r="K167" s="80" t="str">
        <f aca="false">IF(C167="","",IF(OR(H167="Sent",H167="Draft"),AsOf-C167,IF(I167="","",I167-C167)))</f>
        <v/>
      </c>
      <c r="L167" s="40" t="str">
        <f aca="false">IF(C167="","",IF(AND(H167="Sent",AsOf&gt;J167),"Past valid date",IF(AND(H167="Sent",AsOf-C167&gt;7),"Follow up",IF(AND(OR(H167="Accepted",H167="Declined"),I167=""),"Add decision date",""))))</f>
        <v/>
      </c>
    </row>
    <row r="168" customFormat="false" ht="15" hidden="false" customHeight="false" outlineLevel="0" collapsed="false">
      <c r="B168" s="39"/>
      <c r="C168" s="77"/>
      <c r="D168" s="38"/>
      <c r="E168" s="38"/>
      <c r="F168" s="38"/>
      <c r="G168" s="78"/>
      <c r="H168" s="39"/>
      <c r="I168" s="77"/>
      <c r="J168" s="79" t="str">
        <f aca="false">IF(C168="","",C168+ValidDays)</f>
        <v/>
      </c>
      <c r="K168" s="80" t="str">
        <f aca="false">IF(C168="","",IF(OR(H168="Sent",H168="Draft"),AsOf-C168,IF(I168="","",I168-C168)))</f>
        <v/>
      </c>
      <c r="L168" s="40" t="str">
        <f aca="false">IF(C168="","",IF(AND(H168="Sent",AsOf&gt;J168),"Past valid date",IF(AND(H168="Sent",AsOf-C168&gt;7),"Follow up",IF(AND(OR(H168="Accepted",H168="Declined"),I168=""),"Add decision date",""))))</f>
        <v/>
      </c>
    </row>
    <row r="169" customFormat="false" ht="15" hidden="false" customHeight="false" outlineLevel="0" collapsed="false">
      <c r="B169" s="39"/>
      <c r="C169" s="77"/>
      <c r="D169" s="38"/>
      <c r="E169" s="38"/>
      <c r="F169" s="38"/>
      <c r="G169" s="78"/>
      <c r="H169" s="39"/>
      <c r="I169" s="77"/>
      <c r="J169" s="79" t="str">
        <f aca="false">IF(C169="","",C169+ValidDays)</f>
        <v/>
      </c>
      <c r="K169" s="80" t="str">
        <f aca="false">IF(C169="","",IF(OR(H169="Sent",H169="Draft"),AsOf-C169,IF(I169="","",I169-C169)))</f>
        <v/>
      </c>
      <c r="L169" s="40" t="str">
        <f aca="false">IF(C169="","",IF(AND(H169="Sent",AsOf&gt;J169),"Past valid date",IF(AND(H169="Sent",AsOf-C169&gt;7),"Follow up",IF(AND(OR(H169="Accepted",H169="Declined"),I169=""),"Add decision date",""))))</f>
        <v/>
      </c>
    </row>
    <row r="170" customFormat="false" ht="15" hidden="false" customHeight="false" outlineLevel="0" collapsed="false">
      <c r="B170" s="39"/>
      <c r="C170" s="77"/>
      <c r="D170" s="38"/>
      <c r="E170" s="38"/>
      <c r="F170" s="38"/>
      <c r="G170" s="78"/>
      <c r="H170" s="39"/>
      <c r="I170" s="77"/>
      <c r="J170" s="79" t="str">
        <f aca="false">IF(C170="","",C170+ValidDays)</f>
        <v/>
      </c>
      <c r="K170" s="80" t="str">
        <f aca="false">IF(C170="","",IF(OR(H170="Sent",H170="Draft"),AsOf-C170,IF(I170="","",I170-C170)))</f>
        <v/>
      </c>
      <c r="L170" s="40" t="str">
        <f aca="false">IF(C170="","",IF(AND(H170="Sent",AsOf&gt;J170),"Past valid date",IF(AND(H170="Sent",AsOf-C170&gt;7),"Follow up",IF(AND(OR(H170="Accepted",H170="Declined"),I170=""),"Add decision date",""))))</f>
        <v/>
      </c>
    </row>
    <row r="171" customFormat="false" ht="15" hidden="false" customHeight="false" outlineLevel="0" collapsed="false">
      <c r="B171" s="39"/>
      <c r="C171" s="77"/>
      <c r="D171" s="38"/>
      <c r="E171" s="38"/>
      <c r="F171" s="38"/>
      <c r="G171" s="78"/>
      <c r="H171" s="39"/>
      <c r="I171" s="77"/>
      <c r="J171" s="79" t="str">
        <f aca="false">IF(C171="","",C171+ValidDays)</f>
        <v/>
      </c>
      <c r="K171" s="80" t="str">
        <f aca="false">IF(C171="","",IF(OR(H171="Sent",H171="Draft"),AsOf-C171,IF(I171="","",I171-C171)))</f>
        <v/>
      </c>
      <c r="L171" s="40" t="str">
        <f aca="false">IF(C171="","",IF(AND(H171="Sent",AsOf&gt;J171),"Past valid date",IF(AND(H171="Sent",AsOf-C171&gt;7),"Follow up",IF(AND(OR(H171="Accepted",H171="Declined"),I171=""),"Add decision date",""))))</f>
        <v/>
      </c>
    </row>
    <row r="172" customFormat="false" ht="15" hidden="false" customHeight="false" outlineLevel="0" collapsed="false">
      <c r="B172" s="39"/>
      <c r="C172" s="77"/>
      <c r="D172" s="38"/>
      <c r="E172" s="38"/>
      <c r="F172" s="38"/>
      <c r="G172" s="78"/>
      <c r="H172" s="39"/>
      <c r="I172" s="77"/>
      <c r="J172" s="79" t="str">
        <f aca="false">IF(C172="","",C172+ValidDays)</f>
        <v/>
      </c>
      <c r="K172" s="80" t="str">
        <f aca="false">IF(C172="","",IF(OR(H172="Sent",H172="Draft"),AsOf-C172,IF(I172="","",I172-C172)))</f>
        <v/>
      </c>
      <c r="L172" s="40" t="str">
        <f aca="false">IF(C172="","",IF(AND(H172="Sent",AsOf&gt;J172),"Past valid date",IF(AND(H172="Sent",AsOf-C172&gt;7),"Follow up",IF(AND(OR(H172="Accepted",H172="Declined"),I172=""),"Add decision date",""))))</f>
        <v/>
      </c>
    </row>
    <row r="173" customFormat="false" ht="15" hidden="false" customHeight="false" outlineLevel="0" collapsed="false">
      <c r="B173" s="39"/>
      <c r="C173" s="77"/>
      <c r="D173" s="38"/>
      <c r="E173" s="38"/>
      <c r="F173" s="38"/>
      <c r="G173" s="78"/>
      <c r="H173" s="39"/>
      <c r="I173" s="77"/>
      <c r="J173" s="79" t="str">
        <f aca="false">IF(C173="","",C173+ValidDays)</f>
        <v/>
      </c>
      <c r="K173" s="80" t="str">
        <f aca="false">IF(C173="","",IF(OR(H173="Sent",H173="Draft"),AsOf-C173,IF(I173="","",I173-C173)))</f>
        <v/>
      </c>
      <c r="L173" s="40" t="str">
        <f aca="false">IF(C173="","",IF(AND(H173="Sent",AsOf&gt;J173),"Past valid date",IF(AND(H173="Sent",AsOf-C173&gt;7),"Follow up",IF(AND(OR(H173="Accepted",H173="Declined"),I173=""),"Add decision date",""))))</f>
        <v/>
      </c>
    </row>
    <row r="174" customFormat="false" ht="15" hidden="false" customHeight="false" outlineLevel="0" collapsed="false">
      <c r="B174" s="39"/>
      <c r="C174" s="77"/>
      <c r="D174" s="38"/>
      <c r="E174" s="38"/>
      <c r="F174" s="38"/>
      <c r="G174" s="78"/>
      <c r="H174" s="39"/>
      <c r="I174" s="77"/>
      <c r="J174" s="79" t="str">
        <f aca="false">IF(C174="","",C174+ValidDays)</f>
        <v/>
      </c>
      <c r="K174" s="80" t="str">
        <f aca="false">IF(C174="","",IF(OR(H174="Sent",H174="Draft"),AsOf-C174,IF(I174="","",I174-C174)))</f>
        <v/>
      </c>
      <c r="L174" s="40" t="str">
        <f aca="false">IF(C174="","",IF(AND(H174="Sent",AsOf&gt;J174),"Past valid date",IF(AND(H174="Sent",AsOf-C174&gt;7),"Follow up",IF(AND(OR(H174="Accepted",H174="Declined"),I174=""),"Add decision date",""))))</f>
        <v/>
      </c>
    </row>
    <row r="175" customFormat="false" ht="15" hidden="false" customHeight="false" outlineLevel="0" collapsed="false">
      <c r="B175" s="39"/>
      <c r="C175" s="77"/>
      <c r="D175" s="38"/>
      <c r="E175" s="38"/>
      <c r="F175" s="38"/>
      <c r="G175" s="78"/>
      <c r="H175" s="39"/>
      <c r="I175" s="77"/>
      <c r="J175" s="79" t="str">
        <f aca="false">IF(C175="","",C175+ValidDays)</f>
        <v/>
      </c>
      <c r="K175" s="80" t="str">
        <f aca="false">IF(C175="","",IF(OR(H175="Sent",H175="Draft"),AsOf-C175,IF(I175="","",I175-C175)))</f>
        <v/>
      </c>
      <c r="L175" s="40" t="str">
        <f aca="false">IF(C175="","",IF(AND(H175="Sent",AsOf&gt;J175),"Past valid date",IF(AND(H175="Sent",AsOf-C175&gt;7),"Follow up",IF(AND(OR(H175="Accepted",H175="Declined"),I175=""),"Add decision date",""))))</f>
        <v/>
      </c>
    </row>
    <row r="176" customFormat="false" ht="15" hidden="false" customHeight="false" outlineLevel="0" collapsed="false">
      <c r="B176" s="39"/>
      <c r="C176" s="77"/>
      <c r="D176" s="38"/>
      <c r="E176" s="38"/>
      <c r="F176" s="38"/>
      <c r="G176" s="78"/>
      <c r="H176" s="39"/>
      <c r="I176" s="77"/>
      <c r="J176" s="79" t="str">
        <f aca="false">IF(C176="","",C176+ValidDays)</f>
        <v/>
      </c>
      <c r="K176" s="80" t="str">
        <f aca="false">IF(C176="","",IF(OR(H176="Sent",H176="Draft"),AsOf-C176,IF(I176="","",I176-C176)))</f>
        <v/>
      </c>
      <c r="L176" s="40" t="str">
        <f aca="false">IF(C176="","",IF(AND(H176="Sent",AsOf&gt;J176),"Past valid date",IF(AND(H176="Sent",AsOf-C176&gt;7),"Follow up",IF(AND(OR(H176="Accepted",H176="Declined"),I176=""),"Add decision date",""))))</f>
        <v/>
      </c>
    </row>
    <row r="177" customFormat="false" ht="15" hidden="false" customHeight="false" outlineLevel="0" collapsed="false">
      <c r="B177" s="39"/>
      <c r="C177" s="77"/>
      <c r="D177" s="38"/>
      <c r="E177" s="38"/>
      <c r="F177" s="38"/>
      <c r="G177" s="78"/>
      <c r="H177" s="39"/>
      <c r="I177" s="77"/>
      <c r="J177" s="79" t="str">
        <f aca="false">IF(C177="","",C177+ValidDays)</f>
        <v/>
      </c>
      <c r="K177" s="80" t="str">
        <f aca="false">IF(C177="","",IF(OR(H177="Sent",H177="Draft"),AsOf-C177,IF(I177="","",I177-C177)))</f>
        <v/>
      </c>
      <c r="L177" s="40" t="str">
        <f aca="false">IF(C177="","",IF(AND(H177="Sent",AsOf&gt;J177),"Past valid date",IF(AND(H177="Sent",AsOf-C177&gt;7),"Follow up",IF(AND(OR(H177="Accepted",H177="Declined"),I177=""),"Add decision date",""))))</f>
        <v/>
      </c>
    </row>
    <row r="178" customFormat="false" ht="15" hidden="false" customHeight="false" outlineLevel="0" collapsed="false">
      <c r="B178" s="39"/>
      <c r="C178" s="77"/>
      <c r="D178" s="38"/>
      <c r="E178" s="38"/>
      <c r="F178" s="38"/>
      <c r="G178" s="78"/>
      <c r="H178" s="39"/>
      <c r="I178" s="77"/>
      <c r="J178" s="79" t="str">
        <f aca="false">IF(C178="","",C178+ValidDays)</f>
        <v/>
      </c>
      <c r="K178" s="80" t="str">
        <f aca="false">IF(C178="","",IF(OR(H178="Sent",H178="Draft"),AsOf-C178,IF(I178="","",I178-C178)))</f>
        <v/>
      </c>
      <c r="L178" s="40" t="str">
        <f aca="false">IF(C178="","",IF(AND(H178="Sent",AsOf&gt;J178),"Past valid date",IF(AND(H178="Sent",AsOf-C178&gt;7),"Follow up",IF(AND(OR(H178="Accepted",H178="Declined"),I178=""),"Add decision date",""))))</f>
        <v/>
      </c>
    </row>
    <row r="179" customFormat="false" ht="15" hidden="false" customHeight="false" outlineLevel="0" collapsed="false">
      <c r="B179" s="39"/>
      <c r="C179" s="77"/>
      <c r="D179" s="38"/>
      <c r="E179" s="38"/>
      <c r="F179" s="38"/>
      <c r="G179" s="78"/>
      <c r="H179" s="39"/>
      <c r="I179" s="77"/>
      <c r="J179" s="79" t="str">
        <f aca="false">IF(C179="","",C179+ValidDays)</f>
        <v/>
      </c>
      <c r="K179" s="80" t="str">
        <f aca="false">IF(C179="","",IF(OR(H179="Sent",H179="Draft"),AsOf-C179,IF(I179="","",I179-C179)))</f>
        <v/>
      </c>
      <c r="L179" s="40" t="str">
        <f aca="false">IF(C179="","",IF(AND(H179="Sent",AsOf&gt;J179),"Past valid date",IF(AND(H179="Sent",AsOf-C179&gt;7),"Follow up",IF(AND(OR(H179="Accepted",H179="Declined"),I179=""),"Add decision date",""))))</f>
        <v/>
      </c>
    </row>
    <row r="180" customFormat="false" ht="15" hidden="false" customHeight="false" outlineLevel="0" collapsed="false">
      <c r="B180" s="39"/>
      <c r="C180" s="77"/>
      <c r="D180" s="38"/>
      <c r="E180" s="38"/>
      <c r="F180" s="38"/>
      <c r="G180" s="78"/>
      <c r="H180" s="39"/>
      <c r="I180" s="77"/>
      <c r="J180" s="79" t="str">
        <f aca="false">IF(C180="","",C180+ValidDays)</f>
        <v/>
      </c>
      <c r="K180" s="80" t="str">
        <f aca="false">IF(C180="","",IF(OR(H180="Sent",H180="Draft"),AsOf-C180,IF(I180="","",I180-C180)))</f>
        <v/>
      </c>
      <c r="L180" s="40" t="str">
        <f aca="false">IF(C180="","",IF(AND(H180="Sent",AsOf&gt;J180),"Past valid date",IF(AND(H180="Sent",AsOf-C180&gt;7),"Follow up",IF(AND(OR(H180="Accepted",H180="Declined"),I180=""),"Add decision date",""))))</f>
        <v/>
      </c>
    </row>
    <row r="181" customFormat="false" ht="15" hidden="false" customHeight="false" outlineLevel="0" collapsed="false">
      <c r="B181" s="39"/>
      <c r="C181" s="77"/>
      <c r="D181" s="38"/>
      <c r="E181" s="38"/>
      <c r="F181" s="38"/>
      <c r="G181" s="78"/>
      <c r="H181" s="39"/>
      <c r="I181" s="77"/>
      <c r="J181" s="79" t="str">
        <f aca="false">IF(C181="","",C181+ValidDays)</f>
        <v/>
      </c>
      <c r="K181" s="80" t="str">
        <f aca="false">IF(C181="","",IF(OR(H181="Sent",H181="Draft"),AsOf-C181,IF(I181="","",I181-C181)))</f>
        <v/>
      </c>
      <c r="L181" s="40" t="str">
        <f aca="false">IF(C181="","",IF(AND(H181="Sent",AsOf&gt;J181),"Past valid date",IF(AND(H181="Sent",AsOf-C181&gt;7),"Follow up",IF(AND(OR(H181="Accepted",H181="Declined"),I181=""),"Add decision date",""))))</f>
        <v/>
      </c>
    </row>
    <row r="182" customFormat="false" ht="15" hidden="false" customHeight="false" outlineLevel="0" collapsed="false">
      <c r="B182" s="39"/>
      <c r="C182" s="77"/>
      <c r="D182" s="38"/>
      <c r="E182" s="38"/>
      <c r="F182" s="38"/>
      <c r="G182" s="78"/>
      <c r="H182" s="39"/>
      <c r="I182" s="77"/>
      <c r="J182" s="79" t="str">
        <f aca="false">IF(C182="","",C182+ValidDays)</f>
        <v/>
      </c>
      <c r="K182" s="80" t="str">
        <f aca="false">IF(C182="","",IF(OR(H182="Sent",H182="Draft"),AsOf-C182,IF(I182="","",I182-C182)))</f>
        <v/>
      </c>
      <c r="L182" s="40" t="str">
        <f aca="false">IF(C182="","",IF(AND(H182="Sent",AsOf&gt;J182),"Past valid date",IF(AND(H182="Sent",AsOf-C182&gt;7),"Follow up",IF(AND(OR(H182="Accepted",H182="Declined"),I182=""),"Add decision date",""))))</f>
        <v/>
      </c>
    </row>
    <row r="183" customFormat="false" ht="15" hidden="false" customHeight="false" outlineLevel="0" collapsed="false">
      <c r="B183" s="39"/>
      <c r="C183" s="77"/>
      <c r="D183" s="38"/>
      <c r="E183" s="38"/>
      <c r="F183" s="38"/>
      <c r="G183" s="78"/>
      <c r="H183" s="39"/>
      <c r="I183" s="77"/>
      <c r="J183" s="79" t="str">
        <f aca="false">IF(C183="","",C183+ValidDays)</f>
        <v/>
      </c>
      <c r="K183" s="80" t="str">
        <f aca="false">IF(C183="","",IF(OR(H183="Sent",H183="Draft"),AsOf-C183,IF(I183="","",I183-C183)))</f>
        <v/>
      </c>
      <c r="L183" s="40" t="str">
        <f aca="false">IF(C183="","",IF(AND(H183="Sent",AsOf&gt;J183),"Past valid date",IF(AND(H183="Sent",AsOf-C183&gt;7),"Follow up",IF(AND(OR(H183="Accepted",H183="Declined"),I183=""),"Add decision date",""))))</f>
        <v/>
      </c>
    </row>
    <row r="184" customFormat="false" ht="15" hidden="false" customHeight="false" outlineLevel="0" collapsed="false">
      <c r="B184" s="39"/>
      <c r="C184" s="77"/>
      <c r="D184" s="38"/>
      <c r="E184" s="38"/>
      <c r="F184" s="38"/>
      <c r="G184" s="78"/>
      <c r="H184" s="39"/>
      <c r="I184" s="77"/>
      <c r="J184" s="79" t="str">
        <f aca="false">IF(C184="","",C184+ValidDays)</f>
        <v/>
      </c>
      <c r="K184" s="80" t="str">
        <f aca="false">IF(C184="","",IF(OR(H184="Sent",H184="Draft"),AsOf-C184,IF(I184="","",I184-C184)))</f>
        <v/>
      </c>
      <c r="L184" s="40" t="str">
        <f aca="false">IF(C184="","",IF(AND(H184="Sent",AsOf&gt;J184),"Past valid date",IF(AND(H184="Sent",AsOf-C184&gt;7),"Follow up",IF(AND(OR(H184="Accepted",H184="Declined"),I184=""),"Add decision date",""))))</f>
        <v/>
      </c>
    </row>
    <row r="185" customFormat="false" ht="15" hidden="false" customHeight="false" outlineLevel="0" collapsed="false">
      <c r="B185" s="39"/>
      <c r="C185" s="77"/>
      <c r="D185" s="38"/>
      <c r="E185" s="38"/>
      <c r="F185" s="38"/>
      <c r="G185" s="78"/>
      <c r="H185" s="39"/>
      <c r="I185" s="77"/>
      <c r="J185" s="79" t="str">
        <f aca="false">IF(C185="","",C185+ValidDays)</f>
        <v/>
      </c>
      <c r="K185" s="80" t="str">
        <f aca="false">IF(C185="","",IF(OR(H185="Sent",H185="Draft"),AsOf-C185,IF(I185="","",I185-C185)))</f>
        <v/>
      </c>
      <c r="L185" s="40" t="str">
        <f aca="false">IF(C185="","",IF(AND(H185="Sent",AsOf&gt;J185),"Past valid date",IF(AND(H185="Sent",AsOf-C185&gt;7),"Follow up",IF(AND(OR(H185="Accepted",H185="Declined"),I185=""),"Add decision date",""))))</f>
        <v/>
      </c>
    </row>
    <row r="186" customFormat="false" ht="15" hidden="false" customHeight="false" outlineLevel="0" collapsed="false">
      <c r="B186" s="39"/>
      <c r="C186" s="77"/>
      <c r="D186" s="38"/>
      <c r="E186" s="38"/>
      <c r="F186" s="38"/>
      <c r="G186" s="78"/>
      <c r="H186" s="39"/>
      <c r="I186" s="77"/>
      <c r="J186" s="79" t="str">
        <f aca="false">IF(C186="","",C186+ValidDays)</f>
        <v/>
      </c>
      <c r="K186" s="80" t="str">
        <f aca="false">IF(C186="","",IF(OR(H186="Sent",H186="Draft"),AsOf-C186,IF(I186="","",I186-C186)))</f>
        <v/>
      </c>
      <c r="L186" s="40" t="str">
        <f aca="false">IF(C186="","",IF(AND(H186="Sent",AsOf&gt;J186),"Past valid date",IF(AND(H186="Sent",AsOf-C186&gt;7),"Follow up",IF(AND(OR(H186="Accepted",H186="Declined"),I186=""),"Add decision date",""))))</f>
        <v/>
      </c>
    </row>
    <row r="187" customFormat="false" ht="15" hidden="false" customHeight="false" outlineLevel="0" collapsed="false">
      <c r="B187" s="39"/>
      <c r="C187" s="77"/>
      <c r="D187" s="38"/>
      <c r="E187" s="38"/>
      <c r="F187" s="38"/>
      <c r="G187" s="78"/>
      <c r="H187" s="39"/>
      <c r="I187" s="77"/>
      <c r="J187" s="79" t="str">
        <f aca="false">IF(C187="","",C187+ValidDays)</f>
        <v/>
      </c>
      <c r="K187" s="80" t="str">
        <f aca="false">IF(C187="","",IF(OR(H187="Sent",H187="Draft"),AsOf-C187,IF(I187="","",I187-C187)))</f>
        <v/>
      </c>
      <c r="L187" s="40" t="str">
        <f aca="false">IF(C187="","",IF(AND(H187="Sent",AsOf&gt;J187),"Past valid date",IF(AND(H187="Sent",AsOf-C187&gt;7),"Follow up",IF(AND(OR(H187="Accepted",H187="Declined"),I187=""),"Add decision date",""))))</f>
        <v/>
      </c>
    </row>
    <row r="188" customFormat="false" ht="15" hidden="false" customHeight="false" outlineLevel="0" collapsed="false">
      <c r="B188" s="39"/>
      <c r="C188" s="77"/>
      <c r="D188" s="38"/>
      <c r="E188" s="38"/>
      <c r="F188" s="38"/>
      <c r="G188" s="78"/>
      <c r="H188" s="39"/>
      <c r="I188" s="77"/>
      <c r="J188" s="79" t="str">
        <f aca="false">IF(C188="","",C188+ValidDays)</f>
        <v/>
      </c>
      <c r="K188" s="80" t="str">
        <f aca="false">IF(C188="","",IF(OR(H188="Sent",H188="Draft"),AsOf-C188,IF(I188="","",I188-C188)))</f>
        <v/>
      </c>
      <c r="L188" s="40" t="str">
        <f aca="false">IF(C188="","",IF(AND(H188="Sent",AsOf&gt;J188),"Past valid date",IF(AND(H188="Sent",AsOf-C188&gt;7),"Follow up",IF(AND(OR(H188="Accepted",H188="Declined"),I188=""),"Add decision date",""))))</f>
        <v/>
      </c>
    </row>
    <row r="189" customFormat="false" ht="15" hidden="false" customHeight="false" outlineLevel="0" collapsed="false">
      <c r="B189" s="39"/>
      <c r="C189" s="77"/>
      <c r="D189" s="38"/>
      <c r="E189" s="38"/>
      <c r="F189" s="38"/>
      <c r="G189" s="78"/>
      <c r="H189" s="39"/>
      <c r="I189" s="77"/>
      <c r="J189" s="79" t="str">
        <f aca="false">IF(C189="","",C189+ValidDays)</f>
        <v/>
      </c>
      <c r="K189" s="80" t="str">
        <f aca="false">IF(C189="","",IF(OR(H189="Sent",H189="Draft"),AsOf-C189,IF(I189="","",I189-C189)))</f>
        <v/>
      </c>
      <c r="L189" s="40" t="str">
        <f aca="false">IF(C189="","",IF(AND(H189="Sent",AsOf&gt;J189),"Past valid date",IF(AND(H189="Sent",AsOf-C189&gt;7),"Follow up",IF(AND(OR(H189="Accepted",H189="Declined"),I189=""),"Add decision date",""))))</f>
        <v/>
      </c>
    </row>
    <row r="190" customFormat="false" ht="15" hidden="false" customHeight="false" outlineLevel="0" collapsed="false">
      <c r="B190" s="39"/>
      <c r="C190" s="77"/>
      <c r="D190" s="38"/>
      <c r="E190" s="38"/>
      <c r="F190" s="38"/>
      <c r="G190" s="78"/>
      <c r="H190" s="39"/>
      <c r="I190" s="77"/>
      <c r="J190" s="79" t="str">
        <f aca="false">IF(C190="","",C190+ValidDays)</f>
        <v/>
      </c>
      <c r="K190" s="80" t="str">
        <f aca="false">IF(C190="","",IF(OR(H190="Sent",H190="Draft"),AsOf-C190,IF(I190="","",I190-C190)))</f>
        <v/>
      </c>
      <c r="L190" s="40" t="str">
        <f aca="false">IF(C190="","",IF(AND(H190="Sent",AsOf&gt;J190),"Past valid date",IF(AND(H190="Sent",AsOf-C190&gt;7),"Follow up",IF(AND(OR(H190="Accepted",H190="Declined"),I190=""),"Add decision date",""))))</f>
        <v/>
      </c>
    </row>
    <row r="191" customFormat="false" ht="15" hidden="false" customHeight="false" outlineLevel="0" collapsed="false">
      <c r="B191" s="39"/>
      <c r="C191" s="77"/>
      <c r="D191" s="38"/>
      <c r="E191" s="38"/>
      <c r="F191" s="38"/>
      <c r="G191" s="78"/>
      <c r="H191" s="39"/>
      <c r="I191" s="77"/>
      <c r="J191" s="79" t="str">
        <f aca="false">IF(C191="","",C191+ValidDays)</f>
        <v/>
      </c>
      <c r="K191" s="80" t="str">
        <f aca="false">IF(C191="","",IF(OR(H191="Sent",H191="Draft"),AsOf-C191,IF(I191="","",I191-C191)))</f>
        <v/>
      </c>
      <c r="L191" s="40" t="str">
        <f aca="false">IF(C191="","",IF(AND(H191="Sent",AsOf&gt;J191),"Past valid date",IF(AND(H191="Sent",AsOf-C191&gt;7),"Follow up",IF(AND(OR(H191="Accepted",H191="Declined"),I191=""),"Add decision date",""))))</f>
        <v/>
      </c>
    </row>
    <row r="192" customFormat="false" ht="15" hidden="false" customHeight="false" outlineLevel="0" collapsed="false">
      <c r="B192" s="39"/>
      <c r="C192" s="77"/>
      <c r="D192" s="38"/>
      <c r="E192" s="38"/>
      <c r="F192" s="38"/>
      <c r="G192" s="78"/>
      <c r="H192" s="39"/>
      <c r="I192" s="77"/>
      <c r="J192" s="79" t="str">
        <f aca="false">IF(C192="","",C192+ValidDays)</f>
        <v/>
      </c>
      <c r="K192" s="80" t="str">
        <f aca="false">IF(C192="","",IF(OR(H192="Sent",H192="Draft"),AsOf-C192,IF(I192="","",I192-C192)))</f>
        <v/>
      </c>
      <c r="L192" s="40" t="str">
        <f aca="false">IF(C192="","",IF(AND(H192="Sent",AsOf&gt;J192),"Past valid date",IF(AND(H192="Sent",AsOf-C192&gt;7),"Follow up",IF(AND(OR(H192="Accepted",H192="Declined"),I192=""),"Add decision date",""))))</f>
        <v/>
      </c>
    </row>
    <row r="193" customFormat="false" ht="15" hidden="false" customHeight="false" outlineLevel="0" collapsed="false">
      <c r="B193" s="39"/>
      <c r="C193" s="77"/>
      <c r="D193" s="38"/>
      <c r="E193" s="38"/>
      <c r="F193" s="38"/>
      <c r="G193" s="78"/>
      <c r="H193" s="39"/>
      <c r="I193" s="77"/>
      <c r="J193" s="79" t="str">
        <f aca="false">IF(C193="","",C193+ValidDays)</f>
        <v/>
      </c>
      <c r="K193" s="80" t="str">
        <f aca="false">IF(C193="","",IF(OR(H193="Sent",H193="Draft"),AsOf-C193,IF(I193="","",I193-C193)))</f>
        <v/>
      </c>
      <c r="L193" s="40" t="str">
        <f aca="false">IF(C193="","",IF(AND(H193="Sent",AsOf&gt;J193),"Past valid date",IF(AND(H193="Sent",AsOf-C193&gt;7),"Follow up",IF(AND(OR(H193="Accepted",H193="Declined"),I193=""),"Add decision date",""))))</f>
        <v/>
      </c>
    </row>
    <row r="194" customFormat="false" ht="15" hidden="false" customHeight="false" outlineLevel="0" collapsed="false">
      <c r="B194" s="39"/>
      <c r="C194" s="77"/>
      <c r="D194" s="38"/>
      <c r="E194" s="38"/>
      <c r="F194" s="38"/>
      <c r="G194" s="78"/>
      <c r="H194" s="39"/>
      <c r="I194" s="77"/>
      <c r="J194" s="79" t="str">
        <f aca="false">IF(C194="","",C194+ValidDays)</f>
        <v/>
      </c>
      <c r="K194" s="80" t="str">
        <f aca="false">IF(C194="","",IF(OR(H194="Sent",H194="Draft"),AsOf-C194,IF(I194="","",I194-C194)))</f>
        <v/>
      </c>
      <c r="L194" s="40" t="str">
        <f aca="false">IF(C194="","",IF(AND(H194="Sent",AsOf&gt;J194),"Past valid date",IF(AND(H194="Sent",AsOf-C194&gt;7),"Follow up",IF(AND(OR(H194="Accepted",H194="Declined"),I194=""),"Add decision date",""))))</f>
        <v/>
      </c>
    </row>
    <row r="195" customFormat="false" ht="15" hidden="false" customHeight="false" outlineLevel="0" collapsed="false">
      <c r="B195" s="39"/>
      <c r="C195" s="77"/>
      <c r="D195" s="38"/>
      <c r="E195" s="38"/>
      <c r="F195" s="38"/>
      <c r="G195" s="78"/>
      <c r="H195" s="39"/>
      <c r="I195" s="77"/>
      <c r="J195" s="79" t="str">
        <f aca="false">IF(C195="","",C195+ValidDays)</f>
        <v/>
      </c>
      <c r="K195" s="80" t="str">
        <f aca="false">IF(C195="","",IF(OR(H195="Sent",H195="Draft"),AsOf-C195,IF(I195="","",I195-C195)))</f>
        <v/>
      </c>
      <c r="L195" s="40" t="str">
        <f aca="false">IF(C195="","",IF(AND(H195="Sent",AsOf&gt;J195),"Past valid date",IF(AND(H195="Sent",AsOf-C195&gt;7),"Follow up",IF(AND(OR(H195="Accepted",H195="Declined"),I195=""),"Add decision date",""))))</f>
        <v/>
      </c>
    </row>
    <row r="196" customFormat="false" ht="15" hidden="false" customHeight="false" outlineLevel="0" collapsed="false">
      <c r="B196" s="39"/>
      <c r="C196" s="77"/>
      <c r="D196" s="38"/>
      <c r="E196" s="38"/>
      <c r="F196" s="38"/>
      <c r="G196" s="78"/>
      <c r="H196" s="39"/>
      <c r="I196" s="77"/>
      <c r="J196" s="79" t="str">
        <f aca="false">IF(C196="","",C196+ValidDays)</f>
        <v/>
      </c>
      <c r="K196" s="80" t="str">
        <f aca="false">IF(C196="","",IF(OR(H196="Sent",H196="Draft"),AsOf-C196,IF(I196="","",I196-C196)))</f>
        <v/>
      </c>
      <c r="L196" s="40" t="str">
        <f aca="false">IF(C196="","",IF(AND(H196="Sent",AsOf&gt;J196),"Past valid date",IF(AND(H196="Sent",AsOf-C196&gt;7),"Follow up",IF(AND(OR(H196="Accepted",H196="Declined"),I196=""),"Add decision date",""))))</f>
        <v/>
      </c>
    </row>
    <row r="197" customFormat="false" ht="15" hidden="false" customHeight="false" outlineLevel="0" collapsed="false">
      <c r="B197" s="39"/>
      <c r="C197" s="77"/>
      <c r="D197" s="38"/>
      <c r="E197" s="38"/>
      <c r="F197" s="38"/>
      <c r="G197" s="78"/>
      <c r="H197" s="39"/>
      <c r="I197" s="77"/>
      <c r="J197" s="79" t="str">
        <f aca="false">IF(C197="","",C197+ValidDays)</f>
        <v/>
      </c>
      <c r="K197" s="80" t="str">
        <f aca="false">IF(C197="","",IF(OR(H197="Sent",H197="Draft"),AsOf-C197,IF(I197="","",I197-C197)))</f>
        <v/>
      </c>
      <c r="L197" s="40" t="str">
        <f aca="false">IF(C197="","",IF(AND(H197="Sent",AsOf&gt;J197),"Past valid date",IF(AND(H197="Sent",AsOf-C197&gt;7),"Follow up",IF(AND(OR(H197="Accepted",H197="Declined"),I197=""),"Add decision date",""))))</f>
        <v/>
      </c>
    </row>
    <row r="198" customFormat="false" ht="15" hidden="false" customHeight="false" outlineLevel="0" collapsed="false">
      <c r="B198" s="39"/>
      <c r="C198" s="77"/>
      <c r="D198" s="38"/>
      <c r="E198" s="38"/>
      <c r="F198" s="38"/>
      <c r="G198" s="78"/>
      <c r="H198" s="39"/>
      <c r="I198" s="77"/>
      <c r="J198" s="79" t="str">
        <f aca="false">IF(C198="","",C198+ValidDays)</f>
        <v/>
      </c>
      <c r="K198" s="80" t="str">
        <f aca="false">IF(C198="","",IF(OR(H198="Sent",H198="Draft"),AsOf-C198,IF(I198="","",I198-C198)))</f>
        <v/>
      </c>
      <c r="L198" s="40" t="str">
        <f aca="false">IF(C198="","",IF(AND(H198="Sent",AsOf&gt;J198),"Past valid date",IF(AND(H198="Sent",AsOf-C198&gt;7),"Follow up",IF(AND(OR(H198="Accepted",H198="Declined"),I198=""),"Add decision date",""))))</f>
        <v/>
      </c>
    </row>
    <row r="199" customFormat="false" ht="15" hidden="false" customHeight="false" outlineLevel="0" collapsed="false">
      <c r="B199" s="39"/>
      <c r="C199" s="77"/>
      <c r="D199" s="38"/>
      <c r="E199" s="38"/>
      <c r="F199" s="38"/>
      <c r="G199" s="78"/>
      <c r="H199" s="39"/>
      <c r="I199" s="77"/>
      <c r="J199" s="79" t="str">
        <f aca="false">IF(C199="","",C199+ValidDays)</f>
        <v/>
      </c>
      <c r="K199" s="80" t="str">
        <f aca="false">IF(C199="","",IF(OR(H199="Sent",H199="Draft"),AsOf-C199,IF(I199="","",I199-C199)))</f>
        <v/>
      </c>
      <c r="L199" s="40" t="str">
        <f aca="false">IF(C199="","",IF(AND(H199="Sent",AsOf&gt;J199),"Past valid date",IF(AND(H199="Sent",AsOf-C199&gt;7),"Follow up",IF(AND(OR(H199="Accepted",H199="Declined"),I199=""),"Add decision date",""))))</f>
        <v/>
      </c>
    </row>
    <row r="200" customFormat="false" ht="15" hidden="false" customHeight="false" outlineLevel="0" collapsed="false">
      <c r="B200" s="39"/>
      <c r="C200" s="77"/>
      <c r="D200" s="38"/>
      <c r="E200" s="38"/>
      <c r="F200" s="38"/>
      <c r="G200" s="78"/>
      <c r="H200" s="39"/>
      <c r="I200" s="77"/>
      <c r="J200" s="79" t="str">
        <f aca="false">IF(C200="","",C200+ValidDays)</f>
        <v/>
      </c>
      <c r="K200" s="80" t="str">
        <f aca="false">IF(C200="","",IF(OR(H200="Sent",H200="Draft"),AsOf-C200,IF(I200="","",I200-C200)))</f>
        <v/>
      </c>
      <c r="L200" s="40" t="str">
        <f aca="false">IF(C200="","",IF(AND(H200="Sent",AsOf&gt;J200),"Past valid date",IF(AND(H200="Sent",AsOf-C200&gt;7),"Follow up",IF(AND(OR(H200="Accepted",H200="Declined"),I200=""),"Add decision date",""))))</f>
        <v/>
      </c>
    </row>
    <row r="201" customFormat="false" ht="15" hidden="false" customHeight="false" outlineLevel="0" collapsed="false">
      <c r="B201" s="39"/>
      <c r="C201" s="77"/>
      <c r="D201" s="38"/>
      <c r="E201" s="38"/>
      <c r="F201" s="38"/>
      <c r="G201" s="78"/>
      <c r="H201" s="39"/>
      <c r="I201" s="77"/>
      <c r="J201" s="79" t="str">
        <f aca="false">IF(C201="","",C201+ValidDays)</f>
        <v/>
      </c>
      <c r="K201" s="80" t="str">
        <f aca="false">IF(C201="","",IF(OR(H201="Sent",H201="Draft"),AsOf-C201,IF(I201="","",I201-C201)))</f>
        <v/>
      </c>
      <c r="L201" s="40" t="str">
        <f aca="false">IF(C201="","",IF(AND(H201="Sent",AsOf&gt;J201),"Past valid date",IF(AND(H201="Sent",AsOf-C201&gt;7),"Follow up",IF(AND(OR(H201="Accepted",H201="Declined"),I201=""),"Add decision date",""))))</f>
        <v/>
      </c>
    </row>
    <row r="202" customFormat="false" ht="15" hidden="false" customHeight="false" outlineLevel="0" collapsed="false">
      <c r="B202" s="39"/>
      <c r="C202" s="77"/>
      <c r="D202" s="38"/>
      <c r="E202" s="38"/>
      <c r="F202" s="38"/>
      <c r="G202" s="78"/>
      <c r="H202" s="39"/>
      <c r="I202" s="77"/>
      <c r="J202" s="79" t="str">
        <f aca="false">IF(C202="","",C202+ValidDays)</f>
        <v/>
      </c>
      <c r="K202" s="80" t="str">
        <f aca="false">IF(C202="","",IF(OR(H202="Sent",H202="Draft"),AsOf-C202,IF(I202="","",I202-C202)))</f>
        <v/>
      </c>
      <c r="L202" s="40" t="str">
        <f aca="false">IF(C202="","",IF(AND(H202="Sent",AsOf&gt;J202),"Past valid date",IF(AND(H202="Sent",AsOf-C202&gt;7),"Follow up",IF(AND(OR(H202="Accepted",H202="Declined"),I202=""),"Add decision date",""))))</f>
        <v/>
      </c>
    </row>
    <row r="203" customFormat="false" ht="15" hidden="false" customHeight="false" outlineLevel="0" collapsed="false">
      <c r="B203" s="39"/>
      <c r="C203" s="77"/>
      <c r="D203" s="38"/>
      <c r="E203" s="38"/>
      <c r="F203" s="38"/>
      <c r="G203" s="78"/>
      <c r="H203" s="39"/>
      <c r="I203" s="77"/>
      <c r="J203" s="79" t="str">
        <f aca="false">IF(C203="","",C203+ValidDays)</f>
        <v/>
      </c>
      <c r="K203" s="80" t="str">
        <f aca="false">IF(C203="","",IF(OR(H203="Sent",H203="Draft"),AsOf-C203,IF(I203="","",I203-C203)))</f>
        <v/>
      </c>
      <c r="L203" s="40" t="str">
        <f aca="false">IF(C203="","",IF(AND(H203="Sent",AsOf&gt;J203),"Past valid date",IF(AND(H203="Sent",AsOf-C203&gt;7),"Follow up",IF(AND(OR(H203="Accepted",H203="Declined"),I203=""),"Add decision date",""))))</f>
        <v/>
      </c>
    </row>
    <row r="204" customFormat="false" ht="15" hidden="false" customHeight="false" outlineLevel="0" collapsed="false">
      <c r="B204" s="39"/>
      <c r="C204" s="77"/>
      <c r="D204" s="38"/>
      <c r="E204" s="38"/>
      <c r="F204" s="38"/>
      <c r="G204" s="78"/>
      <c r="H204" s="39"/>
      <c r="I204" s="77"/>
      <c r="J204" s="79" t="str">
        <f aca="false">IF(C204="","",C204+ValidDays)</f>
        <v/>
      </c>
      <c r="K204" s="80" t="str">
        <f aca="false">IF(C204="","",IF(OR(H204="Sent",H204="Draft"),AsOf-C204,IF(I204="","",I204-C204)))</f>
        <v/>
      </c>
      <c r="L204" s="40" t="str">
        <f aca="false">IF(C204="","",IF(AND(H204="Sent",AsOf&gt;J204),"Past valid date",IF(AND(H204="Sent",AsOf-C204&gt;7),"Follow up",IF(AND(OR(H204="Accepted",H204="Declined"),I204=""),"Add decision date",""))))</f>
        <v/>
      </c>
    </row>
  </sheetData>
  <sheetProtection sheet="true" formatColumns="false" formatRows="false" sort="false" autoFilter="false"/>
  <mergeCells count="4">
    <mergeCell ref="N13:O13"/>
    <mergeCell ref="P13:Q13"/>
    <mergeCell ref="N15:O15"/>
    <mergeCell ref="P15:Q15"/>
  </mergeCells>
  <conditionalFormatting sqref="L5:L204">
    <cfRule type="expression" priority="2" aboveAverage="0" equalAverage="0" bottom="0" percent="0" rank="0" text="" dxfId="1">
      <formula>$L5="Past valid date"</formula>
    </cfRule>
    <cfRule type="expression" priority="3" aboveAverage="0" equalAverage="0" bottom="0" percent="0" rank="0" text="" dxfId="18">
      <formula>OR($L5="Follow up",$L5="Add decision date")</formula>
    </cfRule>
  </conditionalFormatting>
  <conditionalFormatting sqref="H5:H204">
    <cfRule type="expression" priority="4" aboveAverage="0" equalAverage="0" bottom="0" percent="0" rank="0" text="" dxfId="4">
      <formula>$H5="Accepted"</formula>
    </cfRule>
    <cfRule type="expression" priority="5" aboveAverage="0" equalAverage="0" bottom="0" percent="0" rank="0" text="" dxfId="19">
      <formula>OR($H5="Declined",$H5="Expired")</formula>
    </cfRule>
  </conditionalFormatting>
  <dataValidations count="4">
    <dataValidation allowBlank="true" error="Pick a value from the list." errorStyle="stop" errorTitle="Not on the list" operator="between" showDropDown="false" showErrorMessage="true" showInputMessage="false" sqref="F5:F204" type="list">
      <formula1>EstList</formula1>
      <formula2>0</formula2>
    </dataValidation>
    <dataValidation allowBlank="true" error="Pick a value from the list." errorStyle="stop" errorTitle="Not on the list" operator="between" showDropDown="false" showErrorMessage="true" showInputMessage="false" sqref="H5:H204" type="list">
      <formula1>StatusList</formula1>
      <formula2>0</formula2>
    </dataValidation>
    <dataValidation allowBlank="true" error="Enter a date such as 9/14/2026." errorStyle="stop" errorTitle="Check the date" operator="between" showDropDown="false" showErrorMessage="true" showInputMessage="false" sqref="C5:C204" type="date">
      <formula1>DATE(2020,1,1)</formula1>
      <formula2>DATE(2035,12,31)</formula2>
    </dataValidation>
    <dataValidation allowBlank="true" error="Enter a date such as 9/14/2026." errorStyle="stop" errorTitle="Check the date" operator="between" showDropDown="false" showErrorMessage="true" showInputMessage="false" sqref="I5:I204" type="date">
      <formula1>DATE(2020,1,1)</formula1>
      <formula2>DATE(2035,12,31)</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tableParts>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2502E"/>
    <pageSetUpPr fitToPage="true"/>
  </sheetPr>
  <dimension ref="B1:I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
    <col collapsed="false" customWidth="true" hidden="false" outlineLevel="0" max="3" min="3" style="0" width="17"/>
    <col collapsed="false" customWidth="true" hidden="false" outlineLevel="0" max="4" min="4" style="0" width="34"/>
    <col collapsed="false" customWidth="true" hidden="false" outlineLevel="0" max="5" min="5" style="0" width="10"/>
    <col collapsed="false" customWidth="true" hidden="false" outlineLevel="0" max="6" min="6" style="0" width="13"/>
    <col collapsed="false" customWidth="true" hidden="false" outlineLevel="0" max="7" min="7" style="0" width="12"/>
    <col collapsed="false" customWidth="true" hidden="false" outlineLevel="0" max="8" min="8" style="0" width="9"/>
    <col collapsed="false" customWidth="true" hidden="false" outlineLevel="0" max="9" min="9" style="0" width="13"/>
  </cols>
  <sheetData>
    <row r="1" customFormat="false" ht="33.75" hidden="false" customHeight="true" outlineLevel="0" collapsed="false">
      <c r="B1" s="1" t="s">
        <v>240</v>
      </c>
    </row>
    <row r="2" customFormat="false" ht="18" hidden="false" customHeight="true" outlineLevel="0" collapsed="false">
      <c r="B2" s="27" t="s">
        <v>241</v>
      </c>
    </row>
    <row r="4" customFormat="false" ht="33.75" hidden="false" customHeight="true" outlineLevel="0" collapsed="false">
      <c r="B4" s="34" t="s">
        <v>242</v>
      </c>
      <c r="C4" s="34" t="s">
        <v>243</v>
      </c>
      <c r="D4" s="34" t="s">
        <v>244</v>
      </c>
      <c r="E4" s="34" t="s">
        <v>76</v>
      </c>
      <c r="F4" s="34" t="s">
        <v>245</v>
      </c>
      <c r="G4" s="34" t="s">
        <v>246</v>
      </c>
      <c r="H4" s="34" t="s">
        <v>247</v>
      </c>
      <c r="I4" s="88" t="s">
        <v>248</v>
      </c>
    </row>
    <row r="5" customFormat="false" ht="15" hidden="false" customHeight="false" outlineLevel="0" collapsed="false">
      <c r="B5" s="38" t="s">
        <v>249</v>
      </c>
      <c r="C5" s="38" t="s">
        <v>250</v>
      </c>
      <c r="D5" s="38" t="s">
        <v>84</v>
      </c>
      <c r="E5" s="39" t="s">
        <v>251</v>
      </c>
      <c r="F5" s="78" t="n">
        <v>18</v>
      </c>
      <c r="G5" s="89" t="n">
        <v>0.5</v>
      </c>
      <c r="H5" s="90" t="n">
        <v>0</v>
      </c>
      <c r="I5" s="23" t="n">
        <f aca="false">IF(D5="","",ROUND(F5*(1+H5)*(1+MatMarkup)+G5*LaborRate,2))</f>
        <v>56.5</v>
      </c>
    </row>
    <row r="6" customFormat="false" ht="15" hidden="false" customHeight="false" outlineLevel="0" collapsed="false">
      <c r="B6" s="38" t="s">
        <v>252</v>
      </c>
      <c r="C6" s="38" t="s">
        <v>250</v>
      </c>
      <c r="D6" s="38" t="s">
        <v>110</v>
      </c>
      <c r="E6" s="39" t="s">
        <v>253</v>
      </c>
      <c r="F6" s="78" t="n">
        <v>85</v>
      </c>
      <c r="G6" s="89" t="n">
        <v>1</v>
      </c>
      <c r="H6" s="90" t="n">
        <v>0</v>
      </c>
      <c r="I6" s="23" t="n">
        <f aca="false">IF(D6="","",ROUND(F6*(1+H6)*(1+MatMarkup)+G6*LaborRate,2))</f>
        <v>174.25</v>
      </c>
    </row>
    <row r="7" customFormat="false" ht="15" hidden="false" customHeight="false" outlineLevel="0" collapsed="false">
      <c r="B7" s="38" t="s">
        <v>254</v>
      </c>
      <c r="C7" s="38" t="s">
        <v>250</v>
      </c>
      <c r="D7" s="38" t="s">
        <v>255</v>
      </c>
      <c r="E7" s="39" t="s">
        <v>256</v>
      </c>
      <c r="F7" s="78" t="n">
        <v>0</v>
      </c>
      <c r="G7" s="89" t="n">
        <v>1</v>
      </c>
      <c r="H7" s="90" t="n">
        <v>0</v>
      </c>
      <c r="I7" s="23" t="n">
        <f aca="false">IF(D7="","",ROUND(F7*(1+H7)*(1+MatMarkup)+G7*LaborRate,2))</f>
        <v>68</v>
      </c>
    </row>
    <row r="8" customFormat="false" ht="15" hidden="false" customHeight="false" outlineLevel="0" collapsed="false">
      <c r="B8" s="38" t="s">
        <v>257</v>
      </c>
      <c r="C8" s="38" t="s">
        <v>258</v>
      </c>
      <c r="D8" s="38" t="s">
        <v>100</v>
      </c>
      <c r="E8" s="39" t="s">
        <v>259</v>
      </c>
      <c r="F8" s="78" t="n">
        <v>0.32</v>
      </c>
      <c r="G8" s="89" t="n">
        <v>0.012</v>
      </c>
      <c r="H8" s="90" t="n">
        <v>0.1</v>
      </c>
      <c r="I8" s="23" t="n">
        <f aca="false">IF(D8="","",ROUND(F8*(1+H8)*(1+MatMarkup)+G8*LaborRate,2))</f>
        <v>1.26</v>
      </c>
    </row>
    <row r="9" customFormat="false" ht="15" hidden="false" customHeight="false" outlineLevel="0" collapsed="false">
      <c r="B9" s="38" t="s">
        <v>260</v>
      </c>
      <c r="C9" s="38" t="s">
        <v>258</v>
      </c>
      <c r="D9" s="38" t="s">
        <v>103</v>
      </c>
      <c r="E9" s="39" t="s">
        <v>259</v>
      </c>
      <c r="F9" s="78" t="n">
        <v>0.28</v>
      </c>
      <c r="G9" s="89" t="n">
        <v>0.016</v>
      </c>
      <c r="H9" s="90" t="n">
        <v>0.1</v>
      </c>
      <c r="I9" s="23" t="n">
        <f aca="false">IF(D9="","",ROUND(F9*(1+H9)*(1+MatMarkup)+G9*LaborRate,2))</f>
        <v>1.47</v>
      </c>
    </row>
    <row r="10" customFormat="false" ht="15" hidden="false" customHeight="false" outlineLevel="0" collapsed="false">
      <c r="B10" s="38" t="s">
        <v>261</v>
      </c>
      <c r="C10" s="38" t="s">
        <v>258</v>
      </c>
      <c r="D10" s="38" t="s">
        <v>262</v>
      </c>
      <c r="E10" s="39" t="s">
        <v>263</v>
      </c>
      <c r="F10" s="78" t="n">
        <v>0.15</v>
      </c>
      <c r="G10" s="89" t="n">
        <v>0.03</v>
      </c>
      <c r="H10" s="90" t="n">
        <v>0.1</v>
      </c>
      <c r="I10" s="23" t="n">
        <f aca="false">IF(D10="","",ROUND(F10*(1+H10)*(1+MatMarkup)+G10*LaborRate,2))</f>
        <v>2.25</v>
      </c>
    </row>
    <row r="11" customFormat="false" ht="15" hidden="false" customHeight="false" outlineLevel="0" collapsed="false">
      <c r="B11" s="38" t="s">
        <v>264</v>
      </c>
      <c r="C11" s="38" t="s">
        <v>258</v>
      </c>
      <c r="D11" s="38" t="s">
        <v>105</v>
      </c>
      <c r="E11" s="39" t="s">
        <v>265</v>
      </c>
      <c r="F11" s="78" t="n">
        <v>9</v>
      </c>
      <c r="G11" s="89" t="n">
        <v>0.9</v>
      </c>
      <c r="H11" s="90" t="n">
        <v>0</v>
      </c>
      <c r="I11" s="23" t="n">
        <f aca="false">IF(D11="","",ROUND(F11*(1+H11)*(1+MatMarkup)+G11*LaborRate,2))</f>
        <v>72.45</v>
      </c>
    </row>
    <row r="12" customFormat="false" ht="15" hidden="false" customHeight="false" outlineLevel="0" collapsed="false">
      <c r="B12" s="38" t="s">
        <v>266</v>
      </c>
      <c r="C12" s="38" t="s">
        <v>258</v>
      </c>
      <c r="D12" s="38" t="s">
        <v>267</v>
      </c>
      <c r="E12" s="39" t="s">
        <v>265</v>
      </c>
      <c r="F12" s="78" t="n">
        <v>6.5</v>
      </c>
      <c r="G12" s="89" t="n">
        <v>1.1</v>
      </c>
      <c r="H12" s="90" t="n">
        <v>0</v>
      </c>
      <c r="I12" s="23" t="n">
        <f aca="false">IF(D12="","",ROUND(F12*(1+H12)*(1+MatMarkup)+G12*LaborRate,2))</f>
        <v>82.93</v>
      </c>
    </row>
    <row r="13" customFormat="false" ht="15" hidden="false" customHeight="false" outlineLevel="0" collapsed="false">
      <c r="B13" s="38" t="s">
        <v>268</v>
      </c>
      <c r="C13" s="38" t="s">
        <v>269</v>
      </c>
      <c r="D13" s="38" t="s">
        <v>98</v>
      </c>
      <c r="E13" s="39" t="s">
        <v>265</v>
      </c>
      <c r="F13" s="78" t="n">
        <v>8</v>
      </c>
      <c r="G13" s="89" t="n">
        <v>1</v>
      </c>
      <c r="H13" s="90" t="n">
        <v>0</v>
      </c>
      <c r="I13" s="23" t="n">
        <f aca="false">IF(D13="","",ROUND(F13*(1+H13)*(1+MatMarkup)+G13*LaborRate,2))</f>
        <v>78</v>
      </c>
    </row>
    <row r="14" customFormat="false" ht="15" hidden="false" customHeight="false" outlineLevel="0" collapsed="false">
      <c r="B14" s="38" t="s">
        <v>270</v>
      </c>
      <c r="C14" s="38" t="s">
        <v>269</v>
      </c>
      <c r="D14" s="38" t="s">
        <v>271</v>
      </c>
      <c r="E14" s="39" t="s">
        <v>259</v>
      </c>
      <c r="F14" s="78" t="n">
        <v>0.85</v>
      </c>
      <c r="G14" s="89" t="n">
        <v>0.045</v>
      </c>
      <c r="H14" s="90" t="n">
        <v>0.12</v>
      </c>
      <c r="I14" s="23" t="n">
        <f aca="false">IF(D14="","",ROUND(F14*(1+H14)*(1+MatMarkup)+G14*LaborRate,2))</f>
        <v>4.25</v>
      </c>
    </row>
    <row r="15" customFormat="false" ht="15" hidden="false" customHeight="false" outlineLevel="0" collapsed="false">
      <c r="B15" s="38" t="s">
        <v>272</v>
      </c>
      <c r="C15" s="38" t="s">
        <v>269</v>
      </c>
      <c r="D15" s="38" t="s">
        <v>273</v>
      </c>
      <c r="E15" s="39" t="s">
        <v>259</v>
      </c>
      <c r="F15" s="78" t="n">
        <v>0.2</v>
      </c>
      <c r="G15" s="89" t="n">
        <v>0.02</v>
      </c>
      <c r="H15" s="90" t="n">
        <v>0.1</v>
      </c>
      <c r="I15" s="23" t="n">
        <f aca="false">IF(D15="","",ROUND(F15*(1+H15)*(1+MatMarkup)+G15*LaborRate,2))</f>
        <v>1.64</v>
      </c>
    </row>
    <row r="16" customFormat="false" ht="15" hidden="false" customHeight="false" outlineLevel="0" collapsed="false">
      <c r="B16" s="38" t="s">
        <v>274</v>
      </c>
      <c r="C16" s="38" t="s">
        <v>275</v>
      </c>
      <c r="D16" s="38" t="s">
        <v>87</v>
      </c>
      <c r="E16" s="39" t="s">
        <v>259</v>
      </c>
      <c r="F16" s="78" t="n">
        <v>0</v>
      </c>
      <c r="G16" s="89" t="n">
        <v>0.02</v>
      </c>
      <c r="H16" s="90" t="n">
        <v>0</v>
      </c>
      <c r="I16" s="23" t="n">
        <f aca="false">IF(D16="","",ROUND(F16*(1+H16)*(1+MatMarkup)+G16*LaborRate,2))</f>
        <v>1.36</v>
      </c>
    </row>
    <row r="17" customFormat="false" ht="15" hidden="false" customHeight="false" outlineLevel="0" collapsed="false">
      <c r="B17" s="38" t="s">
        <v>276</v>
      </c>
      <c r="C17" s="38" t="s">
        <v>275</v>
      </c>
      <c r="D17" s="38" t="s">
        <v>90</v>
      </c>
      <c r="E17" s="39" t="s">
        <v>259</v>
      </c>
      <c r="F17" s="78" t="n">
        <v>3.4</v>
      </c>
      <c r="G17" s="89" t="n">
        <v>0.035</v>
      </c>
      <c r="H17" s="90" t="n">
        <v>0.08</v>
      </c>
      <c r="I17" s="23" t="n">
        <f aca="false">IF(D17="","",ROUND(F17*(1+H17)*(1+MatMarkup)+G17*LaborRate,2))</f>
        <v>6.97</v>
      </c>
    </row>
    <row r="18" customFormat="false" ht="15" hidden="false" customHeight="false" outlineLevel="0" collapsed="false">
      <c r="B18" s="38" t="s">
        <v>277</v>
      </c>
      <c r="C18" s="38" t="s">
        <v>275</v>
      </c>
      <c r="D18" s="38" t="s">
        <v>278</v>
      </c>
      <c r="E18" s="39" t="s">
        <v>259</v>
      </c>
      <c r="F18" s="78" t="n">
        <v>4.2</v>
      </c>
      <c r="G18" s="89" t="n">
        <v>0.11</v>
      </c>
      <c r="H18" s="90" t="n">
        <v>0.1</v>
      </c>
      <c r="I18" s="23" t="n">
        <f aca="false">IF(D18="","",ROUND(F18*(1+H18)*(1+MatMarkup)+G18*LaborRate,2))</f>
        <v>13.26</v>
      </c>
    </row>
    <row r="19" customFormat="false" ht="15" hidden="false" customHeight="false" outlineLevel="0" collapsed="false">
      <c r="B19" s="38" t="s">
        <v>279</v>
      </c>
      <c r="C19" s="38" t="s">
        <v>275</v>
      </c>
      <c r="D19" s="38" t="s">
        <v>94</v>
      </c>
      <c r="E19" s="39" t="s">
        <v>263</v>
      </c>
      <c r="F19" s="78" t="n">
        <v>1.65</v>
      </c>
      <c r="G19" s="89" t="n">
        <v>0.05</v>
      </c>
      <c r="H19" s="90" t="n">
        <v>0.08</v>
      </c>
      <c r="I19" s="23" t="n">
        <f aca="false">IF(D19="","",ROUND(F19*(1+H19)*(1+MatMarkup)+G19*LaborRate,2))</f>
        <v>5.63</v>
      </c>
    </row>
    <row r="20" customFormat="false" ht="15" hidden="false" customHeight="false" outlineLevel="0" collapsed="false">
      <c r="B20" s="38" t="s">
        <v>280</v>
      </c>
      <c r="C20" s="38" t="s">
        <v>275</v>
      </c>
      <c r="D20" s="38" t="s">
        <v>96</v>
      </c>
      <c r="E20" s="39" t="s">
        <v>265</v>
      </c>
      <c r="F20" s="78" t="n">
        <v>22</v>
      </c>
      <c r="G20" s="89" t="n">
        <v>0.4</v>
      </c>
      <c r="H20" s="90" t="n">
        <v>0</v>
      </c>
      <c r="I20" s="23" t="n">
        <f aca="false">IF(D20="","",ROUND(F20*(1+H20)*(1+MatMarkup)+G20*LaborRate,2))</f>
        <v>54.7</v>
      </c>
    </row>
    <row r="21" customFormat="false" ht="15" hidden="false" customHeight="false" outlineLevel="0" collapsed="false">
      <c r="B21" s="38" t="s">
        <v>281</v>
      </c>
      <c r="C21" s="38" t="s">
        <v>164</v>
      </c>
      <c r="D21" s="38" t="s">
        <v>282</v>
      </c>
      <c r="E21" s="39" t="s">
        <v>263</v>
      </c>
      <c r="F21" s="78" t="n">
        <v>2.8</v>
      </c>
      <c r="G21" s="89" t="n">
        <v>0.09</v>
      </c>
      <c r="H21" s="90" t="n">
        <v>0.1</v>
      </c>
      <c r="I21" s="23" t="n">
        <f aca="false">IF(D21="","",ROUND(F21*(1+H21)*(1+MatMarkup)+G21*LaborRate,2))</f>
        <v>9.97</v>
      </c>
    </row>
    <row r="22" customFormat="false" ht="15" hidden="false" customHeight="false" outlineLevel="0" collapsed="false">
      <c r="B22" s="38" t="s">
        <v>283</v>
      </c>
      <c r="C22" s="38" t="s">
        <v>164</v>
      </c>
      <c r="D22" s="38" t="s">
        <v>284</v>
      </c>
      <c r="E22" s="39" t="s">
        <v>265</v>
      </c>
      <c r="F22" s="78" t="n">
        <v>165</v>
      </c>
      <c r="G22" s="89" t="n">
        <v>2.5</v>
      </c>
      <c r="H22" s="90" t="n">
        <v>0</v>
      </c>
      <c r="I22" s="23" t="n">
        <f aca="false">IF(D22="","",ROUND(F22*(1+H22)*(1+MatMarkup)+G22*LaborRate,2))</f>
        <v>376.25</v>
      </c>
    </row>
    <row r="23" customFormat="false" ht="15" hidden="false" customHeight="false" outlineLevel="0" collapsed="false">
      <c r="B23" s="38" t="s">
        <v>285</v>
      </c>
      <c r="C23" s="38" t="s">
        <v>164</v>
      </c>
      <c r="D23" s="38" t="s">
        <v>286</v>
      </c>
      <c r="E23" s="39" t="s">
        <v>265</v>
      </c>
      <c r="F23" s="78" t="n">
        <v>32</v>
      </c>
      <c r="G23" s="89" t="n">
        <v>0.3</v>
      </c>
      <c r="H23" s="90" t="n">
        <v>0</v>
      </c>
      <c r="I23" s="23" t="n">
        <f aca="false">IF(D23="","",ROUND(F23*(1+H23)*(1+MatMarkup)+G23*LaborRate,2))</f>
        <v>60.4</v>
      </c>
    </row>
    <row r="24" customFormat="false" ht="15" hidden="false" customHeight="false" outlineLevel="0" collapsed="false">
      <c r="B24" s="38" t="s">
        <v>287</v>
      </c>
      <c r="C24" s="38" t="s">
        <v>288</v>
      </c>
      <c r="D24" s="38" t="s">
        <v>106</v>
      </c>
      <c r="E24" s="39" t="s">
        <v>259</v>
      </c>
      <c r="F24" s="78" t="n">
        <v>6.5</v>
      </c>
      <c r="G24" s="89" t="n">
        <v>0.18</v>
      </c>
      <c r="H24" s="90" t="n">
        <v>0.1</v>
      </c>
      <c r="I24" s="23" t="n">
        <f aca="false">IF(D24="","",ROUND(F24*(1+H24)*(1+MatMarkup)+G24*LaborRate,2))</f>
        <v>21.18</v>
      </c>
    </row>
    <row r="25" customFormat="false" ht="15" hidden="false" customHeight="false" outlineLevel="0" collapsed="false">
      <c r="B25" s="38" t="s">
        <v>289</v>
      </c>
      <c r="C25" s="38" t="s">
        <v>288</v>
      </c>
      <c r="D25" s="38" t="s">
        <v>290</v>
      </c>
      <c r="E25" s="39" t="s">
        <v>265</v>
      </c>
      <c r="F25" s="78" t="n">
        <v>45</v>
      </c>
      <c r="G25" s="89" t="n">
        <v>4</v>
      </c>
      <c r="H25" s="90" t="n">
        <v>0</v>
      </c>
      <c r="I25" s="23" t="n">
        <f aca="false">IF(D25="","",ROUND(F25*(1+H25)*(1+MatMarkup)+G25*LaborRate,2))</f>
        <v>328.25</v>
      </c>
    </row>
    <row r="26" customFormat="false" ht="15" hidden="false" customHeight="false" outlineLevel="0" collapsed="false">
      <c r="B26" s="38" t="s">
        <v>291</v>
      </c>
      <c r="C26" s="38" t="s">
        <v>288</v>
      </c>
      <c r="D26" s="38" t="s">
        <v>292</v>
      </c>
      <c r="E26" s="39" t="s">
        <v>265</v>
      </c>
      <c r="F26" s="78" t="n">
        <v>30</v>
      </c>
      <c r="G26" s="89" t="n">
        <v>1.5</v>
      </c>
      <c r="H26" s="90" t="n">
        <v>0</v>
      </c>
      <c r="I26" s="23" t="n">
        <f aca="false">IF(D26="","",ROUND(F26*(1+H26)*(1+MatMarkup)+G26*LaborRate,2))</f>
        <v>139.5</v>
      </c>
    </row>
    <row r="27" customFormat="false" ht="15" hidden="false" customHeight="false" outlineLevel="0" collapsed="false">
      <c r="B27" s="38" t="s">
        <v>293</v>
      </c>
      <c r="C27" s="38" t="s">
        <v>288</v>
      </c>
      <c r="D27" s="38" t="s">
        <v>294</v>
      </c>
      <c r="E27" s="39" t="s">
        <v>265</v>
      </c>
      <c r="F27" s="78" t="n">
        <v>12</v>
      </c>
      <c r="G27" s="89" t="n">
        <v>1</v>
      </c>
      <c r="H27" s="90" t="n">
        <v>0</v>
      </c>
      <c r="I27" s="23" t="n">
        <f aca="false">IF(D27="","",ROUND(F27*(1+H27)*(1+MatMarkup)+G27*LaborRate,2))</f>
        <v>83</v>
      </c>
    </row>
    <row r="28" customFormat="false" ht="15" hidden="false" customHeight="false" outlineLevel="0" collapsed="false">
      <c r="B28" s="38"/>
      <c r="C28" s="38"/>
      <c r="D28" s="38"/>
      <c r="E28" s="39"/>
      <c r="F28" s="78"/>
      <c r="G28" s="89"/>
      <c r="H28" s="90"/>
      <c r="I28" s="23" t="str">
        <f aca="false">IF(D28="","",ROUND(F28*(1+H28)*(1+MatMarkup)+G28*LaborRate,2))</f>
        <v/>
      </c>
    </row>
    <row r="29" customFormat="false" ht="15" hidden="false" customHeight="false" outlineLevel="0" collapsed="false">
      <c r="B29" s="91" t="s">
        <v>295</v>
      </c>
      <c r="C29" s="38"/>
      <c r="D29" s="38"/>
      <c r="E29" s="39"/>
      <c r="F29" s="78"/>
      <c r="G29" s="89"/>
      <c r="H29" s="90"/>
      <c r="I29" s="23" t="str">
        <f aca="false">IF(D29="","",ROUND(F29*(1+H29)*(1+MatMarkup)+G29*LaborRate,2))</f>
        <v/>
      </c>
    </row>
    <row r="30" customFormat="false" ht="15" hidden="false" customHeight="false" outlineLevel="0" collapsed="false">
      <c r="B30" s="38"/>
      <c r="C30" s="38"/>
      <c r="D30" s="38"/>
      <c r="E30" s="39"/>
      <c r="F30" s="78"/>
      <c r="G30" s="89"/>
      <c r="H30" s="90"/>
      <c r="I30" s="23" t="str">
        <f aca="false">IF(D30="","",ROUND(F30*(1+H30)*(1+MatMarkup)+G30*LaborRate,2))</f>
        <v/>
      </c>
    </row>
    <row r="31" customFormat="false" ht="15" hidden="false" customHeight="false" outlineLevel="0" collapsed="false">
      <c r="B31" s="38"/>
      <c r="C31" s="38"/>
      <c r="D31" s="38"/>
      <c r="E31" s="39"/>
      <c r="F31" s="78"/>
      <c r="G31" s="89"/>
      <c r="H31" s="90"/>
      <c r="I31" s="23" t="str">
        <f aca="false">IF(D31="","",ROUND(F31*(1+H31)*(1+MatMarkup)+G31*LaborRate,2))</f>
        <v/>
      </c>
    </row>
    <row r="32" customFormat="false" ht="15" hidden="false" customHeight="false" outlineLevel="0" collapsed="false">
      <c r="B32" s="38"/>
      <c r="C32" s="38"/>
      <c r="D32" s="38"/>
      <c r="E32" s="39"/>
      <c r="F32" s="78"/>
      <c r="G32" s="89"/>
      <c r="H32" s="90"/>
      <c r="I32" s="23" t="str">
        <f aca="false">IF(D32="","",ROUND(F32*(1+H32)*(1+MatMarkup)+G32*LaborRate,2))</f>
        <v/>
      </c>
    </row>
    <row r="33" customFormat="false" ht="15" hidden="false" customHeight="false" outlineLevel="0" collapsed="false">
      <c r="B33" s="38"/>
      <c r="C33" s="38"/>
      <c r="D33" s="38"/>
      <c r="E33" s="39"/>
      <c r="F33" s="78"/>
      <c r="G33" s="89"/>
      <c r="H33" s="90"/>
      <c r="I33" s="23" t="str">
        <f aca="false">IF(D33="","",ROUND(F33*(1+H33)*(1+MatMarkup)+G33*LaborRate,2))</f>
        <v/>
      </c>
    </row>
    <row r="34" customFormat="false" ht="15" hidden="false" customHeight="false" outlineLevel="0" collapsed="false">
      <c r="B34" s="38"/>
      <c r="C34" s="38"/>
      <c r="D34" s="38"/>
      <c r="E34" s="39"/>
      <c r="F34" s="78"/>
      <c r="G34" s="89"/>
      <c r="H34" s="90"/>
      <c r="I34" s="23" t="str">
        <f aca="false">IF(D34="","",ROUND(F34*(1+H34)*(1+MatMarkup)+G34*LaborRate,2))</f>
        <v/>
      </c>
    </row>
    <row r="35" customFormat="false" ht="15" hidden="false" customHeight="false" outlineLevel="0" collapsed="false">
      <c r="B35" s="38"/>
      <c r="C35" s="38"/>
      <c r="D35" s="38"/>
      <c r="E35" s="39"/>
      <c r="F35" s="78"/>
      <c r="G35" s="89"/>
      <c r="H35" s="90"/>
      <c r="I35" s="23" t="str">
        <f aca="false">IF(D35="","",ROUND(F35*(1+H35)*(1+MatMarkup)+G35*LaborRate,2))</f>
        <v/>
      </c>
    </row>
    <row r="36" customFormat="false" ht="15" hidden="false" customHeight="false" outlineLevel="0" collapsed="false">
      <c r="B36" s="38"/>
      <c r="C36" s="38"/>
      <c r="D36" s="38"/>
      <c r="E36" s="39"/>
      <c r="F36" s="78"/>
      <c r="G36" s="89"/>
      <c r="H36" s="90"/>
      <c r="I36" s="23" t="str">
        <f aca="false">IF(D36="","",ROUND(F36*(1+H36)*(1+MatMarkup)+G36*LaborRate,2))</f>
        <v/>
      </c>
    </row>
    <row r="37" customFormat="false" ht="15" hidden="false" customHeight="false" outlineLevel="0" collapsed="false">
      <c r="B37" s="38"/>
      <c r="C37" s="38"/>
      <c r="D37" s="38"/>
      <c r="E37" s="39"/>
      <c r="F37" s="78"/>
      <c r="G37" s="89"/>
      <c r="H37" s="90"/>
      <c r="I37" s="23" t="str">
        <f aca="false">IF(D37="","",ROUND(F37*(1+H37)*(1+MatMarkup)+G37*LaborRate,2))</f>
        <v/>
      </c>
    </row>
    <row r="38" customFormat="false" ht="15" hidden="false" customHeight="false" outlineLevel="0" collapsed="false">
      <c r="B38" s="38"/>
      <c r="C38" s="38"/>
      <c r="D38" s="38"/>
      <c r="E38" s="39"/>
      <c r="F38" s="78"/>
      <c r="G38" s="89"/>
      <c r="H38" s="90"/>
      <c r="I38" s="23" t="str">
        <f aca="false">IF(D38="","",ROUND(F38*(1+H38)*(1+MatMarkup)+G38*LaborRate,2))</f>
        <v/>
      </c>
    </row>
    <row r="39" customFormat="false" ht="15" hidden="false" customHeight="false" outlineLevel="0" collapsed="false">
      <c r="B39" s="38"/>
      <c r="C39" s="38"/>
      <c r="D39" s="38"/>
      <c r="E39" s="39"/>
      <c r="F39" s="78"/>
      <c r="G39" s="89"/>
      <c r="H39" s="90"/>
      <c r="I39" s="23" t="str">
        <f aca="false">IF(D39="","",ROUND(F39*(1+H39)*(1+MatMarkup)+G39*LaborRate,2))</f>
        <v/>
      </c>
    </row>
    <row r="40" customFormat="false" ht="15" hidden="false" customHeight="false" outlineLevel="0" collapsed="false">
      <c r="B40" s="38"/>
      <c r="C40" s="38"/>
      <c r="D40" s="38"/>
      <c r="E40" s="39"/>
      <c r="F40" s="78"/>
      <c r="G40" s="89"/>
      <c r="H40" s="90"/>
      <c r="I40" s="23" t="str">
        <f aca="false">IF(D40="","",ROUND(F40*(1+H40)*(1+MatMarkup)+G40*LaborRate,2))</f>
        <v/>
      </c>
    </row>
    <row r="41" customFormat="false" ht="15" hidden="false" customHeight="false" outlineLevel="0" collapsed="false">
      <c r="B41" s="38"/>
      <c r="C41" s="38"/>
      <c r="D41" s="38"/>
      <c r="E41" s="39"/>
      <c r="F41" s="78"/>
      <c r="G41" s="89"/>
      <c r="H41" s="90"/>
      <c r="I41" s="23" t="str">
        <f aca="false">IF(D41="","",ROUND(F41*(1+H41)*(1+MatMarkup)+G41*LaborRate,2))</f>
        <v/>
      </c>
    </row>
    <row r="42" customFormat="false" ht="15" hidden="false" customHeight="false" outlineLevel="0" collapsed="false">
      <c r="B42" s="38"/>
      <c r="C42" s="38"/>
      <c r="D42" s="38"/>
      <c r="E42" s="39"/>
      <c r="F42" s="78"/>
      <c r="G42" s="89"/>
      <c r="H42" s="90"/>
      <c r="I42" s="23" t="str">
        <f aca="false">IF(D42="","",ROUND(F42*(1+H42)*(1+MatMarkup)+G42*LaborRate,2))</f>
        <v/>
      </c>
    </row>
    <row r="43" customFormat="false" ht="15" hidden="false" customHeight="false" outlineLevel="0" collapsed="false">
      <c r="B43" s="38"/>
      <c r="C43" s="38"/>
      <c r="D43" s="38"/>
      <c r="E43" s="39"/>
      <c r="F43" s="78"/>
      <c r="G43" s="89"/>
      <c r="H43" s="90"/>
      <c r="I43" s="23" t="str">
        <f aca="false">IF(D43="","",ROUND(F43*(1+H43)*(1+MatMarkup)+G43*LaborRate,2))</f>
        <v/>
      </c>
    </row>
    <row r="44" customFormat="false" ht="15" hidden="false" customHeight="false" outlineLevel="0" collapsed="false">
      <c r="B44" s="38"/>
      <c r="C44" s="38"/>
      <c r="D44" s="38"/>
      <c r="E44" s="39"/>
      <c r="F44" s="78"/>
      <c r="G44" s="89"/>
      <c r="H44" s="90"/>
      <c r="I44" s="23" t="str">
        <f aca="false">IF(D44="","",ROUND(F44*(1+H44)*(1+MatMarkup)+G44*LaborRate,2))</f>
        <v/>
      </c>
    </row>
  </sheetData>
  <sheetProtection sheet="true" formatColumns="false" formatRows="false" sort="false" autoFilter="false"/>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F96"/>
    <pageSetUpPr fitToPage="true"/>
  </sheetPr>
  <dimension ref="B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0"/>
    <col collapsed="false" customWidth="true" hidden="false" outlineLevel="0" max="4" min="4" style="0" width="56"/>
    <col collapsed="false" customWidth="true" hidden="false" outlineLevel="0" max="5" min="5" style="0" width="3"/>
    <col collapsed="false" customWidth="true" hidden="false" outlineLevel="0" max="7" min="6" style="0" width="14"/>
    <col collapsed="false" customWidth="true" hidden="false" outlineLevel="0" max="8" min="8" style="0" width="3"/>
    <col collapsed="false" customWidth="true" hidden="false" outlineLevel="0" max="9" min="9" style="0" width="18"/>
  </cols>
  <sheetData>
    <row r="1" customFormat="false" ht="33.75" hidden="false" customHeight="true" outlineLevel="0" collapsed="false">
      <c r="B1" s="1" t="s">
        <v>296</v>
      </c>
    </row>
    <row r="2" customFormat="false" ht="18" hidden="false" customHeight="true" outlineLevel="0" collapsed="false">
      <c r="B2" s="27" t="s">
        <v>297</v>
      </c>
    </row>
    <row r="4" customFormat="false" ht="25.5" hidden="false" customHeight="true" outlineLevel="0" collapsed="false">
      <c r="B4" s="92" t="s">
        <v>298</v>
      </c>
      <c r="C4" s="92" t="s">
        <v>299</v>
      </c>
      <c r="D4" s="92" t="s">
        <v>300</v>
      </c>
      <c r="F4" s="34" t="s">
        <v>74</v>
      </c>
      <c r="G4" s="34" t="s">
        <v>301</v>
      </c>
      <c r="I4" s="34" t="s">
        <v>302</v>
      </c>
    </row>
    <row r="5" customFormat="false" ht="18.75" hidden="false" customHeight="true" outlineLevel="0" collapsed="false">
      <c r="B5" s="93" t="s">
        <v>303</v>
      </c>
      <c r="C5" s="30" t="s">
        <v>304</v>
      </c>
      <c r="D5" s="94" t="s">
        <v>305</v>
      </c>
      <c r="F5" s="38" t="s">
        <v>85</v>
      </c>
      <c r="G5" s="95" t="n">
        <v>1</v>
      </c>
      <c r="I5" s="38" t="s">
        <v>142</v>
      </c>
    </row>
    <row r="6" customFormat="false" ht="18.75" hidden="false" customHeight="true" outlineLevel="0" collapsed="false">
      <c r="B6" s="93" t="s">
        <v>306</v>
      </c>
      <c r="C6" s="30" t="s">
        <v>307</v>
      </c>
      <c r="D6" s="94" t="s">
        <v>308</v>
      </c>
      <c r="F6" s="38" t="s">
        <v>91</v>
      </c>
      <c r="G6" s="95" t="n">
        <v>1.15</v>
      </c>
      <c r="I6" s="38" t="s">
        <v>71</v>
      </c>
    </row>
    <row r="7" customFormat="false" ht="18.75" hidden="false" customHeight="true" outlineLevel="0" collapsed="false">
      <c r="B7" s="93" t="s">
        <v>309</v>
      </c>
      <c r="C7" s="96" t="n">
        <v>68</v>
      </c>
      <c r="D7" s="94" t="s">
        <v>310</v>
      </c>
      <c r="F7" s="38" t="s">
        <v>107</v>
      </c>
      <c r="G7" s="95" t="n">
        <v>1.35</v>
      </c>
      <c r="I7" s="38" t="s">
        <v>147</v>
      </c>
    </row>
    <row r="8" customFormat="false" ht="18.75" hidden="false" customHeight="true" outlineLevel="0" collapsed="false">
      <c r="B8" s="93" t="s">
        <v>311</v>
      </c>
      <c r="C8" s="96" t="n">
        <v>34</v>
      </c>
      <c r="D8" s="94" t="s">
        <v>312</v>
      </c>
      <c r="I8" s="38"/>
    </row>
    <row r="9" customFormat="false" ht="18.75" hidden="false" customHeight="true" outlineLevel="0" collapsed="false">
      <c r="B9" s="93" t="s">
        <v>313</v>
      </c>
      <c r="C9" s="97" t="n">
        <v>0.25</v>
      </c>
      <c r="D9" s="94" t="s">
        <v>314</v>
      </c>
      <c r="I9" s="38"/>
    </row>
    <row r="10" customFormat="false" ht="18.75" hidden="false" customHeight="true" outlineLevel="0" collapsed="false">
      <c r="B10" s="93" t="s">
        <v>315</v>
      </c>
      <c r="C10" s="98" t="n">
        <v>0.06</v>
      </c>
      <c r="D10" s="94" t="s">
        <v>316</v>
      </c>
    </row>
    <row r="11" customFormat="false" ht="21.75" hidden="false" customHeight="true" outlineLevel="0" collapsed="false">
      <c r="B11" s="93" t="s">
        <v>317</v>
      </c>
      <c r="C11" s="30" t="s">
        <v>318</v>
      </c>
      <c r="D11" s="94" t="s">
        <v>319</v>
      </c>
      <c r="F11" s="34" t="s">
        <v>320</v>
      </c>
      <c r="I11" s="34" t="s">
        <v>321</v>
      </c>
    </row>
    <row r="12" customFormat="false" ht="18.75" hidden="false" customHeight="true" outlineLevel="0" collapsed="false">
      <c r="B12" s="93" t="s">
        <v>322</v>
      </c>
      <c r="C12" s="96" t="n">
        <v>350</v>
      </c>
      <c r="D12" s="94" t="s">
        <v>323</v>
      </c>
      <c r="F12" s="38" t="s">
        <v>318</v>
      </c>
      <c r="I12" s="38" t="s">
        <v>324</v>
      </c>
    </row>
    <row r="13" customFormat="false" ht="18.75" hidden="false" customHeight="true" outlineLevel="0" collapsed="false">
      <c r="B13" s="93" t="s">
        <v>325</v>
      </c>
      <c r="C13" s="97" t="n">
        <v>0.35</v>
      </c>
      <c r="D13" s="94" t="s">
        <v>326</v>
      </c>
      <c r="F13" s="38" t="s">
        <v>327</v>
      </c>
      <c r="I13" s="38" t="s">
        <v>120</v>
      </c>
    </row>
    <row r="14" customFormat="false" ht="18.75" hidden="false" customHeight="true" outlineLevel="0" collapsed="false">
      <c r="B14" s="93" t="s">
        <v>328</v>
      </c>
      <c r="C14" s="99" t="n">
        <v>30</v>
      </c>
      <c r="D14" s="94" t="s">
        <v>329</v>
      </c>
      <c r="I14" s="38" t="s">
        <v>143</v>
      </c>
    </row>
    <row r="15" customFormat="false" ht="18.75" hidden="false" customHeight="true" outlineLevel="0" collapsed="false">
      <c r="B15" s="93" t="s">
        <v>330</v>
      </c>
      <c r="C15" s="97" t="n">
        <v>0.35</v>
      </c>
      <c r="D15" s="94" t="s">
        <v>331</v>
      </c>
      <c r="I15" s="38" t="s">
        <v>154</v>
      </c>
    </row>
    <row r="16" customFormat="false" ht="18.75" hidden="false" customHeight="true" outlineLevel="0" collapsed="false">
      <c r="B16" s="93" t="s">
        <v>332</v>
      </c>
      <c r="C16" s="99" t="n">
        <v>2</v>
      </c>
      <c r="D16" s="94" t="s">
        <v>333</v>
      </c>
      <c r="I16" s="38" t="s">
        <v>148</v>
      </c>
    </row>
    <row r="17" customFormat="false" ht="18.75" hidden="false" customHeight="true" outlineLevel="0" collapsed="false">
      <c r="B17" s="93" t="s">
        <v>334</v>
      </c>
      <c r="C17" s="30" t="s">
        <v>335</v>
      </c>
      <c r="D17" s="94" t="s">
        <v>336</v>
      </c>
    </row>
    <row r="18" customFormat="false" ht="18.75" hidden="false" customHeight="true" outlineLevel="0" collapsed="false">
      <c r="B18" s="93" t="s">
        <v>337</v>
      </c>
      <c r="C18" s="99" t="n">
        <v>1044</v>
      </c>
      <c r="D18" s="94" t="s">
        <v>338</v>
      </c>
    </row>
    <row r="19" customFormat="false" ht="18.75" hidden="false" customHeight="true" outlineLevel="0" collapsed="false">
      <c r="B19" s="93" t="s">
        <v>339</v>
      </c>
      <c r="C19" s="100" t="n">
        <f aca="true">TODAY()</f>
        <v>46307</v>
      </c>
      <c r="D19" s="94" t="s">
        <v>340</v>
      </c>
    </row>
    <row r="22" customFormat="false" ht="15" hidden="false" customHeight="false" outlineLevel="0" collapsed="false">
      <c r="B22" s="26" t="s">
        <v>42</v>
      </c>
    </row>
  </sheetData>
  <sheetProtection sheet="true" formatColumns="false" formatRows="false" sort="false" autoFilter="false"/>
  <dataValidations count="1">
    <dataValidation allowBlank="true" error="Pick a value from the list." errorStyle="stop" errorTitle="Not on the list" operator="between" showDropDown="false" showErrorMessage="true" showInputMessage="false" sqref="C11" type="list">
      <formula1>TaxBasisList</formula1>
      <formula2>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2026-10-12T08:23:01Z</dcterms:created>
  <dc:creator>Brad Leake</dc:creator>
  <dc:description/>
  <dc:language>en-US</dc:language>
  <cp:lastModifiedBy>Brad Leake</cp:lastModifiedBy>
  <dcterms:modified xsi:type="dcterms:W3CDTF">2026-10-12T04:23:03Z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