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0.xml.rels" ContentType="application/vnd.openxmlformats-package.relationships+xml"/>
  <Override PartName="/xl/worksheets/_rels/sheet4.xml.rels" ContentType="application/vnd.openxmlformats-package.relationships+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1.xml" ContentType="application/vnd.openxmlformats-officedocument.spreadsheetml.table+xml"/>
  <Override PartName="/xl/tables/table5.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tart Here" sheetId="1" state="visible" r:id="rId3"/>
    <sheet name="Status Summary" sheetId="2" state="visible" r:id="rId4"/>
    <sheet name="Settings" sheetId="3" state="visible" r:id="rId5"/>
    <sheet name="Rubric" sheetId="4" state="visible" r:id="rId6"/>
    <sheet name="Applications" sheetId="5" state="visible" r:id="rId7"/>
    <sheet name="Score Entry" sheetId="6" state="visible" r:id="rId8"/>
    <sheet name="Assignments" sheetId="7" state="visible" r:id="rId9"/>
    <sheet name="Throughput" sheetId="8" state="visible" r:id="rId10"/>
    <sheet name="Third Reads" sheetId="9" state="visible" r:id="rId11"/>
    <sheet name="Budget Check" sheetId="10" state="visible" r:id="rId12"/>
  </sheets>
  <definedNames>
    <definedName function="false" hidden="false" name="Cutoff" vbProcedure="false">Settings!$C$10</definedName>
    <definedName function="false" hidden="false" name="CycleName" vbProcedure="false">Settings!$C$5</definedName>
    <definedName function="false" hidden="false" name="EligList" vbProcedure="false">Settings!$I$11:$I$12</definedName>
    <definedName function="false" hidden="false" name="PoolList" vbProcedure="false">Settings!$F$16:$F$19</definedName>
    <definedName function="false" hidden="false" name="PoolTotal" vbProcedure="false">Settings!$F$20</definedName>
    <definedName function="false" hidden="false" name="ProgramList" vbProcedure="false">Settings!$E$16:$E$19</definedName>
    <definedName function="false" hidden="false" name="ReadsPerApp" vbProcedure="false">Settings!$C$12</definedName>
    <definedName function="false" hidden="false" name="ReviewerCount" vbProcedure="false">Settings!$C$15</definedName>
    <definedName function="false" hidden="false" name="ReviewerList" vbProcedure="false">Settings!$E$6:$E$11</definedName>
    <definedName function="false" hidden="false" name="RoleList" vbProcedure="false">Settings!$I$6:$I$8</definedName>
    <definedName function="false" hidden="false" name="StatusDate" vbProcedure="false">Settings!$C$8</definedName>
    <definedName function="false" hidden="false" name="StatusDay" vbProcedure="false">Settings!$C$14</definedName>
    <definedName function="false" hidden="false" name="Threshold" vbProcedure="false">Settings!$C$9</definedName>
    <definedName function="false" hidden="false" name="Tolerance" vbProcedure="false">Settings!$C$11</definedName>
    <definedName function="false" hidden="false" name="WindowEnd" vbProcedure="false">Settings!$C$7</definedName>
    <definedName function="false" hidden="false" name="WindowStart" vbProcedure="false">Settings!$C$6</definedName>
    <definedName function="false" hidden="false" name="WorkDays" vbProcedure="false">Settings!$C$13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<sst xmlns="http://schemas.openxmlformats.org/spreadsheetml/2006/main" count="9760" uniqueCount="2597">
  <si>
    <t xml:space="preserve">Grant Review Operations Tracker</t>
  </si>
  <si>
    <t xml:space="preserve">Halden Table Fund, FY2026 Fall Community Grants cycle. Sample data. All names, organizations, and figures are fictional.</t>
  </si>
  <si>
    <t xml:space="preserve">What this workbook does</t>
  </si>
  <si>
    <t xml:space="preserve">It runs one grant review cycle from start to finish. It tracks every application, who is reviewing it, the scores each reviewer enters, how fast the panel is moving against its target pace, which applications need a third reader because the first two scores disagree, and whether the recommended awards fit inside each program's budget.</t>
  </si>
  <si>
    <t xml:space="preserve">Who uses it</t>
  </si>
  <si>
    <t xml:space="preserve">The review coordinator keeps it up to date every day. Reviewers enter scores on the Score Entry sheet. Program leadership reads the Status Summary sheet.</t>
  </si>
  <si>
    <t xml:space="preserve">How to run a cycle</t>
  </si>
  <si>
    <t xml:space="preserve">1. Settings</t>
  </si>
  <si>
    <t xml:space="preserve">Enter the cycle name, scoring window, status date, disagreement threshold, funding cutoff score, reviewer list, and each program's available pool.</t>
  </si>
  <si>
    <t xml:space="preserve">2. Rubric</t>
  </si>
  <si>
    <t xml:space="preserve">Confirm the six criteria and their weights. The weights must add up to 100 percent, and the sheet shows a check if they do not.</t>
  </si>
  <si>
    <t xml:space="preserve">3. Applications</t>
  </si>
  <si>
    <t xml:space="preserve">Paste or type one row per application in the gold columns. Assign Reviewer 1 and Reviewer 2 from the dropdown lists. Everything to the right of the gold columns is calculated.</t>
  </si>
  <si>
    <t xml:space="preserve">4. Assignments</t>
  </si>
  <si>
    <t xml:space="preserve">Check the balancing table before scoring starts. Any reviewer more than the tolerance above or below the average load is flagged, and the checks at the bottom catch duplicate or missing assignments.</t>
  </si>
  <si>
    <t xml:space="preserve">5. Score Entry</t>
  </si>
  <si>
    <t xml:space="preserve">Each reviewer adds one row per application with a score from 1 to 5 on each criterion. The weighted score and the assignment check fill in on their own.</t>
  </si>
  <si>
    <t xml:space="preserve">6. Throughput</t>
  </si>
  <si>
    <t xml:space="preserve">Shows reviews completed each day against the target pace, the burn-down of remaining reviews, and each reviewer's daily output.</t>
  </si>
  <si>
    <t xml:space="preserve">7. Third Reads</t>
  </si>
  <si>
    <t xml:space="preserve">Lists every application whose two scores differ by the threshold or more. Assign a third reader in the Applications sheet, and the list shows when the third score is in.</t>
  </si>
  <si>
    <t xml:space="preserve">8. Budget Check</t>
  </si>
  <si>
    <t xml:space="preserve">Compares recommended awards at the cutoff score with each program's pool and shows the score where each program's money runs out.</t>
  </si>
  <si>
    <t xml:space="preserve">9. Status Summary</t>
  </si>
  <si>
    <t xml:space="preserve">A one-page view for leadership that pulls from every other sheet.</t>
  </si>
  <si>
    <t xml:space="preserve">Cell colors</t>
  </si>
  <si>
    <t xml:space="preserve">Gold fill, blue text</t>
  </si>
  <si>
    <t xml:space="preserve">An input. Type or choose a value here.</t>
  </si>
  <si>
    <t xml:space="preserve">White fill, dark text</t>
  </si>
  <si>
    <t xml:space="preserve">A formula. Do not type over it.</t>
  </si>
  <si>
    <t xml:space="preserve">Plum header</t>
  </si>
  <si>
    <t xml:space="preserve">A table header. Tables expand when you add a row directly below them.</t>
  </si>
  <si>
    <t xml:space="preserve">About the data</t>
  </si>
  <si>
    <t xml:space="preserve">Sample data. All names, organizations, and figures are fictional. The cycle shown is at the end of its scoring window, with a few reviews still outstanding, so every check in the workbook has something to show.</t>
  </si>
  <si>
    <t xml:space="preserve">Review status summary</t>
  </si>
  <si>
    <t xml:space="preserve">Applications and scoring</t>
  </si>
  <si>
    <t xml:space="preserve">Third reads and decisions</t>
  </si>
  <si>
    <t xml:space="preserve">Items to resolve</t>
  </si>
  <si>
    <t xml:space="preserve">Applications received</t>
  </si>
  <si>
    <t xml:space="preserve">Applications needing a third read</t>
  </si>
  <si>
    <t xml:space="preserve">Screened out at eligibility</t>
  </si>
  <si>
    <t xml:space="preserve">Third reads done</t>
  </si>
  <si>
    <t xml:space="preserve">Eligible applications in review</t>
  </si>
  <si>
    <t xml:space="preserve">Applications with a final score</t>
  </si>
  <si>
    <t xml:space="preserve">First and second reads done</t>
  </si>
  <si>
    <t xml:space="preserve">Recommended at the cutoff score</t>
  </si>
  <si>
    <t xml:space="preserve">First and second reads required</t>
  </si>
  <si>
    <t xml:space="preserve">Recommended dollars</t>
  </si>
  <si>
    <t xml:space="preserve">Share of reads done</t>
  </si>
  <si>
    <t xml:space="preserve">Total available pool</t>
  </si>
  <si>
    <t xml:space="preserve">Projected finish date</t>
  </si>
  <si>
    <t xml:space="preserve">Pool left after recommendations</t>
  </si>
  <si>
    <t xml:space="preserve">Progress and budget by program</t>
  </si>
  <si>
    <t xml:space="preserve">Program</t>
  </si>
  <si>
    <t xml:space="preserve">Eligible</t>
  </si>
  <si>
    <t xml:space="preserve">With final score</t>
  </si>
  <si>
    <t xml:space="preserve">Recommended</t>
  </si>
  <si>
    <t xml:space="preserve">Available pool</t>
  </si>
  <si>
    <t xml:space="preserve">Pool used</t>
  </si>
  <si>
    <t xml:space="preserve">Over or under</t>
  </si>
  <si>
    <t xml:space="preserve">Reviewer progress</t>
  </si>
  <si>
    <t xml:space="preserve">Reviewer</t>
  </si>
  <si>
    <t xml:space="preserve">Assigned</t>
  </si>
  <si>
    <t xml:space="preserve">Completed</t>
  </si>
  <si>
    <t xml:space="preserve">Remaining</t>
  </si>
  <si>
    <t xml:space="preserve">Percent complete</t>
  </si>
  <si>
    <t xml:space="preserve">Balance</t>
  </si>
  <si>
    <t xml:space="preserve">Settings</t>
  </si>
  <si>
    <t xml:space="preserve">Cycle inputs used by every other sheet. Change the gold cells only.</t>
  </si>
  <si>
    <t xml:space="preserve">Cycle inputs</t>
  </si>
  <si>
    <t xml:space="preserve">Reviewers</t>
  </si>
  <si>
    <t xml:space="preserve">Lists</t>
  </si>
  <si>
    <t xml:space="preserve">Cycle name</t>
  </si>
  <si>
    <t xml:space="preserve">FY2026 Fall Community Grants</t>
  </si>
  <si>
    <t xml:space="preserve">Role</t>
  </si>
  <si>
    <t xml:space="preserve">First scoring day</t>
  </si>
  <si>
    <t xml:space="preserve">Reviewer role</t>
  </si>
  <si>
    <t xml:space="preserve">Scoring window start</t>
  </si>
  <si>
    <t xml:space="preserve">Alicia Moreno</t>
  </si>
  <si>
    <t xml:space="preserve">Program officer</t>
  </si>
  <si>
    <t xml:space="preserve">Primary</t>
  </si>
  <si>
    <t xml:space="preserve">Scoring window end</t>
  </si>
  <si>
    <t xml:space="preserve">Ben Okafor</t>
  </si>
  <si>
    <t xml:space="preserve">Secondary</t>
  </si>
  <si>
    <t xml:space="preserve">Status date (report as of)</t>
  </si>
  <si>
    <t xml:space="preserve">Rafael Ortiz</t>
  </si>
  <si>
    <t xml:space="preserve">Third</t>
  </si>
  <si>
    <t xml:space="preserve">Disagreement threshold (points out of 100)</t>
  </si>
  <si>
    <t xml:space="preserve">Erin Walsh</t>
  </si>
  <si>
    <t xml:space="preserve">Community reviewer</t>
  </si>
  <si>
    <t xml:space="preserve">Funding cutoff score (out of 100)</t>
  </si>
  <si>
    <t xml:space="preserve">Frank Delgado</t>
  </si>
  <si>
    <t xml:space="preserve">Eligibility</t>
  </si>
  <si>
    <t xml:space="preserve">Balance tolerance (share above or below average load)</t>
  </si>
  <si>
    <t xml:space="preserve">Grace Kim</t>
  </si>
  <si>
    <t xml:space="preserve">Reads per application before a third read</t>
  </si>
  <si>
    <t xml:space="preserve">Screened out</t>
  </si>
  <si>
    <t xml:space="preserve">Working days in scoring window</t>
  </si>
  <si>
    <t xml:space="preserve">Status day of the window</t>
  </si>
  <si>
    <t xml:space="preserve">Program pools</t>
  </si>
  <si>
    <t xml:space="preserve">Reviewers on the panel</t>
  </si>
  <si>
    <t xml:space="preserve">Largest single award</t>
  </si>
  <si>
    <t xml:space="preserve">Changing the threshold, cutoff, or tolerance updates every flag and total.</t>
  </si>
  <si>
    <t xml:space="preserve">Full Plate</t>
  </si>
  <si>
    <t xml:space="preserve">Growing Roots</t>
  </si>
  <si>
    <t xml:space="preserve">Kitchen to Career</t>
  </si>
  <si>
    <t xml:space="preserve">Neighborhood Tables</t>
  </si>
  <si>
    <t xml:space="preserve">Total</t>
  </si>
  <si>
    <t xml:space="preserve">Scoring rubric</t>
  </si>
  <si>
    <t xml:space="preserve">Reviewers score each criterion from 1 to 5. The weighted score converts the six scores to a 100-point scale.</t>
  </si>
  <si>
    <t xml:space="preserve">Criterion</t>
  </si>
  <si>
    <t xml:space="preserve">What reviewers look for</t>
  </si>
  <si>
    <t xml:space="preserve">Weight</t>
  </si>
  <si>
    <t xml:space="preserve">A score of 1 means</t>
  </si>
  <si>
    <t xml:space="preserve">A score of 3 means</t>
  </si>
  <si>
    <t xml:space="preserve">A score of 5 means</t>
  </si>
  <si>
    <t xml:space="preserve">Community need</t>
  </si>
  <si>
    <t xml:space="preserve">The applicant shows clear evidence of food insecurity or a related need in the community it serves.</t>
  </si>
  <si>
    <t xml:space="preserve">Need is asserted with little evidence.</t>
  </si>
  <si>
    <t xml:space="preserve">Need is described with some local data.</t>
  </si>
  <si>
    <t xml:space="preserve">Need is documented with local data and voices from the community.</t>
  </si>
  <si>
    <t xml:space="preserve">Program design</t>
  </si>
  <si>
    <t xml:space="preserve">Activities are realistic, well sequenced, and likely to produce the stated results.</t>
  </si>
  <si>
    <t xml:space="preserve">Activities are vague or do not connect to results.</t>
  </si>
  <si>
    <t xml:space="preserve">Activities are clear but some steps are missing.</t>
  </si>
  <si>
    <t xml:space="preserve">Activities are specific, realistic, and tied to each result.</t>
  </si>
  <si>
    <t xml:space="preserve">Equity and community voice</t>
  </si>
  <si>
    <t xml:space="preserve">People most affected help shape the work, and the project reaches groups that are often left out.</t>
  </si>
  <si>
    <t xml:space="preserve">Little sign of community input.</t>
  </si>
  <si>
    <t xml:space="preserve">Some community input or outreach.</t>
  </si>
  <si>
    <t xml:space="preserve">Community members help lead or govern the project.</t>
  </si>
  <si>
    <t xml:space="preserve">Organizational capacity</t>
  </si>
  <si>
    <t xml:space="preserve">The organization has the staff, partners, and track record to deliver.</t>
  </si>
  <si>
    <t xml:space="preserve">Capacity is unclear or thin.</t>
  </si>
  <si>
    <t xml:space="preserve">Capacity is adequate with some gaps.</t>
  </si>
  <si>
    <t xml:space="preserve">Strong staff, partners, and a record of similar work.</t>
  </si>
  <si>
    <t xml:space="preserve">Budget</t>
  </si>
  <si>
    <t xml:space="preserve">The budget is reasonable, matches the plan, and shows other support.</t>
  </si>
  <si>
    <t xml:space="preserve">Budget does not match the plan.</t>
  </si>
  <si>
    <t xml:space="preserve">Budget mostly matches the plan.</t>
  </si>
  <si>
    <t xml:space="preserve">Budget is clear, reasonable, and shows other funding.</t>
  </si>
  <si>
    <t xml:space="preserve">Measurable results</t>
  </si>
  <si>
    <t xml:space="preserve">The applicant names results it can count and explains how it will track them.</t>
  </si>
  <si>
    <t xml:space="preserve">No measurable results.</t>
  </si>
  <si>
    <t xml:space="preserve">Some results with unclear tracking.</t>
  </si>
  <si>
    <t xml:space="preserve">Specific results with a clear tracking method.</t>
  </si>
  <si>
    <t xml:space="preserve">Total weight</t>
  </si>
  <si>
    <t xml:space="preserve">Weighted score = (sum of each criterion score times its weight) divided by 5, times 100. A reviewer who scores every criterion a 3 produces a weighted score of 60.</t>
  </si>
  <si>
    <t xml:space="preserve">Final score = the average of the two reviewers' weighted scores, or the average of all three when a third read was needed.</t>
  </si>
  <si>
    <t xml:space="preserve">Applications</t>
  </si>
  <si>
    <t xml:space="preserve">One row per application. Gold columns are inputs; every other column is calculated from Score Entry and Settings.</t>
  </si>
  <si>
    <t xml:space="preserve">Application ID</t>
  </si>
  <si>
    <t xml:space="preserve">Organization</t>
  </si>
  <si>
    <t xml:space="preserve">Region</t>
  </si>
  <si>
    <t xml:space="preserve">Country</t>
  </si>
  <si>
    <t xml:space="preserve">Request amount</t>
  </si>
  <si>
    <t xml:space="preserve">Submitted</t>
  </si>
  <si>
    <t xml:space="preserve">Reviewer 1</t>
  </si>
  <si>
    <t xml:space="preserve">Reviewer 2</t>
  </si>
  <si>
    <t xml:space="preserve">Third reader</t>
  </si>
  <si>
    <t xml:space="preserve">Reviewer 1 score</t>
  </si>
  <si>
    <t xml:space="preserve">Reviewer 2 score</t>
  </si>
  <si>
    <t xml:space="preserve">Score gap</t>
  </si>
  <si>
    <t xml:space="preserve">Needs third read</t>
  </si>
  <si>
    <t xml:space="preserve">Third read score</t>
  </si>
  <si>
    <t xml:space="preserve">Final score</t>
  </si>
  <si>
    <t xml:space="preserve">Review status</t>
  </si>
  <si>
    <t xml:space="preserve">Rank in program</t>
  </si>
  <si>
    <t xml:space="preserve">Recommended award</t>
  </si>
  <si>
    <t xml:space="preserve">Cumulative award by rank</t>
  </si>
  <si>
    <t xml:space="preserve">Within pool</t>
  </si>
  <si>
    <t xml:space="preserve">Third read number</t>
  </si>
  <si>
    <t xml:space="preserve">FA26-0001</t>
  </si>
  <si>
    <t xml:space="preserve">Boise Farm Collective</t>
  </si>
  <si>
    <t xml:space="preserve">North America</t>
  </si>
  <si>
    <t xml:space="preserve">United States</t>
  </si>
  <si>
    <t xml:space="preserve">FA26-0002</t>
  </si>
  <si>
    <t xml:space="preserve">Tulsa Cafe Training Program</t>
  </si>
  <si>
    <t xml:space="preserve">FA26-0003</t>
  </si>
  <si>
    <t xml:space="preserve">Bristol Family Center</t>
  </si>
  <si>
    <t xml:space="preserve">Europe</t>
  </si>
  <si>
    <t xml:space="preserve">United Kingdom</t>
  </si>
  <si>
    <t xml:space="preserve">FA26-0004</t>
  </si>
  <si>
    <t xml:space="preserve">Southfield Food Ventures</t>
  </si>
  <si>
    <t xml:space="preserve">FA26-0005</t>
  </si>
  <si>
    <t xml:space="preserve">Denver Schools Nutrition Fund</t>
  </si>
  <si>
    <t xml:space="preserve">FA26-0006</t>
  </si>
  <si>
    <t xml:space="preserve">Copper Hill Kitchen Project</t>
  </si>
  <si>
    <t xml:space="preserve">FA26-0007</t>
  </si>
  <si>
    <t xml:space="preserve">Prairie Schools Nutrition Fund</t>
  </si>
  <si>
    <t xml:space="preserve">Africa</t>
  </si>
  <si>
    <t xml:space="preserve">Ghana</t>
  </si>
  <si>
    <t xml:space="preserve">FA26-0008</t>
  </si>
  <si>
    <t xml:space="preserve">Parkside Cafe Training Program</t>
  </si>
  <si>
    <t xml:space="preserve">FA26-0009</t>
  </si>
  <si>
    <t xml:space="preserve">Tulsa Pantry Network</t>
  </si>
  <si>
    <t xml:space="preserve">FA26-0010</t>
  </si>
  <si>
    <t xml:space="preserve">Wichita Bakery Collective</t>
  </si>
  <si>
    <t xml:space="preserve">FA26-0011</t>
  </si>
  <si>
    <t xml:space="preserve">Crossroads Bakery Collective</t>
  </si>
  <si>
    <t xml:space="preserve">FA26-0012</t>
  </si>
  <si>
    <t xml:space="preserve">Albany Schools Nutrition Fund</t>
  </si>
  <si>
    <t xml:space="preserve">FA26-0013</t>
  </si>
  <si>
    <t xml:space="preserve">Hillcrest Food Ventures</t>
  </si>
  <si>
    <t xml:space="preserve">FA26-0014</t>
  </si>
  <si>
    <t xml:space="preserve">Mill Creek Youth Food Lab</t>
  </si>
  <si>
    <t xml:space="preserve">FA26-0015</t>
  </si>
  <si>
    <t xml:space="preserve">Glasgow Meals Project</t>
  </si>
  <si>
    <t xml:space="preserve">FA26-0016</t>
  </si>
  <si>
    <t xml:space="preserve">Sunrise Bakery Collective</t>
  </si>
  <si>
    <t xml:space="preserve">FA26-0017</t>
  </si>
  <si>
    <t xml:space="preserve">Fresno Mobile Market</t>
  </si>
  <si>
    <t xml:space="preserve">FA26-0018</t>
  </si>
  <si>
    <t xml:space="preserve">Louisville Food Bank</t>
  </si>
  <si>
    <t xml:space="preserve">FA26-0019</t>
  </si>
  <si>
    <t xml:space="preserve">Akron Farm School</t>
  </si>
  <si>
    <t xml:space="preserve">FA26-0020</t>
  </si>
  <si>
    <t xml:space="preserve">Southfield Family Center</t>
  </si>
  <si>
    <t xml:space="preserve">Netherlands</t>
  </si>
  <si>
    <t xml:space="preserve">FA26-0021</t>
  </si>
  <si>
    <t xml:space="preserve">Fairmount Cafe Training Program</t>
  </si>
  <si>
    <t xml:space="preserve">Asia Pacific</t>
  </si>
  <si>
    <t xml:space="preserve">Australia</t>
  </si>
  <si>
    <t xml:space="preserve">FA26-0022</t>
  </si>
  <si>
    <t xml:space="preserve">Cardiff Market Gardens</t>
  </si>
  <si>
    <t xml:space="preserve">FA26-0023</t>
  </si>
  <si>
    <t xml:space="preserve">High Plains Farm Collective</t>
  </si>
  <si>
    <t xml:space="preserve">Philippines</t>
  </si>
  <si>
    <t xml:space="preserve">FA26-0024</t>
  </si>
  <si>
    <t xml:space="preserve">Cardiff Seed Library</t>
  </si>
  <si>
    <t xml:space="preserve">FA26-0025</t>
  </si>
  <si>
    <t xml:space="preserve">Halifax Food Ventures</t>
  </si>
  <si>
    <t xml:space="preserve">Canada</t>
  </si>
  <si>
    <t xml:space="preserve">FA26-0026</t>
  </si>
  <si>
    <t xml:space="preserve">Tucson Meals Project</t>
  </si>
  <si>
    <t xml:space="preserve">FA26-0027</t>
  </si>
  <si>
    <t xml:space="preserve">Akron Youth Food Lab</t>
  </si>
  <si>
    <t xml:space="preserve">FA26-0028</t>
  </si>
  <si>
    <t xml:space="preserve">Parkside Family Center</t>
  </si>
  <si>
    <t xml:space="preserve">Latin America</t>
  </si>
  <si>
    <t xml:space="preserve">Mexico</t>
  </si>
  <si>
    <t xml:space="preserve">FA26-0029</t>
  </si>
  <si>
    <t xml:space="preserve">Adelaide Seed Library</t>
  </si>
  <si>
    <t xml:space="preserve">FA26-0030</t>
  </si>
  <si>
    <t xml:space="preserve">Bluestem Kitchen Project</t>
  </si>
  <si>
    <t xml:space="preserve">FA26-0031</t>
  </si>
  <si>
    <t xml:space="preserve">Bogotá Bakery Collective</t>
  </si>
  <si>
    <t xml:space="preserve">Colombia</t>
  </si>
  <si>
    <t xml:space="preserve">FA26-0032</t>
  </si>
  <si>
    <t xml:space="preserve">Omaha Food Bank</t>
  </si>
  <si>
    <t xml:space="preserve">FA26-0033</t>
  </si>
  <si>
    <t xml:space="preserve">Dublin Food Ventures</t>
  </si>
  <si>
    <t xml:space="preserve">Ireland</t>
  </si>
  <si>
    <t xml:space="preserve">FA26-0034</t>
  </si>
  <si>
    <t xml:space="preserve">Arequipa Food Bank</t>
  </si>
  <si>
    <t xml:space="preserve">Peru</t>
  </si>
  <si>
    <t xml:space="preserve">FA26-0035</t>
  </si>
  <si>
    <t xml:space="preserve">Lakeshore Food Bank</t>
  </si>
  <si>
    <t xml:space="preserve">India</t>
  </si>
  <si>
    <t xml:space="preserve">FA26-0036</t>
  </si>
  <si>
    <t xml:space="preserve">Tamale Meals Project</t>
  </si>
  <si>
    <t xml:space="preserve">FA26-0037</t>
  </si>
  <si>
    <t xml:space="preserve">Willow Run Farm School</t>
  </si>
  <si>
    <t xml:space="preserve">FA26-0038</t>
  </si>
  <si>
    <t xml:space="preserve">Hamilton Food Bank</t>
  </si>
  <si>
    <t xml:space="preserve">FA26-0039</t>
  </si>
  <si>
    <t xml:space="preserve">Southfield Culinary Works</t>
  </si>
  <si>
    <t xml:space="preserve">FA26-0040</t>
  </si>
  <si>
    <t xml:space="preserve">Commonground Farm Collective</t>
  </si>
  <si>
    <t xml:space="preserve">Germany</t>
  </si>
  <si>
    <t xml:space="preserve">FA26-0041</t>
  </si>
  <si>
    <t xml:space="preserve">Marigold Family Center</t>
  </si>
  <si>
    <t xml:space="preserve">FA26-0042</t>
  </si>
  <si>
    <t xml:space="preserve">Bluestem Pantry Network</t>
  </si>
  <si>
    <t xml:space="preserve">FA26-0043</t>
  </si>
  <si>
    <t xml:space="preserve">Toronto Farm Collective</t>
  </si>
  <si>
    <t xml:space="preserve">FA26-0044</t>
  </si>
  <si>
    <t xml:space="preserve">Columbus Youth Food Lab</t>
  </si>
  <si>
    <t xml:space="preserve">FA26-0045</t>
  </si>
  <si>
    <t xml:space="preserve">High Plains Food Bank</t>
  </si>
  <si>
    <t xml:space="preserve">FA26-0046</t>
  </si>
  <si>
    <t xml:space="preserve">Chennai Meals Project</t>
  </si>
  <si>
    <t xml:space="preserve">FA26-0047</t>
  </si>
  <si>
    <t xml:space="preserve">Louisville Culinary Works</t>
  </si>
  <si>
    <t xml:space="preserve">FA26-0048</t>
  </si>
  <si>
    <t xml:space="preserve">Thistle Pantry Network</t>
  </si>
  <si>
    <t xml:space="preserve">FA26-0049</t>
  </si>
  <si>
    <t xml:space="preserve">Toronto Market Gardens</t>
  </si>
  <si>
    <t xml:space="preserve">FA26-0050</t>
  </si>
  <si>
    <t xml:space="preserve">Flint Mobile Market</t>
  </si>
  <si>
    <t xml:space="preserve">FA26-0051</t>
  </si>
  <si>
    <t xml:space="preserve">Dublin Family Center</t>
  </si>
  <si>
    <t xml:space="preserve">FA26-0052</t>
  </si>
  <si>
    <t xml:space="preserve">Tucson Culinary Works</t>
  </si>
  <si>
    <t xml:space="preserve">FA26-0053</t>
  </si>
  <si>
    <t xml:space="preserve">Winnipeg Mobile Market</t>
  </si>
  <si>
    <t xml:space="preserve">FA26-0054</t>
  </si>
  <si>
    <t xml:space="preserve">Eastside Bakery Collective</t>
  </si>
  <si>
    <t xml:space="preserve">Kenya</t>
  </si>
  <si>
    <t xml:space="preserve">FA26-0055</t>
  </si>
  <si>
    <t xml:space="preserve">Lakeshore Schools Nutrition Fund</t>
  </si>
  <si>
    <t xml:space="preserve">FA26-0056</t>
  </si>
  <si>
    <t xml:space="preserve">Fairmount Food Bank</t>
  </si>
  <si>
    <t xml:space="preserve">FA26-0057</t>
  </si>
  <si>
    <t xml:space="preserve">Eastside Schools Nutrition Fund</t>
  </si>
  <si>
    <t xml:space="preserve">FA26-0058</t>
  </si>
  <si>
    <t xml:space="preserve">Cedar Market Gardens</t>
  </si>
  <si>
    <t xml:space="preserve">FA26-0059</t>
  </si>
  <si>
    <t xml:space="preserve">Louisville Community Pantry</t>
  </si>
  <si>
    <t xml:space="preserve">FA26-0060</t>
  </si>
  <si>
    <t xml:space="preserve">Copper Hill Food Shelf</t>
  </si>
  <si>
    <t xml:space="preserve">FA26-0061</t>
  </si>
  <si>
    <t xml:space="preserve">Fairmount Market Gardens</t>
  </si>
  <si>
    <t xml:space="preserve">FA26-0062</t>
  </si>
  <si>
    <t xml:space="preserve">Maple Street Mobile Market</t>
  </si>
  <si>
    <t xml:space="preserve">FA26-0063</t>
  </si>
  <si>
    <t xml:space="preserve">Riverbend Pantry Network</t>
  </si>
  <si>
    <t xml:space="preserve">FA26-0064</t>
  </si>
  <si>
    <t xml:space="preserve">Good Neighbor Food Shelf</t>
  </si>
  <si>
    <t xml:space="preserve">FA26-0065</t>
  </si>
  <si>
    <t xml:space="preserve">Lakeshore Bakery Collective</t>
  </si>
  <si>
    <t xml:space="preserve">FA26-0066</t>
  </si>
  <si>
    <t xml:space="preserve">Wichita Food Ventures</t>
  </si>
  <si>
    <t xml:space="preserve">FA26-0067</t>
  </si>
  <si>
    <t xml:space="preserve">Milwaukee Food Bank</t>
  </si>
  <si>
    <t xml:space="preserve">FA26-0068</t>
  </si>
  <si>
    <t xml:space="preserve">Willow Run Community Kitchen</t>
  </si>
  <si>
    <t xml:space="preserve">FA26-0069</t>
  </si>
  <si>
    <t xml:space="preserve">Cali Family Center</t>
  </si>
  <si>
    <t xml:space="preserve">FA26-0070</t>
  </si>
  <si>
    <t xml:space="preserve">Des Moines Food Bank</t>
  </si>
  <si>
    <t xml:space="preserve">FA26-0071</t>
  </si>
  <si>
    <t xml:space="preserve">Durham Youth Food Lab</t>
  </si>
  <si>
    <t xml:space="preserve">FA26-0072</t>
  </si>
  <si>
    <t xml:space="preserve">Fresno Community Pantry</t>
  </si>
  <si>
    <t xml:space="preserve">FA26-0073</t>
  </si>
  <si>
    <t xml:space="preserve">Crossroads Food Shelf</t>
  </si>
  <si>
    <t xml:space="preserve">FA26-0074</t>
  </si>
  <si>
    <t xml:space="preserve">Galway Food Ventures</t>
  </si>
  <si>
    <t xml:space="preserve">FA26-0075</t>
  </si>
  <si>
    <t xml:space="preserve">Glasgow Bakery Collective</t>
  </si>
  <si>
    <t xml:space="preserve">FA26-0076</t>
  </si>
  <si>
    <t xml:space="preserve">Quezon City Meals Project</t>
  </si>
  <si>
    <t xml:space="preserve">FA26-0077</t>
  </si>
  <si>
    <t xml:space="preserve">Linden Youth Food Lab</t>
  </si>
  <si>
    <t xml:space="preserve">FA26-0078</t>
  </si>
  <si>
    <t xml:space="preserve">Omaha Culinary Works</t>
  </si>
  <si>
    <t xml:space="preserve">FA26-0079</t>
  </si>
  <si>
    <t xml:space="preserve">Open Door Food Bank</t>
  </si>
  <si>
    <t xml:space="preserve">FA26-0080</t>
  </si>
  <si>
    <t xml:space="preserve">Commonground Cafe Training Program</t>
  </si>
  <si>
    <t xml:space="preserve">FA26-0081</t>
  </si>
  <si>
    <t xml:space="preserve">Dayton Youth Food Lab</t>
  </si>
  <si>
    <t xml:space="preserve">FA26-0082</t>
  </si>
  <si>
    <t xml:space="preserve">Pune Farm Collective</t>
  </si>
  <si>
    <t xml:space="preserve">FA26-0083</t>
  </si>
  <si>
    <t xml:space="preserve">Lakeshore Community Kitchen</t>
  </si>
  <si>
    <t xml:space="preserve">FA26-0084</t>
  </si>
  <si>
    <t xml:space="preserve">Sheffield Community Pantry</t>
  </si>
  <si>
    <t xml:space="preserve">FA26-0085</t>
  </si>
  <si>
    <t xml:space="preserve">Prairie Growers Cooperative</t>
  </si>
  <si>
    <t xml:space="preserve">FA26-0086</t>
  </si>
  <si>
    <t xml:space="preserve">Cape Town Family Center</t>
  </si>
  <si>
    <t xml:space="preserve">South Africa</t>
  </si>
  <si>
    <t xml:space="preserve">FA26-0087</t>
  </si>
  <si>
    <t xml:space="preserve">Tidewater Food Shelf</t>
  </si>
  <si>
    <t xml:space="preserve">FA26-0088</t>
  </si>
  <si>
    <t xml:space="preserve">Des Moines Mobile Market</t>
  </si>
  <si>
    <t xml:space="preserve">FA26-0089</t>
  </si>
  <si>
    <t xml:space="preserve">Harbor Mobile Market</t>
  </si>
  <si>
    <t xml:space="preserve">FA26-0090</t>
  </si>
  <si>
    <t xml:space="preserve">Marigold Youth Food Lab</t>
  </si>
  <si>
    <t xml:space="preserve">FA26-0091</t>
  </si>
  <si>
    <t xml:space="preserve">Cedar Bakery Collective</t>
  </si>
  <si>
    <t xml:space="preserve">FA26-0092</t>
  </si>
  <si>
    <t xml:space="preserve">Memphis Kitchen Project</t>
  </si>
  <si>
    <t xml:space="preserve">FA26-0093</t>
  </si>
  <si>
    <t xml:space="preserve">Pittsburgh Meals Project</t>
  </si>
  <si>
    <t xml:space="preserve">FA26-0094</t>
  </si>
  <si>
    <t xml:space="preserve">Calgary Food Bank</t>
  </si>
  <si>
    <t xml:space="preserve">FA26-0095</t>
  </si>
  <si>
    <t xml:space="preserve">Ironwood Mobile Market</t>
  </si>
  <si>
    <t xml:space="preserve">FA26-0096</t>
  </si>
  <si>
    <t xml:space="preserve">Tucson Community Kitchen</t>
  </si>
  <si>
    <t xml:space="preserve">FA26-0097</t>
  </si>
  <si>
    <t xml:space="preserve">Jaipur Pantry Network</t>
  </si>
  <si>
    <t xml:space="preserve">FA26-0098</t>
  </si>
  <si>
    <t xml:space="preserve">Kestrel Youth Food Lab</t>
  </si>
  <si>
    <t xml:space="preserve">FA26-0099</t>
  </si>
  <si>
    <t xml:space="preserve">Southfield Bakery Collective</t>
  </si>
  <si>
    <t xml:space="preserve">FA26-0100</t>
  </si>
  <si>
    <t xml:space="preserve">Jaipur Farm School</t>
  </si>
  <si>
    <t xml:space="preserve">FA26-0101</t>
  </si>
  <si>
    <t xml:space="preserve">Halifax Seed Library</t>
  </si>
  <si>
    <t xml:space="preserve">FA26-0102</t>
  </si>
  <si>
    <t xml:space="preserve">Memphis Community Kitchen</t>
  </si>
  <si>
    <t xml:space="preserve">FA26-0103</t>
  </si>
  <si>
    <t xml:space="preserve">Dublin Food Bank</t>
  </si>
  <si>
    <t xml:space="preserve">FA26-0104</t>
  </si>
  <si>
    <t xml:space="preserve">Willow Run Growers Cooperative</t>
  </si>
  <si>
    <t xml:space="preserve">FA26-0105</t>
  </si>
  <si>
    <t xml:space="preserve">Good Neighbor Youth Food Lab</t>
  </si>
  <si>
    <t xml:space="preserve">FA26-0106</t>
  </si>
  <si>
    <t xml:space="preserve">Buffalo Food Bank</t>
  </si>
  <si>
    <t xml:space="preserve">FA26-0107</t>
  </si>
  <si>
    <t xml:space="preserve">Jaipur Kitchen Project</t>
  </si>
  <si>
    <t xml:space="preserve">FA26-0108</t>
  </si>
  <si>
    <t xml:space="preserve">Dayton Community Kitchen</t>
  </si>
  <si>
    <t xml:space="preserve">FA26-0109</t>
  </si>
  <si>
    <t xml:space="preserve">Mombasa Youth Food Lab</t>
  </si>
  <si>
    <t xml:space="preserve">FA26-0110</t>
  </si>
  <si>
    <t xml:space="preserve">Stonebridge Mobile Market</t>
  </si>
  <si>
    <t xml:space="preserve">FA26-0111</t>
  </si>
  <si>
    <t xml:space="preserve">Cardiff Meals Project</t>
  </si>
  <si>
    <t xml:space="preserve">FA26-0112</t>
  </si>
  <si>
    <t xml:space="preserve">Two Rivers Kitchen Project</t>
  </si>
  <si>
    <t xml:space="preserve">FA26-0113</t>
  </si>
  <si>
    <t xml:space="preserve">Jaipur Food Shelf</t>
  </si>
  <si>
    <t xml:space="preserve">FA26-0114</t>
  </si>
  <si>
    <t xml:space="preserve">Fairmount Bakery Collective</t>
  </si>
  <si>
    <t xml:space="preserve">FA26-0115</t>
  </si>
  <si>
    <t xml:space="preserve">Prairie Farm School</t>
  </si>
  <si>
    <t xml:space="preserve">FA26-0116</t>
  </si>
  <si>
    <t xml:space="preserve">Good Neighbor Pantry Network</t>
  </si>
  <si>
    <t xml:space="preserve">FA26-0117</t>
  </si>
  <si>
    <t xml:space="preserve">Omaha Youth Food Lab</t>
  </si>
  <si>
    <t xml:space="preserve">FA26-0118</t>
  </si>
  <si>
    <t xml:space="preserve">Lantern Market Gardens</t>
  </si>
  <si>
    <t xml:space="preserve">FA26-0119</t>
  </si>
  <si>
    <t xml:space="preserve">Memphis Cafe Training Program</t>
  </si>
  <si>
    <t xml:space="preserve">FA26-0120</t>
  </si>
  <si>
    <t xml:space="preserve">High Plains Pantry Network</t>
  </si>
  <si>
    <t xml:space="preserve">FA26-0121</t>
  </si>
  <si>
    <t xml:space="preserve">Valley Food Bank</t>
  </si>
  <si>
    <t xml:space="preserve">FA26-0122</t>
  </si>
  <si>
    <t xml:space="preserve">Kestrel Culinary Works</t>
  </si>
  <si>
    <t xml:space="preserve">FA26-0123</t>
  </si>
  <si>
    <t xml:space="preserve">Marigold Pantry Network</t>
  </si>
  <si>
    <t xml:space="preserve">FA26-0124</t>
  </si>
  <si>
    <t xml:space="preserve">Bogotá Food Bank</t>
  </si>
  <si>
    <t xml:space="preserve">FA26-0125</t>
  </si>
  <si>
    <t xml:space="preserve">Old Town Mobile Market</t>
  </si>
  <si>
    <t xml:space="preserve">FA26-0126</t>
  </si>
  <si>
    <t xml:space="preserve">Stonebridge Community Kitchen</t>
  </si>
  <si>
    <t xml:space="preserve">FA26-0127</t>
  </si>
  <si>
    <t xml:space="preserve">Milwaukee Community Pantry</t>
  </si>
  <si>
    <t xml:space="preserve">FA26-0128</t>
  </si>
  <si>
    <t xml:space="preserve">Tulsa Bakery Collective</t>
  </si>
  <si>
    <t xml:space="preserve">FA26-0129</t>
  </si>
  <si>
    <t xml:space="preserve">Glasgow Community Pantry</t>
  </si>
  <si>
    <t xml:space="preserve">FA26-0130</t>
  </si>
  <si>
    <t xml:space="preserve">Juniper Community Pantry</t>
  </si>
  <si>
    <t xml:space="preserve">FA26-0131</t>
  </si>
  <si>
    <t xml:space="preserve">Bridgeview Meals Project</t>
  </si>
  <si>
    <t xml:space="preserve">FA26-0132</t>
  </si>
  <si>
    <t xml:space="preserve">Boise Community Kitchen</t>
  </si>
  <si>
    <t xml:space="preserve">FA26-0133</t>
  </si>
  <si>
    <t xml:space="preserve">Bridgeview Food Shelf</t>
  </si>
  <si>
    <t xml:space="preserve">FA26-0134</t>
  </si>
  <si>
    <t xml:space="preserve">Regina Kitchen Project</t>
  </si>
  <si>
    <t xml:space="preserve">FA26-0135</t>
  </si>
  <si>
    <t xml:space="preserve">Puebla Community Pantry</t>
  </si>
  <si>
    <t xml:space="preserve">FA26-0136</t>
  </si>
  <si>
    <t xml:space="preserve">Fairmount Growers Cooperative</t>
  </si>
  <si>
    <t xml:space="preserve">FA26-0137</t>
  </si>
  <si>
    <t xml:space="preserve">Hillcrest Farm School</t>
  </si>
  <si>
    <t xml:space="preserve">FA26-0138</t>
  </si>
  <si>
    <t xml:space="preserve">Wichita Meals Project</t>
  </si>
  <si>
    <t xml:space="preserve">FA26-0139</t>
  </si>
  <si>
    <t xml:space="preserve">Toronto Schools Nutrition Fund</t>
  </si>
  <si>
    <t xml:space="preserve">FA26-0140</t>
  </si>
  <si>
    <t xml:space="preserve">Union Square Market Gardens</t>
  </si>
  <si>
    <t xml:space="preserve">FA26-0141</t>
  </si>
  <si>
    <t xml:space="preserve">Yakima Community Kitchen</t>
  </si>
  <si>
    <t xml:space="preserve">FA26-0142</t>
  </si>
  <si>
    <t xml:space="preserve">Union Square Pantry Network</t>
  </si>
  <si>
    <t xml:space="preserve">FA26-0143</t>
  </si>
  <si>
    <t xml:space="preserve">Southfield Community Pantry</t>
  </si>
  <si>
    <t xml:space="preserve">FA26-0144</t>
  </si>
  <si>
    <t xml:space="preserve">Oak Hollow Family Center</t>
  </si>
  <si>
    <t xml:space="preserve">FA26-0145</t>
  </si>
  <si>
    <t xml:space="preserve">Hamilton Mobile Market</t>
  </si>
  <si>
    <t xml:space="preserve">FA26-0146</t>
  </si>
  <si>
    <t xml:space="preserve">Jaipur Food Bank</t>
  </si>
  <si>
    <t xml:space="preserve">FA26-0147</t>
  </si>
  <si>
    <t xml:space="preserve">Kestrel Bakery Collective</t>
  </si>
  <si>
    <t xml:space="preserve">FA26-0148</t>
  </si>
  <si>
    <t xml:space="preserve">Louisville Youth Food Lab</t>
  </si>
  <si>
    <t xml:space="preserve">FA26-0149</t>
  </si>
  <si>
    <t xml:space="preserve">Hamilton Schools Nutrition Fund</t>
  </si>
  <si>
    <t xml:space="preserve">FA26-0150</t>
  </si>
  <si>
    <t xml:space="preserve">Pittsburgh Market Gardens</t>
  </si>
  <si>
    <t xml:space="preserve">FA26-0151</t>
  </si>
  <si>
    <t xml:space="preserve">Two Rivers Family Center</t>
  </si>
  <si>
    <t xml:space="preserve">FA26-0152</t>
  </si>
  <si>
    <t xml:space="preserve">Milwaukee Farm Collective</t>
  </si>
  <si>
    <t xml:space="preserve">FA26-0153</t>
  </si>
  <si>
    <t xml:space="preserve">Buffalo Youth Food Lab</t>
  </si>
  <si>
    <t xml:space="preserve">FA26-0154</t>
  </si>
  <si>
    <t xml:space="preserve">Calgary Culinary Works</t>
  </si>
  <si>
    <t xml:space="preserve">FA26-0155</t>
  </si>
  <si>
    <t xml:space="preserve">Thistle Meals Project</t>
  </si>
  <si>
    <t xml:space="preserve">FA26-0156</t>
  </si>
  <si>
    <t xml:space="preserve">Crossroads Market Gardens</t>
  </si>
  <si>
    <t xml:space="preserve">FA26-0157</t>
  </si>
  <si>
    <t xml:space="preserve">Ironwood Kitchen Project</t>
  </si>
  <si>
    <t xml:space="preserve">FA26-0158</t>
  </si>
  <si>
    <t xml:space="preserve">Old Town Kitchen Project</t>
  </si>
  <si>
    <t xml:space="preserve">FA26-0159</t>
  </si>
  <si>
    <t xml:space="preserve">Juniper Pantry Network</t>
  </si>
  <si>
    <t xml:space="preserve">FA26-0160</t>
  </si>
  <si>
    <t xml:space="preserve">Tulsa Seed Library</t>
  </si>
  <si>
    <t xml:space="preserve">FA26-0161</t>
  </si>
  <si>
    <t xml:space="preserve">Stonebridge Culinary Works</t>
  </si>
  <si>
    <t xml:space="preserve">FA26-0162</t>
  </si>
  <si>
    <t xml:space="preserve">Utrecht Farm Collective</t>
  </si>
  <si>
    <t xml:space="preserve">FA26-0163</t>
  </si>
  <si>
    <t xml:space="preserve">Open Door Market Gardens</t>
  </si>
  <si>
    <t xml:space="preserve">FA26-0164</t>
  </si>
  <si>
    <t xml:space="preserve">Copper Hill Meals Project</t>
  </si>
  <si>
    <t xml:space="preserve">FA26-0165</t>
  </si>
  <si>
    <t xml:space="preserve">Northside Youth Food Lab</t>
  </si>
  <si>
    <t xml:space="preserve">FA26-0166</t>
  </si>
  <si>
    <t xml:space="preserve">Northside Farm Collective</t>
  </si>
  <si>
    <t xml:space="preserve">FA26-0167</t>
  </si>
  <si>
    <t xml:space="preserve">Utrecht Market Gardens</t>
  </si>
  <si>
    <t xml:space="preserve">FA26-0168</t>
  </si>
  <si>
    <t xml:space="preserve">Wichita Market Gardens</t>
  </si>
  <si>
    <t xml:space="preserve">FA26-0169</t>
  </si>
  <si>
    <t xml:space="preserve">Accra Pantry Network</t>
  </si>
  <si>
    <t xml:space="preserve">FA26-0170</t>
  </si>
  <si>
    <t xml:space="preserve">Tulsa Kitchen Project</t>
  </si>
  <si>
    <t xml:space="preserve">FA26-0171</t>
  </si>
  <si>
    <t xml:space="preserve">Tidewater Food Bank</t>
  </si>
  <si>
    <t xml:space="preserve">FA26-0172</t>
  </si>
  <si>
    <t xml:space="preserve">Tidewater Farm Collective</t>
  </si>
  <si>
    <t xml:space="preserve">FA26-0173</t>
  </si>
  <si>
    <t xml:space="preserve">Harbor Culinary Works</t>
  </si>
  <si>
    <t xml:space="preserve">FA26-0174</t>
  </si>
  <si>
    <t xml:space="preserve">Pittsburgh Schools Nutrition Fund</t>
  </si>
  <si>
    <t xml:space="preserve">FA26-0175</t>
  </si>
  <si>
    <t xml:space="preserve">Oak Hollow Food Bank</t>
  </si>
  <si>
    <t xml:space="preserve">FA26-0176</t>
  </si>
  <si>
    <t xml:space="preserve">Toronto Cafe Training Program</t>
  </si>
  <si>
    <t xml:space="preserve">FA26-0177</t>
  </si>
  <si>
    <t xml:space="preserve">Utrecht Youth Food Lab</t>
  </si>
  <si>
    <t xml:space="preserve">FA26-0178</t>
  </si>
  <si>
    <t xml:space="preserve">Copper Hill Farm Collective</t>
  </si>
  <si>
    <t xml:space="preserve">FA26-0179</t>
  </si>
  <si>
    <t xml:space="preserve">Cedar Growers Cooperative</t>
  </si>
  <si>
    <t xml:space="preserve">FA26-0180</t>
  </si>
  <si>
    <t xml:space="preserve">Peoria Growers Cooperative</t>
  </si>
  <si>
    <t xml:space="preserve">FA26-0181</t>
  </si>
  <si>
    <t xml:space="preserve">Recife Farm School</t>
  </si>
  <si>
    <t xml:space="preserve">Brazil</t>
  </si>
  <si>
    <t xml:space="preserve">FA26-0182</t>
  </si>
  <si>
    <t xml:space="preserve">Accra Youth Food Lab</t>
  </si>
  <si>
    <t xml:space="preserve">FA26-0183</t>
  </si>
  <si>
    <t xml:space="preserve">Detroit Farm School</t>
  </si>
  <si>
    <t xml:space="preserve">FA26-0184</t>
  </si>
  <si>
    <t xml:space="preserve">Stonebridge Seed Library</t>
  </si>
  <si>
    <t xml:space="preserve">FA26-0185</t>
  </si>
  <si>
    <t xml:space="preserve">Guadalajara Meals Project</t>
  </si>
  <si>
    <t xml:space="preserve">FA26-0186</t>
  </si>
  <si>
    <t xml:space="preserve">Guadalajara Community Kitchen</t>
  </si>
  <si>
    <t xml:space="preserve">FA26-0187</t>
  </si>
  <si>
    <t xml:space="preserve">Calgary Community Kitchen</t>
  </si>
  <si>
    <t xml:space="preserve">FA26-0188</t>
  </si>
  <si>
    <t xml:space="preserve">Valley Farm Collective</t>
  </si>
  <si>
    <t xml:space="preserve">FA26-0189</t>
  </si>
  <si>
    <t xml:space="preserve">Crossroads Community Kitchen</t>
  </si>
  <si>
    <t xml:space="preserve">FA26-0190</t>
  </si>
  <si>
    <t xml:space="preserve">Kumasi Cafe Training Program</t>
  </si>
  <si>
    <t xml:space="preserve">FA26-0191</t>
  </si>
  <si>
    <t xml:space="preserve">Marigold Schools Nutrition Fund</t>
  </si>
  <si>
    <t xml:space="preserve">FA26-0192</t>
  </si>
  <si>
    <t xml:space="preserve">Canal Street Farm Collective</t>
  </si>
  <si>
    <t xml:space="preserve">FA26-0193</t>
  </si>
  <si>
    <t xml:space="preserve">Fairmount Schools Nutrition Fund</t>
  </si>
  <si>
    <t xml:space="preserve">FA26-0194</t>
  </si>
  <si>
    <t xml:space="preserve">Nairobi Farm Collective</t>
  </si>
  <si>
    <t xml:space="preserve">FA26-0195</t>
  </si>
  <si>
    <t xml:space="preserve">Cedar Food Bank</t>
  </si>
  <si>
    <t xml:space="preserve">FA26-0196</t>
  </si>
  <si>
    <t xml:space="preserve">Calgary Cafe Training Program</t>
  </si>
  <si>
    <t xml:space="preserve">FA26-0197</t>
  </si>
  <si>
    <t xml:space="preserve">Peoria Seed Library</t>
  </si>
  <si>
    <t xml:space="preserve">FA26-0198</t>
  </si>
  <si>
    <t xml:space="preserve">Mill Creek Farm School</t>
  </si>
  <si>
    <t xml:space="preserve">FA26-0199</t>
  </si>
  <si>
    <t xml:space="preserve">Hamburg Cafe Training Program</t>
  </si>
  <si>
    <t xml:space="preserve">FA26-0200</t>
  </si>
  <si>
    <t xml:space="preserve">Northside Kitchen Project</t>
  </si>
  <si>
    <t xml:space="preserve">FA26-0201</t>
  </si>
  <si>
    <t xml:space="preserve">Louisville Food Ventures</t>
  </si>
  <si>
    <t xml:space="preserve">FA26-0202</t>
  </si>
  <si>
    <t xml:space="preserve">Toronto Bakery Collective</t>
  </si>
  <si>
    <t xml:space="preserve">FA26-0203</t>
  </si>
  <si>
    <t xml:space="preserve">Open Door Schools Nutrition Fund</t>
  </si>
  <si>
    <t xml:space="preserve">FA26-0204</t>
  </si>
  <si>
    <t xml:space="preserve">Linden Pantry Network</t>
  </si>
  <si>
    <t xml:space="preserve">FA26-0205</t>
  </si>
  <si>
    <t xml:space="preserve">Leeds Food Bank</t>
  </si>
  <si>
    <t xml:space="preserve">FA26-0206</t>
  </si>
  <si>
    <t xml:space="preserve">Tidewater Meals Project</t>
  </si>
  <si>
    <t xml:space="preserve">FA26-0207</t>
  </si>
  <si>
    <t xml:space="preserve">Sunrise Community Kitchen</t>
  </si>
  <si>
    <t xml:space="preserve">FA26-0208</t>
  </si>
  <si>
    <t xml:space="preserve">Harbor Food Bank</t>
  </si>
  <si>
    <t xml:space="preserve">FA26-0209</t>
  </si>
  <si>
    <t xml:space="preserve">Monterrey Food Ventures</t>
  </si>
  <si>
    <t xml:space="preserve">FA26-0210</t>
  </si>
  <si>
    <t xml:space="preserve">Maple Street Bakery Collective</t>
  </si>
  <si>
    <t xml:space="preserve">FA26-0211</t>
  </si>
  <si>
    <t xml:space="preserve">Harbor Youth Food Lab</t>
  </si>
  <si>
    <t xml:space="preserve">FA26-0212</t>
  </si>
  <si>
    <t xml:space="preserve">Accra Schools Nutrition Fund</t>
  </si>
  <si>
    <t xml:space="preserve">FA26-0213</t>
  </si>
  <si>
    <t xml:space="preserve">Salvador Community Pantry</t>
  </si>
  <si>
    <t xml:space="preserve">FA26-0214</t>
  </si>
  <si>
    <t xml:space="preserve">Eastside Growers Cooperative</t>
  </si>
  <si>
    <t xml:space="preserve">FA26-0215</t>
  </si>
  <si>
    <t xml:space="preserve">Calgary Mobile Market</t>
  </si>
  <si>
    <t xml:space="preserve">FA26-0216</t>
  </si>
  <si>
    <t xml:space="preserve">Mill Creek Farm Collective</t>
  </si>
  <si>
    <t xml:space="preserve">FA26-0217</t>
  </si>
  <si>
    <t xml:space="preserve">Saltgrass Seed Library</t>
  </si>
  <si>
    <t xml:space="preserve">FA26-0218</t>
  </si>
  <si>
    <t xml:space="preserve">Omaha Kitchen Project</t>
  </si>
  <si>
    <t xml:space="preserve">FA26-0219</t>
  </si>
  <si>
    <t xml:space="preserve">Hamilton Market Gardens</t>
  </si>
  <si>
    <t xml:space="preserve">FA26-0220</t>
  </si>
  <si>
    <t xml:space="preserve">Lakeshore Seed Library</t>
  </si>
  <si>
    <t xml:space="preserve">FA26-0221</t>
  </si>
  <si>
    <t xml:space="preserve">Winnipeg Market Gardens</t>
  </si>
  <si>
    <t xml:space="preserve">FA26-0222</t>
  </si>
  <si>
    <t xml:space="preserve">Hillcrest Schools Nutrition Fund</t>
  </si>
  <si>
    <t xml:space="preserve">FA26-0223</t>
  </si>
  <si>
    <t xml:space="preserve">Old Town Food Ventures</t>
  </si>
  <si>
    <t xml:space="preserve">FA26-0224</t>
  </si>
  <si>
    <t xml:space="preserve">Willow Run Market Gardens</t>
  </si>
  <si>
    <t xml:space="preserve">FA26-0225</t>
  </si>
  <si>
    <t xml:space="preserve">Albany Kitchen Project</t>
  </si>
  <si>
    <t xml:space="preserve">FA26-0226</t>
  </si>
  <si>
    <t xml:space="preserve">Stonebridge Food Shelf</t>
  </si>
  <si>
    <t xml:space="preserve">FA26-0227</t>
  </si>
  <si>
    <t xml:space="preserve">Louisville Market Gardens</t>
  </si>
  <si>
    <t xml:space="preserve">FA26-0228</t>
  </si>
  <si>
    <t xml:space="preserve">Chicago Food Shelf</t>
  </si>
  <si>
    <t xml:space="preserve">FA26-0229</t>
  </si>
  <si>
    <t xml:space="preserve">Maple Street Community Pantry</t>
  </si>
  <si>
    <t xml:space="preserve">FA26-0230</t>
  </si>
  <si>
    <t xml:space="preserve">Thistle Community Pantry</t>
  </si>
  <si>
    <t xml:space="preserve">FA26-0231</t>
  </si>
  <si>
    <t xml:space="preserve">Northside Food Ventures</t>
  </si>
  <si>
    <t xml:space="preserve">FA26-0232</t>
  </si>
  <si>
    <t xml:space="preserve">Peoria Pantry Network</t>
  </si>
  <si>
    <t xml:space="preserve">FA26-0233</t>
  </si>
  <si>
    <t xml:space="preserve">High Plains Market Gardens</t>
  </si>
  <si>
    <t xml:space="preserve">FA26-0234</t>
  </si>
  <si>
    <t xml:space="preserve">Ironwood Bakery Collective</t>
  </si>
  <si>
    <t xml:space="preserve">FA26-0235</t>
  </si>
  <si>
    <t xml:space="preserve">Regina Youth Food Lab</t>
  </si>
  <si>
    <t xml:space="preserve">FA26-0236</t>
  </si>
  <si>
    <t xml:space="preserve">Stonebridge Pantry Network</t>
  </si>
  <si>
    <t xml:space="preserve">FA26-0237</t>
  </si>
  <si>
    <t xml:space="preserve">Kestrel Pantry Network</t>
  </si>
  <si>
    <t xml:space="preserve">FA26-0238</t>
  </si>
  <si>
    <t xml:space="preserve">Puebla Community Kitchen</t>
  </si>
  <si>
    <t xml:space="preserve">FA26-0239</t>
  </si>
  <si>
    <t xml:space="preserve">Ironwood Food Shelf</t>
  </si>
  <si>
    <t xml:space="preserve">FA26-0240</t>
  </si>
  <si>
    <t xml:space="preserve">Peoria Community Kitchen</t>
  </si>
  <si>
    <t xml:space="preserve">FA26-0241</t>
  </si>
  <si>
    <t xml:space="preserve">Ironwood Community Pantry</t>
  </si>
  <si>
    <t xml:space="preserve">FA26-0242</t>
  </si>
  <si>
    <t xml:space="preserve">Cedar Community Pantry</t>
  </si>
  <si>
    <t xml:space="preserve">FA26-0243</t>
  </si>
  <si>
    <t xml:space="preserve">Thistle Community Kitchen</t>
  </si>
  <si>
    <t xml:space="preserve">FA26-0244</t>
  </si>
  <si>
    <t xml:space="preserve">Utrecht Kitchen Project</t>
  </si>
  <si>
    <t xml:space="preserve">FA26-0245</t>
  </si>
  <si>
    <t xml:space="preserve">Louisville Schools Nutrition Fund</t>
  </si>
  <si>
    <t xml:space="preserve">FA26-0246</t>
  </si>
  <si>
    <t xml:space="preserve">Good Neighbor Market Gardens</t>
  </si>
  <si>
    <t xml:space="preserve">FA26-0247</t>
  </si>
  <si>
    <t xml:space="preserve">Atlanta Meals Project</t>
  </si>
  <si>
    <t xml:space="preserve">FA26-0248</t>
  </si>
  <si>
    <t xml:space="preserve">Denver Community Pantry</t>
  </si>
  <si>
    <t xml:space="preserve">FA26-0249</t>
  </si>
  <si>
    <t xml:space="preserve">Northside Food Shelf</t>
  </si>
  <si>
    <t xml:space="preserve">FA26-0250</t>
  </si>
  <si>
    <t xml:space="preserve">Linden Meals Project</t>
  </si>
  <si>
    <t xml:space="preserve">FA26-0251</t>
  </si>
  <si>
    <t xml:space="preserve">Kumasi Mobile Market</t>
  </si>
  <si>
    <t xml:space="preserve">FA26-0252</t>
  </si>
  <si>
    <t xml:space="preserve">Maple Street Growers Cooperative</t>
  </si>
  <si>
    <t xml:space="preserve">FA26-0253</t>
  </si>
  <si>
    <t xml:space="preserve">Sunrise Community Pantry</t>
  </si>
  <si>
    <t xml:space="preserve">FA26-0254</t>
  </si>
  <si>
    <t xml:space="preserve">Kumasi Food Ventures</t>
  </si>
  <si>
    <t xml:space="preserve">FA26-0255</t>
  </si>
  <si>
    <t xml:space="preserve">Toledo Food Bank</t>
  </si>
  <si>
    <t xml:space="preserve">FA26-0256</t>
  </si>
  <si>
    <t xml:space="preserve">Lantern Seed Library</t>
  </si>
  <si>
    <t xml:space="preserve">FA26-0257</t>
  </si>
  <si>
    <t xml:space="preserve">Bridgeview Community Pantry</t>
  </si>
  <si>
    <t xml:space="preserve">FA26-0258</t>
  </si>
  <si>
    <t xml:space="preserve">Utrecht Meals Project</t>
  </si>
  <si>
    <t xml:space="preserve">FA26-0259</t>
  </si>
  <si>
    <t xml:space="preserve">Harbor Seed Library</t>
  </si>
  <si>
    <t xml:space="preserve">FA26-0260</t>
  </si>
  <si>
    <t xml:space="preserve">Parkside Schools Nutrition Fund</t>
  </si>
  <si>
    <t xml:space="preserve">FA26-0261</t>
  </si>
  <si>
    <t xml:space="preserve">Regina Farm School</t>
  </si>
  <si>
    <t xml:space="preserve">FA26-0262</t>
  </si>
  <si>
    <t xml:space="preserve">Copper Hill Culinary Works</t>
  </si>
  <si>
    <t xml:space="preserve">FA26-0263</t>
  </si>
  <si>
    <t xml:space="preserve">Cork Mobile Market</t>
  </si>
  <si>
    <t xml:space="preserve">FA26-0264</t>
  </si>
  <si>
    <t xml:space="preserve">Fresno Food Shelf</t>
  </si>
  <si>
    <t xml:space="preserve">FA26-0265</t>
  </si>
  <si>
    <t xml:space="preserve">Ironwood Family Center</t>
  </si>
  <si>
    <t xml:space="preserve">FA26-0266</t>
  </si>
  <si>
    <t xml:space="preserve">Hamilton Kitchen Project</t>
  </si>
  <si>
    <t xml:space="preserve">FA26-0267</t>
  </si>
  <si>
    <t xml:space="preserve">Union Square Community Pantry</t>
  </si>
  <si>
    <t xml:space="preserve">FA26-0268</t>
  </si>
  <si>
    <t xml:space="preserve">Winnipeg Community Kitchen</t>
  </si>
  <si>
    <t xml:space="preserve">FA26-0269</t>
  </si>
  <si>
    <t xml:space="preserve">Denver Mobile Market</t>
  </si>
  <si>
    <t xml:space="preserve">FA26-0270</t>
  </si>
  <si>
    <t xml:space="preserve">Louisville Mobile Market</t>
  </si>
  <si>
    <t xml:space="preserve">FA26-0271</t>
  </si>
  <si>
    <t xml:space="preserve">Boise Meals Project</t>
  </si>
  <si>
    <t xml:space="preserve">FA26-0272</t>
  </si>
  <si>
    <t xml:space="preserve">Recife Food Ventures</t>
  </si>
  <si>
    <t xml:space="preserve">FA26-0273</t>
  </si>
  <si>
    <t xml:space="preserve">Juniper Community Kitchen</t>
  </si>
  <si>
    <t xml:space="preserve">FA26-0274</t>
  </si>
  <si>
    <t xml:space="preserve">Durham Market Gardens</t>
  </si>
  <si>
    <t xml:space="preserve">FA26-0275</t>
  </si>
  <si>
    <t xml:space="preserve">Galway Bakery Collective</t>
  </si>
  <si>
    <t xml:space="preserve">FA26-0276</t>
  </si>
  <si>
    <t xml:space="preserve">Stonebridge Schools Nutrition Fund</t>
  </si>
  <si>
    <t xml:space="preserve">FA26-0277</t>
  </si>
  <si>
    <t xml:space="preserve">Southfield Mobile Market</t>
  </si>
  <si>
    <t xml:space="preserve">FA26-0278</t>
  </si>
  <si>
    <t xml:space="preserve">Durham Seed Library</t>
  </si>
  <si>
    <t xml:space="preserve">FA26-0279</t>
  </si>
  <si>
    <t xml:space="preserve">Willow Run Bakery Collective</t>
  </si>
  <si>
    <t xml:space="preserve">FA26-0280</t>
  </si>
  <si>
    <t xml:space="preserve">Hamburg Food Bank</t>
  </si>
  <si>
    <t xml:space="preserve">FA26-0281</t>
  </si>
  <si>
    <t xml:space="preserve">Tucson Food Bank</t>
  </si>
  <si>
    <t xml:space="preserve">FA26-0282</t>
  </si>
  <si>
    <t xml:space="preserve">Madison Community Kitchen</t>
  </si>
  <si>
    <t xml:space="preserve">FA26-0283</t>
  </si>
  <si>
    <t xml:space="preserve">Saltgrass Schools Nutrition Fund</t>
  </si>
  <si>
    <t xml:space="preserve">FA26-0284</t>
  </si>
  <si>
    <t xml:space="preserve">Tucson Pantry Network</t>
  </si>
  <si>
    <t xml:space="preserve">FA26-0285</t>
  </si>
  <si>
    <t xml:space="preserve">Open Door Bakery Collective</t>
  </si>
  <si>
    <t xml:space="preserve">FA26-0286</t>
  </si>
  <si>
    <t xml:space="preserve">Northside Family Center</t>
  </si>
  <si>
    <t xml:space="preserve">FA26-0287</t>
  </si>
  <si>
    <t xml:space="preserve">Parkside Bakery Collective</t>
  </si>
  <si>
    <t xml:space="preserve">FA26-0288</t>
  </si>
  <si>
    <t xml:space="preserve">Greenway Meals Project</t>
  </si>
  <si>
    <t xml:space="preserve">FA26-0289</t>
  </si>
  <si>
    <t xml:space="preserve">Saltgrass Kitchen Project</t>
  </si>
  <si>
    <t xml:space="preserve">FA26-0290</t>
  </si>
  <si>
    <t xml:space="preserve">Pittsburgh Community Pantry</t>
  </si>
  <si>
    <t xml:space="preserve">FA26-0291</t>
  </si>
  <si>
    <t xml:space="preserve">Juniper Culinary Works</t>
  </si>
  <si>
    <t xml:space="preserve">FA26-0292</t>
  </si>
  <si>
    <t xml:space="preserve">Buffalo Meals Project</t>
  </si>
  <si>
    <t xml:space="preserve">FA26-0293</t>
  </si>
  <si>
    <t xml:space="preserve">Madison Farm Collective</t>
  </si>
  <si>
    <t xml:space="preserve">FA26-0294</t>
  </si>
  <si>
    <t xml:space="preserve">Memphis Pantry Network</t>
  </si>
  <si>
    <t xml:space="preserve">FA26-0295</t>
  </si>
  <si>
    <t xml:space="preserve">Union Square Mobile Market</t>
  </si>
  <si>
    <t xml:space="preserve">FA26-0296</t>
  </si>
  <si>
    <t xml:space="preserve">Old Town Meals Project</t>
  </si>
  <si>
    <t xml:space="preserve">FA26-0297</t>
  </si>
  <si>
    <t xml:space="preserve">Cardiff Mobile Market</t>
  </si>
  <si>
    <t xml:space="preserve">FA26-0298</t>
  </si>
  <si>
    <t xml:space="preserve">Hillcrest Meals Project</t>
  </si>
  <si>
    <t xml:space="preserve">FA26-0299</t>
  </si>
  <si>
    <t xml:space="preserve">Chennai Growers Cooperative</t>
  </si>
  <si>
    <t xml:space="preserve">FA26-0300</t>
  </si>
  <si>
    <t xml:space="preserve">Akron Kitchen Project</t>
  </si>
  <si>
    <t xml:space="preserve">FA26-0301</t>
  </si>
  <si>
    <t xml:space="preserve">Open Door Cafe Training Program</t>
  </si>
  <si>
    <t xml:space="preserve">FA26-0302</t>
  </si>
  <si>
    <t xml:space="preserve">Linden Mobile Market</t>
  </si>
  <si>
    <t xml:space="preserve">FA26-0303</t>
  </si>
  <si>
    <t xml:space="preserve">Mombasa Cafe Training Program</t>
  </si>
  <si>
    <t xml:space="preserve">FA26-0304</t>
  </si>
  <si>
    <t xml:space="preserve">Riverbend Bakery Collective</t>
  </si>
  <si>
    <t xml:space="preserve">FA26-0305</t>
  </si>
  <si>
    <t xml:space="preserve">Linden Kitchen Project</t>
  </si>
  <si>
    <t xml:space="preserve">FA26-0306</t>
  </si>
  <si>
    <t xml:space="preserve">Chicago Culinary Works</t>
  </si>
  <si>
    <t xml:space="preserve">FA26-0307</t>
  </si>
  <si>
    <t xml:space="preserve">Open Door Farm Collective</t>
  </si>
  <si>
    <t xml:space="preserve">FA26-0308</t>
  </si>
  <si>
    <t xml:space="preserve">Leipzig Cafe Training Program</t>
  </si>
  <si>
    <t xml:space="preserve">FA26-0309</t>
  </si>
  <si>
    <t xml:space="preserve">Recife Community Kitchen</t>
  </si>
  <si>
    <t xml:space="preserve">FA26-0310</t>
  </si>
  <si>
    <t xml:space="preserve">Cardiff Food Shelf</t>
  </si>
  <si>
    <t xml:space="preserve">FA26-0311</t>
  </si>
  <si>
    <t xml:space="preserve">Monterrey Mobile Market</t>
  </si>
  <si>
    <t xml:space="preserve">FA26-0312</t>
  </si>
  <si>
    <t xml:space="preserve">Dayton Growers Cooperative</t>
  </si>
  <si>
    <t xml:space="preserve">FA26-0313</t>
  </si>
  <si>
    <t xml:space="preserve">Lima Mobile Market</t>
  </si>
  <si>
    <t xml:space="preserve">FA26-0314</t>
  </si>
  <si>
    <t xml:space="preserve">Columbus Pantry Network</t>
  </si>
  <si>
    <t xml:space="preserve">FA26-0315</t>
  </si>
  <si>
    <t xml:space="preserve">Union Square Cafe Training Program</t>
  </si>
  <si>
    <t xml:space="preserve">FA26-0316</t>
  </si>
  <si>
    <t xml:space="preserve">Fresno Pantry Network</t>
  </si>
  <si>
    <t xml:space="preserve">FA26-0317</t>
  </si>
  <si>
    <t xml:space="preserve">Kestrel Community Pantry</t>
  </si>
  <si>
    <t xml:space="preserve">FA26-0318</t>
  </si>
  <si>
    <t xml:space="preserve">Halifax Market Gardens</t>
  </si>
  <si>
    <t xml:space="preserve">FA26-0319</t>
  </si>
  <si>
    <t xml:space="preserve">Good Neighbor Farm School</t>
  </si>
  <si>
    <t xml:space="preserve">FA26-0320</t>
  </si>
  <si>
    <t xml:space="preserve">Cologne Meals Project</t>
  </si>
  <si>
    <t xml:space="preserve">FA26-0321</t>
  </si>
  <si>
    <t xml:space="preserve">Tulsa Youth Food Lab</t>
  </si>
  <si>
    <t xml:space="preserve">FA26-0322</t>
  </si>
  <si>
    <t xml:space="preserve">Dayton Farm Collective</t>
  </si>
  <si>
    <t xml:space="preserve">FA26-0323</t>
  </si>
  <si>
    <t xml:space="preserve">Prairie Youth Food Lab</t>
  </si>
  <si>
    <t xml:space="preserve">FA26-0324</t>
  </si>
  <si>
    <t xml:space="preserve">Maple Street Food Shelf</t>
  </si>
  <si>
    <t xml:space="preserve">FA26-0325</t>
  </si>
  <si>
    <t xml:space="preserve">Flint Youth Food Lab</t>
  </si>
  <si>
    <t xml:space="preserve">FA26-0326</t>
  </si>
  <si>
    <t xml:space="preserve">Bogotá Mobile Market</t>
  </si>
  <si>
    <t xml:space="preserve">FA26-0327</t>
  </si>
  <si>
    <t xml:space="preserve">Canal Street Food Ventures</t>
  </si>
  <si>
    <t xml:space="preserve">FA26-0328</t>
  </si>
  <si>
    <t xml:space="preserve">Lima Farm School</t>
  </si>
  <si>
    <t xml:space="preserve">FA26-0329</t>
  </si>
  <si>
    <t xml:space="preserve">Bridgeview Farm School</t>
  </si>
  <si>
    <t xml:space="preserve">FA26-0330</t>
  </si>
  <si>
    <t xml:space="preserve">Medellín Seed Library</t>
  </si>
  <si>
    <t xml:space="preserve">FA26-0331</t>
  </si>
  <si>
    <t xml:space="preserve">Sunrise Farm Collective</t>
  </si>
  <si>
    <t xml:space="preserve">FA26-0332</t>
  </si>
  <si>
    <t xml:space="preserve">Regina Cafe Training Program</t>
  </si>
  <si>
    <t xml:space="preserve">FA26-0333</t>
  </si>
  <si>
    <t xml:space="preserve">Pittsburgh Mobile Market</t>
  </si>
  <si>
    <t xml:space="preserve">FA26-0334</t>
  </si>
  <si>
    <t xml:space="preserve">Des Moines Farm School</t>
  </si>
  <si>
    <t xml:space="preserve">FA26-0335</t>
  </si>
  <si>
    <t xml:space="preserve">Old Town Community Pantry</t>
  </si>
  <si>
    <t xml:space="preserve">FA26-0336</t>
  </si>
  <si>
    <t xml:space="preserve">Commonground Growers Cooperative</t>
  </si>
  <si>
    <t xml:space="preserve">FA26-0337</t>
  </si>
  <si>
    <t xml:space="preserve">Calgary Community Pantry</t>
  </si>
  <si>
    <t xml:space="preserve">FA26-0338</t>
  </si>
  <si>
    <t xml:space="preserve">Cork Family Center</t>
  </si>
  <si>
    <t xml:space="preserve">FA26-0339</t>
  </si>
  <si>
    <t xml:space="preserve">Cedar Mobile Market</t>
  </si>
  <si>
    <t xml:space="preserve">FA26-0340</t>
  </si>
  <si>
    <t xml:space="preserve">Chicago Youth Food Lab</t>
  </si>
  <si>
    <t xml:space="preserve">FA26-0341</t>
  </si>
  <si>
    <t xml:space="preserve">Regina Culinary Works</t>
  </si>
  <si>
    <t xml:space="preserve">FA26-0342</t>
  </si>
  <si>
    <t xml:space="preserve">Maple Street Family Center</t>
  </si>
  <si>
    <t xml:space="preserve">FA26-0343</t>
  </si>
  <si>
    <t xml:space="preserve">Northside Bakery Collective</t>
  </si>
  <si>
    <t xml:space="preserve">FA26-0344</t>
  </si>
  <si>
    <t xml:space="preserve">Halifax Meals Project</t>
  </si>
  <si>
    <t xml:space="preserve">FA26-0345</t>
  </si>
  <si>
    <t xml:space="preserve">Sunrise Youth Food Lab</t>
  </si>
  <si>
    <t xml:space="preserve">FA26-0346</t>
  </si>
  <si>
    <t xml:space="preserve">Bluestem Youth Food Lab</t>
  </si>
  <si>
    <t xml:space="preserve">FA26-0347</t>
  </si>
  <si>
    <t xml:space="preserve">Two Rivers Community Pantry</t>
  </si>
  <si>
    <t xml:space="preserve">FA26-0348</t>
  </si>
  <si>
    <t xml:space="preserve">Cusco Farm Collective</t>
  </si>
  <si>
    <t xml:space="preserve">FA26-0349</t>
  </si>
  <si>
    <t xml:space="preserve">Bluestem Food Bank</t>
  </si>
  <si>
    <t xml:space="preserve">FA26-0350</t>
  </si>
  <si>
    <t xml:space="preserve">Commonground Culinary Works</t>
  </si>
  <si>
    <t xml:space="preserve">FA26-0351</t>
  </si>
  <si>
    <t xml:space="preserve">Detroit Schools Nutrition Fund</t>
  </si>
  <si>
    <t xml:space="preserve">FA26-0352</t>
  </si>
  <si>
    <t xml:space="preserve">Lima Cafe Training Program</t>
  </si>
  <si>
    <t xml:space="preserve">FA26-0353</t>
  </si>
  <si>
    <t xml:space="preserve">Bridgeview Mobile Market</t>
  </si>
  <si>
    <t xml:space="preserve">FA26-0354</t>
  </si>
  <si>
    <t xml:space="preserve">Copper Hill Community Pantry</t>
  </si>
  <si>
    <t xml:space="preserve">FA26-0355</t>
  </si>
  <si>
    <t xml:space="preserve">Kestrel Food Bank</t>
  </si>
  <si>
    <t xml:space="preserve">FA26-0356</t>
  </si>
  <si>
    <t xml:space="preserve">Mill Creek Food Shelf</t>
  </si>
  <si>
    <t xml:space="preserve">FA26-0357</t>
  </si>
  <si>
    <t xml:space="preserve">Sheffield Farm School</t>
  </si>
  <si>
    <t xml:space="preserve">FA26-0358</t>
  </si>
  <si>
    <t xml:space="preserve">Pittsburgh Seed Library</t>
  </si>
  <si>
    <t xml:space="preserve">FA26-0359</t>
  </si>
  <si>
    <t xml:space="preserve">Old Town Market Gardens</t>
  </si>
  <si>
    <t xml:space="preserve">FA26-0360</t>
  </si>
  <si>
    <t xml:space="preserve">Cali Food Ventures</t>
  </si>
  <si>
    <t xml:space="preserve">FA26-0361</t>
  </si>
  <si>
    <t xml:space="preserve">Des Moines Seed Library</t>
  </si>
  <si>
    <t xml:space="preserve">FA26-0362</t>
  </si>
  <si>
    <t xml:space="preserve">Fresno Growers Cooperative</t>
  </si>
  <si>
    <t xml:space="preserve">FA26-0363</t>
  </si>
  <si>
    <t xml:space="preserve">Linden Food Shelf</t>
  </si>
  <si>
    <t xml:space="preserve">FA26-0364</t>
  </si>
  <si>
    <t xml:space="preserve">Rotterdam Community Pantry</t>
  </si>
  <si>
    <t xml:space="preserve">FA26-0365</t>
  </si>
  <si>
    <t xml:space="preserve">Prairie Seed Library</t>
  </si>
  <si>
    <t xml:space="preserve">FA26-0366</t>
  </si>
  <si>
    <t xml:space="preserve">Winnipeg Family Center</t>
  </si>
  <si>
    <t xml:space="preserve">FA26-0367</t>
  </si>
  <si>
    <t xml:space="preserve">Albany Cafe Training Program</t>
  </si>
  <si>
    <t xml:space="preserve">FA26-0368</t>
  </si>
  <si>
    <t xml:space="preserve">Salvador Mobile Market</t>
  </si>
  <si>
    <t xml:space="preserve">FA26-0369</t>
  </si>
  <si>
    <t xml:space="preserve">Greenway Bakery Collective</t>
  </si>
  <si>
    <t xml:space="preserve">FA26-0370</t>
  </si>
  <si>
    <t xml:space="preserve">Des Moines Bakery Collective</t>
  </si>
  <si>
    <t xml:space="preserve">FA26-0371</t>
  </si>
  <si>
    <t xml:space="preserve">Galway Farm Collective</t>
  </si>
  <si>
    <t xml:space="preserve">FA26-0372</t>
  </si>
  <si>
    <t xml:space="preserve">Dublin Mobile Market</t>
  </si>
  <si>
    <t xml:space="preserve">FA26-0373</t>
  </si>
  <si>
    <t xml:space="preserve">Atlanta Food Bank</t>
  </si>
  <si>
    <t xml:space="preserve">FA26-0374</t>
  </si>
  <si>
    <t xml:space="preserve">Copper Hill Family Center</t>
  </si>
  <si>
    <t xml:space="preserve">FA26-0375</t>
  </si>
  <si>
    <t xml:space="preserve">Commonground Community Pantry</t>
  </si>
  <si>
    <t xml:space="preserve">FA26-0376</t>
  </si>
  <si>
    <t xml:space="preserve">Halifax Pantry Network</t>
  </si>
  <si>
    <t xml:space="preserve">FA26-0377</t>
  </si>
  <si>
    <t xml:space="preserve">Puebla Farm Collective</t>
  </si>
  <si>
    <t xml:space="preserve">FA26-0378</t>
  </si>
  <si>
    <t xml:space="preserve">Open Door Food Shelf</t>
  </si>
  <si>
    <t xml:space="preserve">FA26-0379</t>
  </si>
  <si>
    <t xml:space="preserve">Chennai Bakery Collective</t>
  </si>
  <si>
    <t xml:space="preserve">FA26-0380</t>
  </si>
  <si>
    <t xml:space="preserve">Bridgeview Pantry Network</t>
  </si>
  <si>
    <t xml:space="preserve">FA26-0381</t>
  </si>
  <si>
    <t xml:space="preserve">Winnipeg Meals Project</t>
  </si>
  <si>
    <t xml:space="preserve">FA26-0382</t>
  </si>
  <si>
    <t xml:space="preserve">Milwaukee Food Shelf</t>
  </si>
  <si>
    <t xml:space="preserve">FA26-0383</t>
  </si>
  <si>
    <t xml:space="preserve">Mill Creek Community Pantry</t>
  </si>
  <si>
    <t xml:space="preserve">FA26-0384</t>
  </si>
  <si>
    <t xml:space="preserve">Arequipa Mobile Market</t>
  </si>
  <si>
    <t xml:space="preserve">FA26-0385</t>
  </si>
  <si>
    <t xml:space="preserve">Utrecht Community Kitchen</t>
  </si>
  <si>
    <t xml:space="preserve">FA26-0386</t>
  </si>
  <si>
    <t xml:space="preserve">Marigold Cafe Training Program</t>
  </si>
  <si>
    <t xml:space="preserve">FA26-0387</t>
  </si>
  <si>
    <t xml:space="preserve">Toledo Youth Food Lab</t>
  </si>
  <si>
    <t xml:space="preserve">FA26-0388</t>
  </si>
  <si>
    <t xml:space="preserve">Fairmount Meals Project</t>
  </si>
  <si>
    <t xml:space="preserve">FA26-0389</t>
  </si>
  <si>
    <t xml:space="preserve">Davao Seed Library</t>
  </si>
  <si>
    <t xml:space="preserve">FA26-0390</t>
  </si>
  <si>
    <t xml:space="preserve">Fresno Schools Nutrition Fund</t>
  </si>
  <si>
    <t xml:space="preserve">FA26-0391</t>
  </si>
  <si>
    <t xml:space="preserve">Greenway Culinary Works</t>
  </si>
  <si>
    <t xml:space="preserve">FA26-0392</t>
  </si>
  <si>
    <t xml:space="preserve">Melbourne Food Shelf</t>
  </si>
  <si>
    <t xml:space="preserve">FA26-0393</t>
  </si>
  <si>
    <t xml:space="preserve">Akron Food Shelf</t>
  </si>
  <si>
    <t xml:space="preserve">FA26-0394</t>
  </si>
  <si>
    <t xml:space="preserve">Salvador Meals Project</t>
  </si>
  <si>
    <t xml:space="preserve">FA26-0395</t>
  </si>
  <si>
    <t xml:space="preserve">Prairie Community Pantry</t>
  </si>
  <si>
    <t xml:space="preserve">FA26-0396</t>
  </si>
  <si>
    <t xml:space="preserve">Union Square Community Kitchen</t>
  </si>
  <si>
    <t xml:space="preserve">FA26-0397</t>
  </si>
  <si>
    <t xml:space="preserve">Mill Creek Pantry Network</t>
  </si>
  <si>
    <t xml:space="preserve">FA26-0398</t>
  </si>
  <si>
    <t xml:space="preserve">Hillcrest Market Gardens</t>
  </si>
  <si>
    <t xml:space="preserve">FA26-0399</t>
  </si>
  <si>
    <t xml:space="preserve">Cape Town Bakery Collective</t>
  </si>
  <si>
    <t xml:space="preserve">FA26-0400</t>
  </si>
  <si>
    <t xml:space="preserve">Two Rivers Mobile Market</t>
  </si>
  <si>
    <t xml:space="preserve">FA26-0401</t>
  </si>
  <si>
    <t xml:space="preserve">Sheffield Food Shelf</t>
  </si>
  <si>
    <t xml:space="preserve">FA26-0402</t>
  </si>
  <si>
    <t xml:space="preserve">Crossroads Pantry Network</t>
  </si>
  <si>
    <t xml:space="preserve">FA26-0403</t>
  </si>
  <si>
    <t xml:space="preserve">Northside Meals Project</t>
  </si>
  <si>
    <t xml:space="preserve">FA26-0404</t>
  </si>
  <si>
    <t xml:space="preserve">Tidewater Seed Library</t>
  </si>
  <si>
    <t xml:space="preserve">FA26-0405</t>
  </si>
  <si>
    <t xml:space="preserve">Oak Hollow Food Ventures</t>
  </si>
  <si>
    <t xml:space="preserve">FA26-0406</t>
  </si>
  <si>
    <t xml:space="preserve">Lantern Community Pantry</t>
  </si>
  <si>
    <t xml:space="preserve">FA26-0407</t>
  </si>
  <si>
    <t xml:space="preserve">Akron Food Bank</t>
  </si>
  <si>
    <t xml:space="preserve">FA26-0408</t>
  </si>
  <si>
    <t xml:space="preserve">Tidewater Growers Cooperative</t>
  </si>
  <si>
    <t xml:space="preserve">FA26-0409</t>
  </si>
  <si>
    <t xml:space="preserve">Bluestem Farm School</t>
  </si>
  <si>
    <t xml:space="preserve">FA26-0410</t>
  </si>
  <si>
    <t xml:space="preserve">Northside Mobile Market</t>
  </si>
  <si>
    <t xml:space="preserve">FA26-0411</t>
  </si>
  <si>
    <t xml:space="preserve">Open Door Kitchen Project</t>
  </si>
  <si>
    <t xml:space="preserve">FA26-0412</t>
  </si>
  <si>
    <t xml:space="preserve">Mill Creek Growers Cooperative</t>
  </si>
  <si>
    <t xml:space="preserve">FA26-0413</t>
  </si>
  <si>
    <t xml:space="preserve">Copper Hill Youth Food Lab</t>
  </si>
  <si>
    <t xml:space="preserve">FA26-0414</t>
  </si>
  <si>
    <t xml:space="preserve">Fairmount Pantry Network</t>
  </si>
  <si>
    <t xml:space="preserve">FA26-0415</t>
  </si>
  <si>
    <t xml:space="preserve">Greenway Cafe Training Program</t>
  </si>
  <si>
    <t xml:space="preserve">FA26-0416</t>
  </si>
  <si>
    <t xml:space="preserve">Canal Street Food Bank</t>
  </si>
  <si>
    <t xml:space="preserve">FA26-0417</t>
  </si>
  <si>
    <t xml:space="preserve">Canal Street Growers Cooperative</t>
  </si>
  <si>
    <t xml:space="preserve">FA26-0418</t>
  </si>
  <si>
    <t xml:space="preserve">Hamilton Growers Cooperative</t>
  </si>
  <si>
    <t xml:space="preserve">FA26-0419</t>
  </si>
  <si>
    <t xml:space="preserve">Cologne Culinary Works</t>
  </si>
  <si>
    <t xml:space="preserve">FA26-0420</t>
  </si>
  <si>
    <t xml:space="preserve">Valley Bakery Collective</t>
  </si>
  <si>
    <t xml:space="preserve">FA26-0421</t>
  </si>
  <si>
    <t xml:space="preserve">Cebu City Farm Collective</t>
  </si>
  <si>
    <t xml:space="preserve">FA26-0422</t>
  </si>
  <si>
    <t xml:space="preserve">Sheffield Youth Food Lab</t>
  </si>
  <si>
    <t xml:space="preserve">FA26-0423</t>
  </si>
  <si>
    <t xml:space="preserve">Columbus Food Ventures</t>
  </si>
  <si>
    <t xml:space="preserve">FA26-0424</t>
  </si>
  <si>
    <t xml:space="preserve">Peoria Youth Food Lab</t>
  </si>
  <si>
    <t xml:space="preserve">FA26-0425</t>
  </si>
  <si>
    <t xml:space="preserve">Cologne Farm Collective</t>
  </si>
  <si>
    <t xml:space="preserve">FA26-0426</t>
  </si>
  <si>
    <t xml:space="preserve">Yakima Seed Library</t>
  </si>
  <si>
    <t xml:space="preserve">FA26-0427</t>
  </si>
  <si>
    <t xml:space="preserve">Cork Cafe Training Program</t>
  </si>
  <si>
    <t xml:space="preserve">FA26-0428</t>
  </si>
  <si>
    <t xml:space="preserve">Willow Run Mobile Market</t>
  </si>
  <si>
    <t xml:space="preserve">FA26-0429</t>
  </si>
  <si>
    <t xml:space="preserve">Good Neighbor Community Pantry</t>
  </si>
  <si>
    <t xml:space="preserve">FA26-0430</t>
  </si>
  <si>
    <t xml:space="preserve">Durban Farm Collective</t>
  </si>
  <si>
    <t xml:space="preserve">FA26-0431</t>
  </si>
  <si>
    <t xml:space="preserve">Medellín Kitchen Project</t>
  </si>
  <si>
    <t xml:space="preserve">FA26-0432</t>
  </si>
  <si>
    <t xml:space="preserve">Fresno Food Bank</t>
  </si>
  <si>
    <t xml:space="preserve">FA26-0433</t>
  </si>
  <si>
    <t xml:space="preserve">High Plains Schools Nutrition Fund</t>
  </si>
  <si>
    <t xml:space="preserve">FA26-0434</t>
  </si>
  <si>
    <t xml:space="preserve">Leipzig Food Bank</t>
  </si>
  <si>
    <t xml:space="preserve">FA26-0435</t>
  </si>
  <si>
    <t xml:space="preserve">Greenway Family Center</t>
  </si>
  <si>
    <t xml:space="preserve">FA26-0436</t>
  </si>
  <si>
    <t xml:space="preserve">Riverbend Culinary Works</t>
  </si>
  <si>
    <t xml:space="preserve">FA26-0437</t>
  </si>
  <si>
    <t xml:space="preserve">Leipzig Community Pantry</t>
  </si>
  <si>
    <t xml:space="preserve">FA26-0438</t>
  </si>
  <si>
    <t xml:space="preserve">Good Neighbor Growers Cooperative</t>
  </si>
  <si>
    <t xml:space="preserve">FA26-0439</t>
  </si>
  <si>
    <t xml:space="preserve">Kestrel Kitchen Project</t>
  </si>
  <si>
    <t xml:space="preserve">FA26-0440</t>
  </si>
  <si>
    <t xml:space="preserve">Southfield Community Kitchen</t>
  </si>
  <si>
    <t xml:space="preserve">FA26-0441</t>
  </si>
  <si>
    <t xml:space="preserve">Peoria Food Bank</t>
  </si>
  <si>
    <t xml:space="preserve">FA26-0442</t>
  </si>
  <si>
    <t xml:space="preserve">Akron Schools Nutrition Fund</t>
  </si>
  <si>
    <t xml:space="preserve">FA26-0443</t>
  </si>
  <si>
    <t xml:space="preserve">Sheffield Meals Project</t>
  </si>
  <si>
    <t xml:space="preserve">FA26-0444</t>
  </si>
  <si>
    <t xml:space="preserve">Atlanta Mobile Market</t>
  </si>
  <si>
    <t xml:space="preserve">FA26-0445</t>
  </si>
  <si>
    <t xml:space="preserve">Utrecht Schools Nutrition Fund</t>
  </si>
  <si>
    <t xml:space="preserve">FA26-0446</t>
  </si>
  <si>
    <t xml:space="preserve">Old Town Seed Library</t>
  </si>
  <si>
    <t xml:space="preserve">FA26-0447</t>
  </si>
  <si>
    <t xml:space="preserve">Open Door Meals Project</t>
  </si>
  <si>
    <t xml:space="preserve">FA26-0448</t>
  </si>
  <si>
    <t xml:space="preserve">Stonebridge Cafe Training Program</t>
  </si>
  <si>
    <t xml:space="preserve">FA26-0449</t>
  </si>
  <si>
    <t xml:space="preserve">Valley Family Center</t>
  </si>
  <si>
    <t xml:space="preserve">FA26-0450</t>
  </si>
  <si>
    <t xml:space="preserve">Lakeshore Family Center</t>
  </si>
  <si>
    <t xml:space="preserve">FA26-0451</t>
  </si>
  <si>
    <t xml:space="preserve">Chicago Growers Cooperative</t>
  </si>
  <si>
    <t xml:space="preserve">FA26-0452</t>
  </si>
  <si>
    <t xml:space="preserve">Open Door Mobile Market</t>
  </si>
  <si>
    <t xml:space="preserve">FA26-0453</t>
  </si>
  <si>
    <t xml:space="preserve">Maple Street Community Kitchen</t>
  </si>
  <si>
    <t xml:space="preserve">FA26-0454</t>
  </si>
  <si>
    <t xml:space="preserve">Parkside Community Pantry</t>
  </si>
  <si>
    <t xml:space="preserve">FA26-0455</t>
  </si>
  <si>
    <t xml:space="preserve">Riverbend Farm Collective</t>
  </si>
  <si>
    <t xml:space="preserve">FA26-0456</t>
  </si>
  <si>
    <t xml:space="preserve">Hamilton Bakery Collective</t>
  </si>
  <si>
    <t xml:space="preserve">FA26-0457</t>
  </si>
  <si>
    <t xml:space="preserve">Fresno Community Kitchen</t>
  </si>
  <si>
    <t xml:space="preserve">FA26-0458</t>
  </si>
  <si>
    <t xml:space="preserve">Open Door Family Center</t>
  </si>
  <si>
    <t xml:space="preserve">FA26-0459</t>
  </si>
  <si>
    <t xml:space="preserve">Peoria Mobile Market</t>
  </si>
  <si>
    <t xml:space="preserve">FA26-0460</t>
  </si>
  <si>
    <t xml:space="preserve">Greenway Food Bank</t>
  </si>
  <si>
    <t xml:space="preserve">FA26-0461</t>
  </si>
  <si>
    <t xml:space="preserve">Toronto Youth Food Lab</t>
  </si>
  <si>
    <t xml:space="preserve">FA26-0462</t>
  </si>
  <si>
    <t xml:space="preserve">Calgary Bakery Collective</t>
  </si>
  <si>
    <t xml:space="preserve">FA26-0463</t>
  </si>
  <si>
    <t xml:space="preserve">Willow Run Farm Collective</t>
  </si>
  <si>
    <t xml:space="preserve">FA26-0464</t>
  </si>
  <si>
    <t xml:space="preserve">Milwaukee Seed Library</t>
  </si>
  <si>
    <t xml:space="preserve">FA26-0465</t>
  </si>
  <si>
    <t xml:space="preserve">Memphis Schools Nutrition Fund</t>
  </si>
  <si>
    <t xml:space="preserve">FA26-0466</t>
  </si>
  <si>
    <t xml:space="preserve">Greenway Seed Library</t>
  </si>
  <si>
    <t xml:space="preserve">FA26-0467</t>
  </si>
  <si>
    <t xml:space="preserve">Harbor Food Shelf</t>
  </si>
  <si>
    <t xml:space="preserve">FA26-0468</t>
  </si>
  <si>
    <t xml:space="preserve">Flint Culinary Works</t>
  </si>
  <si>
    <t xml:space="preserve">FA26-0469</t>
  </si>
  <si>
    <t xml:space="preserve">Halifax Schools Nutrition Fund</t>
  </si>
  <si>
    <t xml:space="preserve">FA26-0470</t>
  </si>
  <si>
    <t xml:space="preserve">Akron Market Gardens</t>
  </si>
  <si>
    <t xml:space="preserve">FA26-0471</t>
  </si>
  <si>
    <t xml:space="preserve">Des Moines Food Shelf</t>
  </si>
  <si>
    <t xml:space="preserve">FA26-0472</t>
  </si>
  <si>
    <t xml:space="preserve">Bridgeview Food Bank</t>
  </si>
  <si>
    <t xml:space="preserve">FA26-0473</t>
  </si>
  <si>
    <t xml:space="preserve">Tidewater Mobile Market</t>
  </si>
  <si>
    <t xml:space="preserve">FA26-0474</t>
  </si>
  <si>
    <t xml:space="preserve">Riverbend Market Gardens</t>
  </si>
  <si>
    <t xml:space="preserve">FA26-0475</t>
  </si>
  <si>
    <t xml:space="preserve">Toronto Food Shelf</t>
  </si>
  <si>
    <t xml:space="preserve">FA26-0476</t>
  </si>
  <si>
    <t xml:space="preserve">Old Town Food Shelf</t>
  </si>
  <si>
    <t xml:space="preserve">FA26-0477</t>
  </si>
  <si>
    <t xml:space="preserve">Louisville Food Shelf</t>
  </si>
  <si>
    <t xml:space="preserve">FA26-0478</t>
  </si>
  <si>
    <t xml:space="preserve">Canal Street Meals Project</t>
  </si>
  <si>
    <t xml:space="preserve">FA26-0479</t>
  </si>
  <si>
    <t xml:space="preserve">Hamburg Culinary Works</t>
  </si>
  <si>
    <t xml:space="preserve">FA26-0480</t>
  </si>
  <si>
    <t xml:space="preserve">Ironwood Meals Project</t>
  </si>
  <si>
    <t xml:space="preserve">FA26-0481</t>
  </si>
  <si>
    <t xml:space="preserve">Leeds Kitchen Project</t>
  </si>
  <si>
    <t xml:space="preserve">FA26-0482</t>
  </si>
  <si>
    <t xml:space="preserve">Columbus Community Pantry</t>
  </si>
  <si>
    <t xml:space="preserve">FA26-0483</t>
  </si>
  <si>
    <t xml:space="preserve">Utrecht Cafe Training Program</t>
  </si>
  <si>
    <t xml:space="preserve">FA26-0484</t>
  </si>
  <si>
    <t xml:space="preserve">Parkside Food Shelf</t>
  </si>
  <si>
    <t xml:space="preserve">FA26-0485</t>
  </si>
  <si>
    <t xml:space="preserve">Valley Food Ventures</t>
  </si>
  <si>
    <t xml:space="preserve">FA26-0486</t>
  </si>
  <si>
    <t xml:space="preserve">Louisville Family Center</t>
  </si>
  <si>
    <t xml:space="preserve">FA26-0487</t>
  </si>
  <si>
    <t xml:space="preserve">Marigold Growers Cooperative</t>
  </si>
  <si>
    <t xml:space="preserve">FA26-0488</t>
  </si>
  <si>
    <t xml:space="preserve">Medellín Culinary Works</t>
  </si>
  <si>
    <t xml:space="preserve">FA26-0489</t>
  </si>
  <si>
    <t xml:space="preserve">Bluestem Market Gardens</t>
  </si>
  <si>
    <t xml:space="preserve">FA26-0490</t>
  </si>
  <si>
    <t xml:space="preserve">Peoria Farm School</t>
  </si>
  <si>
    <t xml:space="preserve">FA26-0491</t>
  </si>
  <si>
    <t xml:space="preserve">Linden Bakery Collective</t>
  </si>
  <si>
    <t xml:space="preserve">FA26-0492</t>
  </si>
  <si>
    <t xml:space="preserve">Saltgrass Farm School</t>
  </si>
  <si>
    <t xml:space="preserve">FA26-0493</t>
  </si>
  <si>
    <t xml:space="preserve">Greenway Food Ventures</t>
  </si>
  <si>
    <t xml:space="preserve">FA26-0494</t>
  </si>
  <si>
    <t xml:space="preserve">Cologne Family Center</t>
  </si>
  <si>
    <t xml:space="preserve">FA26-0495</t>
  </si>
  <si>
    <t xml:space="preserve">Utrecht Mobile Market</t>
  </si>
  <si>
    <t xml:space="preserve">FA26-0496</t>
  </si>
  <si>
    <t xml:space="preserve">Lakeshore Community Pantry</t>
  </si>
  <si>
    <t xml:space="preserve">FA26-0497</t>
  </si>
  <si>
    <t xml:space="preserve">Des Moines Schools Nutrition Fund</t>
  </si>
  <si>
    <t xml:space="preserve">FA26-0498</t>
  </si>
  <si>
    <t xml:space="preserve">Halifax Food Bank</t>
  </si>
  <si>
    <t xml:space="preserve">FA26-0499</t>
  </si>
  <si>
    <t xml:space="preserve">Sheffield Seed Library</t>
  </si>
  <si>
    <t xml:space="preserve">FA26-0500</t>
  </si>
  <si>
    <t xml:space="preserve">Toronto Community Pantry</t>
  </si>
  <si>
    <t xml:space="preserve">FA26-0501</t>
  </si>
  <si>
    <t xml:space="preserve">Oak Hollow Farm Collective</t>
  </si>
  <si>
    <t xml:space="preserve">FA26-0502</t>
  </si>
  <si>
    <t xml:space="preserve">Atlanta Farm Collective</t>
  </si>
  <si>
    <t xml:space="preserve">FA26-0503</t>
  </si>
  <si>
    <t xml:space="preserve">Bristol Community Pantry</t>
  </si>
  <si>
    <t xml:space="preserve">FA26-0504</t>
  </si>
  <si>
    <t xml:space="preserve">Arequipa Farm School</t>
  </si>
  <si>
    <t xml:space="preserve">FA26-0505</t>
  </si>
  <si>
    <t xml:space="preserve">Bluestem Cafe Training Program</t>
  </si>
  <si>
    <t xml:space="preserve">FA26-0506</t>
  </si>
  <si>
    <t xml:space="preserve">Omaha Farm School</t>
  </si>
  <si>
    <t xml:space="preserve">FA26-0507</t>
  </si>
  <si>
    <t xml:space="preserve">Winnipeg Bakery Collective</t>
  </si>
  <si>
    <t xml:space="preserve">FA26-0508</t>
  </si>
  <si>
    <t xml:space="preserve">Columbus Food Bank</t>
  </si>
  <si>
    <t xml:space="preserve">FA26-0509</t>
  </si>
  <si>
    <t xml:space="preserve">Durham Food Bank</t>
  </si>
  <si>
    <t xml:space="preserve">FA26-0510</t>
  </si>
  <si>
    <t xml:space="preserve">Chicago Food Bank</t>
  </si>
  <si>
    <t xml:space="preserve">FA26-0511</t>
  </si>
  <si>
    <t xml:space="preserve">Harbor Community Kitchen</t>
  </si>
  <si>
    <t xml:space="preserve">FA26-0512</t>
  </si>
  <si>
    <t xml:space="preserve">Leipzig Schools Nutrition Fund</t>
  </si>
  <si>
    <t xml:space="preserve">FA26-0513</t>
  </si>
  <si>
    <t xml:space="preserve">Toledo Schools Nutrition Fund</t>
  </si>
  <si>
    <t xml:space="preserve">FA26-0514</t>
  </si>
  <si>
    <t xml:space="preserve">Jaipur Mobile Market</t>
  </si>
  <si>
    <t xml:space="preserve">FA26-0515</t>
  </si>
  <si>
    <t xml:space="preserve">Cork Schools Nutrition Fund</t>
  </si>
  <si>
    <t xml:space="preserve">FA26-0516</t>
  </si>
  <si>
    <t xml:space="preserve">Crossroads Community Pantry</t>
  </si>
  <si>
    <t xml:space="preserve">FA26-0517</t>
  </si>
  <si>
    <t xml:space="preserve">Oak Hollow Farm School</t>
  </si>
  <si>
    <t xml:space="preserve">FA26-0518</t>
  </si>
  <si>
    <t xml:space="preserve">Maple Street Seed Library</t>
  </si>
  <si>
    <t xml:space="preserve">FA26-0519</t>
  </si>
  <si>
    <t xml:space="preserve">Des Moines Market Gardens</t>
  </si>
  <si>
    <t xml:space="preserve">FA26-0520</t>
  </si>
  <si>
    <t xml:space="preserve">Cedar Food Ventures</t>
  </si>
  <si>
    <t xml:space="preserve">FA26-0521</t>
  </si>
  <si>
    <t xml:space="preserve">Medellín Mobile Market</t>
  </si>
  <si>
    <t xml:space="preserve">FA26-0522</t>
  </si>
  <si>
    <t xml:space="preserve">Lakeshore Cafe Training Program</t>
  </si>
  <si>
    <t xml:space="preserve">FA26-0523</t>
  </si>
  <si>
    <t xml:space="preserve">Yakima Food Bank</t>
  </si>
  <si>
    <t xml:space="preserve">FA26-0524</t>
  </si>
  <si>
    <t xml:space="preserve">Open Door Culinary Works</t>
  </si>
  <si>
    <t xml:space="preserve">FA26-0525</t>
  </si>
  <si>
    <t xml:space="preserve">Salvador Bakery Collective</t>
  </si>
  <si>
    <t xml:space="preserve">FA26-0526</t>
  </si>
  <si>
    <t xml:space="preserve">Cork Community Kitchen</t>
  </si>
  <si>
    <t xml:space="preserve">FA26-0527</t>
  </si>
  <si>
    <t xml:space="preserve">Oak Hollow Pantry Network</t>
  </si>
  <si>
    <t xml:space="preserve">FA26-0528</t>
  </si>
  <si>
    <t xml:space="preserve">Memphis Farm School</t>
  </si>
  <si>
    <t xml:space="preserve">FA26-0529</t>
  </si>
  <si>
    <t xml:space="preserve">Arequipa Community Pantry</t>
  </si>
  <si>
    <t xml:space="preserve">FA26-0530</t>
  </si>
  <si>
    <t xml:space="preserve">Canal Street Food Shelf</t>
  </si>
  <si>
    <t xml:space="preserve">FA26-0531</t>
  </si>
  <si>
    <t xml:space="preserve">Galway Growers Cooperative</t>
  </si>
  <si>
    <t xml:space="preserve">FA26-0532</t>
  </si>
  <si>
    <t xml:space="preserve">Bogotá Pantry Network</t>
  </si>
  <si>
    <t xml:space="preserve">FA26-0533</t>
  </si>
  <si>
    <t xml:space="preserve">Old Town Food Bank</t>
  </si>
  <si>
    <t xml:space="preserve">FA26-0534</t>
  </si>
  <si>
    <t xml:space="preserve">Prairie Food Shelf</t>
  </si>
  <si>
    <t xml:space="preserve">FA26-0535</t>
  </si>
  <si>
    <t xml:space="preserve">Valley Mobile Market</t>
  </si>
  <si>
    <t xml:space="preserve">FA26-0536</t>
  </si>
  <si>
    <t xml:space="preserve">Detroit Community Kitchen</t>
  </si>
  <si>
    <t xml:space="preserve">FA26-0537</t>
  </si>
  <si>
    <t xml:space="preserve">Milwaukee Community Kitchen</t>
  </si>
  <si>
    <t xml:space="preserve">FA26-0538</t>
  </si>
  <si>
    <t xml:space="preserve">Ironwood Food Bank</t>
  </si>
  <si>
    <t xml:space="preserve">FA26-0539</t>
  </si>
  <si>
    <t xml:space="preserve">Copper Hill Cafe Training Program</t>
  </si>
  <si>
    <t xml:space="preserve">FA26-0540</t>
  </si>
  <si>
    <t xml:space="preserve">Kestrel Cafe Training Program</t>
  </si>
  <si>
    <t xml:space="preserve">FA26-0541</t>
  </si>
  <si>
    <t xml:space="preserve">Open Door Youth Food Lab</t>
  </si>
  <si>
    <t xml:space="preserve">FA26-0542</t>
  </si>
  <si>
    <t xml:space="preserve">Marigold Bakery Collective</t>
  </si>
  <si>
    <t xml:space="preserve">FA26-0543</t>
  </si>
  <si>
    <t xml:space="preserve">Ironwood Seed Library</t>
  </si>
  <si>
    <t xml:space="preserve">FA26-0544</t>
  </si>
  <si>
    <t xml:space="preserve">Two Rivers Cafe Training Program</t>
  </si>
  <si>
    <t xml:space="preserve">FA26-0545</t>
  </si>
  <si>
    <t xml:space="preserve">Lakeshore Food Shelf</t>
  </si>
  <si>
    <t xml:space="preserve">FA26-0546</t>
  </si>
  <si>
    <t xml:space="preserve">Dayton Food Ventures</t>
  </si>
  <si>
    <t xml:space="preserve">FA26-0547</t>
  </si>
  <si>
    <t xml:space="preserve">Riverbend Youth Food Lab</t>
  </si>
  <si>
    <t xml:space="preserve">FA26-0548</t>
  </si>
  <si>
    <t xml:space="preserve">Eastside Family Center</t>
  </si>
  <si>
    <t xml:space="preserve">FA26-0549</t>
  </si>
  <si>
    <t xml:space="preserve">Cape Town Mobile Market</t>
  </si>
  <si>
    <t xml:space="preserve">FA26-0550</t>
  </si>
  <si>
    <t xml:space="preserve">Fairmount Family Center</t>
  </si>
  <si>
    <t xml:space="preserve">FA26-0551</t>
  </si>
  <si>
    <t xml:space="preserve">Canal Street Pantry Network</t>
  </si>
  <si>
    <t xml:space="preserve">FA26-0552</t>
  </si>
  <si>
    <t xml:space="preserve">Canal Street Seed Library</t>
  </si>
  <si>
    <t xml:space="preserve">FA26-0553</t>
  </si>
  <si>
    <t xml:space="preserve">Tucson Kitchen Project</t>
  </si>
  <si>
    <t xml:space="preserve">FA26-0554</t>
  </si>
  <si>
    <t xml:space="preserve">Pune Meals Project</t>
  </si>
  <si>
    <t xml:space="preserve">FA26-0555</t>
  </si>
  <si>
    <t xml:space="preserve">Atlanta Pantry Network</t>
  </si>
  <si>
    <t xml:space="preserve">FA26-0556</t>
  </si>
  <si>
    <t xml:space="preserve">Cedar Farm Collective</t>
  </si>
  <si>
    <t xml:space="preserve">FA26-0557</t>
  </si>
  <si>
    <t xml:space="preserve">Hamburg Seed Library</t>
  </si>
  <si>
    <t xml:space="preserve">FA26-0558</t>
  </si>
  <si>
    <t xml:space="preserve">Monterrey Kitchen Project</t>
  </si>
  <si>
    <t xml:space="preserve">FA26-0559</t>
  </si>
  <si>
    <t xml:space="preserve">Hamburg Mobile Market</t>
  </si>
  <si>
    <t xml:space="preserve">FA26-0560</t>
  </si>
  <si>
    <t xml:space="preserve">Madison Growers Cooperative</t>
  </si>
  <si>
    <t xml:space="preserve">FA26-0561</t>
  </si>
  <si>
    <t xml:space="preserve">Salvador Community Kitchen</t>
  </si>
  <si>
    <t xml:space="preserve">FA26-0562</t>
  </si>
  <si>
    <t xml:space="preserve">Hamilton Pantry Network</t>
  </si>
  <si>
    <t xml:space="preserve">FA26-0563</t>
  </si>
  <si>
    <t xml:space="preserve">Glasgow Kitchen Project</t>
  </si>
  <si>
    <t xml:space="preserve">FA26-0564</t>
  </si>
  <si>
    <t xml:space="preserve">Boise Cafe Training Program</t>
  </si>
  <si>
    <t xml:space="preserve">FA26-0565</t>
  </si>
  <si>
    <t xml:space="preserve">Pittsburgh Kitchen Project</t>
  </si>
  <si>
    <t xml:space="preserve">FA26-0566</t>
  </si>
  <si>
    <t xml:space="preserve">Guadalajara Seed Library</t>
  </si>
  <si>
    <t xml:space="preserve">FA26-0567</t>
  </si>
  <si>
    <t xml:space="preserve">Tucson Youth Food Lab</t>
  </si>
  <si>
    <t xml:space="preserve">FA26-0568</t>
  </si>
  <si>
    <t xml:space="preserve">Tucson Bakery Collective</t>
  </si>
  <si>
    <t xml:space="preserve">FA26-0569</t>
  </si>
  <si>
    <t xml:space="preserve">Brisbane Mobile Market</t>
  </si>
  <si>
    <t xml:space="preserve">FA26-0570</t>
  </si>
  <si>
    <t xml:space="preserve">Melbourne Pantry Network</t>
  </si>
  <si>
    <t xml:space="preserve">FA26-0571</t>
  </si>
  <si>
    <t xml:space="preserve">Willow Run Food Shelf</t>
  </si>
  <si>
    <t xml:space="preserve">FA26-0572</t>
  </si>
  <si>
    <t xml:space="preserve">Fairmount Community Pantry</t>
  </si>
  <si>
    <t xml:space="preserve">FA26-0573</t>
  </si>
  <si>
    <t xml:space="preserve">Buffalo Farm School</t>
  </si>
  <si>
    <t xml:space="preserve">FA26-0574</t>
  </si>
  <si>
    <t xml:space="preserve">Sunrise Food Shelf</t>
  </si>
  <si>
    <t xml:space="preserve">FA26-0575</t>
  </si>
  <si>
    <t xml:space="preserve">Detroit Youth Food Lab</t>
  </si>
  <si>
    <t xml:space="preserve">FA26-0576</t>
  </si>
  <si>
    <t xml:space="preserve">Union Square Food Bank</t>
  </si>
  <si>
    <t xml:space="preserve">FA26-0577</t>
  </si>
  <si>
    <t xml:space="preserve">Albany Pantry Network</t>
  </si>
  <si>
    <t xml:space="preserve">FA26-0578</t>
  </si>
  <si>
    <t xml:space="preserve">Milwaukee Bakery Collective</t>
  </si>
  <si>
    <t xml:space="preserve">FA26-0579</t>
  </si>
  <si>
    <t xml:space="preserve">Harbor Pantry Network</t>
  </si>
  <si>
    <t xml:space="preserve">FA26-0580</t>
  </si>
  <si>
    <t xml:space="preserve">Greenway Pantry Network</t>
  </si>
  <si>
    <t xml:space="preserve">FA26-0581</t>
  </si>
  <si>
    <t xml:space="preserve">Cork Bakery Collective</t>
  </si>
  <si>
    <t xml:space="preserve">FA26-0582</t>
  </si>
  <si>
    <t xml:space="preserve">Quezon City Food Bank</t>
  </si>
  <si>
    <t xml:space="preserve">FA26-0583</t>
  </si>
  <si>
    <t xml:space="preserve">Calgary Farm School</t>
  </si>
  <si>
    <t xml:space="preserve">FA26-0584</t>
  </si>
  <si>
    <t xml:space="preserve">Parkside Farm Collective</t>
  </si>
  <si>
    <t xml:space="preserve">FA26-0585</t>
  </si>
  <si>
    <t xml:space="preserve">Chennai Community Kitchen</t>
  </si>
  <si>
    <t xml:space="preserve">FA26-0586</t>
  </si>
  <si>
    <t xml:space="preserve">Detroit Farm Collective</t>
  </si>
  <si>
    <t xml:space="preserve">FA26-0587</t>
  </si>
  <si>
    <t xml:space="preserve">Maple Street Food Bank</t>
  </si>
  <si>
    <t xml:space="preserve">FA26-0588</t>
  </si>
  <si>
    <t xml:space="preserve">Canal Street Cafe Training Program</t>
  </si>
  <si>
    <t xml:space="preserve">FA26-0589</t>
  </si>
  <si>
    <t xml:space="preserve">Des Moines Meals Project</t>
  </si>
  <si>
    <t xml:space="preserve">FA26-0590</t>
  </si>
  <si>
    <t xml:space="preserve">Marigold Kitchen Project</t>
  </si>
  <si>
    <t xml:space="preserve">FA26-0591</t>
  </si>
  <si>
    <t xml:space="preserve">Denver Youth Food Lab</t>
  </si>
  <si>
    <t xml:space="preserve">FA26-0592</t>
  </si>
  <si>
    <t xml:space="preserve">Kestrel Growers Cooperative</t>
  </si>
  <si>
    <t xml:space="preserve">FA26-0593</t>
  </si>
  <si>
    <t xml:space="preserve">Good Neighbor Farm Collective</t>
  </si>
  <si>
    <t xml:space="preserve">FA26-0594</t>
  </si>
  <si>
    <t xml:space="preserve">Davao Community Pantry</t>
  </si>
  <si>
    <t xml:space="preserve">FA26-0595</t>
  </si>
  <si>
    <t xml:space="preserve">Cedar Youth Food Lab</t>
  </si>
  <si>
    <t xml:space="preserve">FA26-0596</t>
  </si>
  <si>
    <t xml:space="preserve">Atlanta Community Pantry</t>
  </si>
  <si>
    <t xml:space="preserve">Score entry</t>
  </si>
  <si>
    <t xml:space="preserve">Add one row per review. Choose the application, your name, and your role, then score each criterion from 1 to 5.</t>
  </si>
  <si>
    <t xml:space="preserve">Score ID</t>
  </si>
  <si>
    <t xml:space="preserve">Date scored</t>
  </si>
  <si>
    <t xml:space="preserve">Weighted score</t>
  </si>
  <si>
    <t xml:space="preserve">Assignment check</t>
  </si>
  <si>
    <t xml:space="preserve">Comment</t>
  </si>
  <si>
    <t xml:space="preserve">S00001</t>
  </si>
  <si>
    <t xml:space="preserve">S00002</t>
  </si>
  <si>
    <t xml:space="preserve">S00003</t>
  </si>
  <si>
    <t xml:space="preserve">S00004</t>
  </si>
  <si>
    <t xml:space="preserve">S00005</t>
  </si>
  <si>
    <t xml:space="preserve">S00006</t>
  </si>
  <si>
    <t xml:space="preserve">Results are hard to measure as written.</t>
  </si>
  <si>
    <t xml:space="preserve">S00007</t>
  </si>
  <si>
    <t xml:space="preserve">S00008</t>
  </si>
  <si>
    <t xml:space="preserve">S00009</t>
  </si>
  <si>
    <t xml:space="preserve">Community members sit on the steering group.</t>
  </si>
  <si>
    <t xml:space="preserve">S00010</t>
  </si>
  <si>
    <t xml:space="preserve">S00011</t>
  </si>
  <si>
    <t xml:space="preserve">S00012</t>
  </si>
  <si>
    <t xml:space="preserve">S00013</t>
  </si>
  <si>
    <t xml:space="preserve">S00014</t>
  </si>
  <si>
    <t xml:space="preserve">S00015</t>
  </si>
  <si>
    <t xml:space="preserve">S00016</t>
  </si>
  <si>
    <t xml:space="preserve">S00017</t>
  </si>
  <si>
    <t xml:space="preserve">S00018</t>
  </si>
  <si>
    <t xml:space="preserve">S00019</t>
  </si>
  <si>
    <t xml:space="preserve">S00020</t>
  </si>
  <si>
    <t xml:space="preserve">S00021</t>
  </si>
  <si>
    <t xml:space="preserve">S00022</t>
  </si>
  <si>
    <t xml:space="preserve">Similar to last year's grant; ask about results.</t>
  </si>
  <si>
    <t xml:space="preserve">S00023</t>
  </si>
  <si>
    <t xml:space="preserve">Capacity concerns with a new director.</t>
  </si>
  <si>
    <t xml:space="preserve">S00024</t>
  </si>
  <si>
    <t xml:space="preserve">S00025</t>
  </si>
  <si>
    <t xml:space="preserve">S00026</t>
  </si>
  <si>
    <t xml:space="preserve">S00027</t>
  </si>
  <si>
    <t xml:space="preserve">S00028</t>
  </si>
  <si>
    <t xml:space="preserve">S00029</t>
  </si>
  <si>
    <t xml:space="preserve">S00030</t>
  </si>
  <si>
    <t xml:space="preserve">Would like to see more outreach to rural families.</t>
  </si>
  <si>
    <t xml:space="preserve">S00031</t>
  </si>
  <si>
    <t xml:space="preserve">Budget needs a clearer match to staffing.</t>
  </si>
  <si>
    <t xml:space="preserve">S00032</t>
  </si>
  <si>
    <t xml:space="preserve">S00033</t>
  </si>
  <si>
    <t xml:space="preserve">S00034</t>
  </si>
  <si>
    <t xml:space="preserve">S00035</t>
  </si>
  <si>
    <t xml:space="preserve">S00036</t>
  </si>
  <si>
    <t xml:space="preserve">S00037</t>
  </si>
  <si>
    <t xml:space="preserve">S00038</t>
  </si>
  <si>
    <t xml:space="preserve">S00039</t>
  </si>
  <si>
    <t xml:space="preserve">Strong local data on need.</t>
  </si>
  <si>
    <t xml:space="preserve">S00040</t>
  </si>
  <si>
    <t xml:space="preserve">S00041</t>
  </si>
  <si>
    <t xml:space="preserve">S00042</t>
  </si>
  <si>
    <t xml:space="preserve">S00043</t>
  </si>
  <si>
    <t xml:space="preserve">S00044</t>
  </si>
  <si>
    <t xml:space="preserve">S00045</t>
  </si>
  <si>
    <t xml:space="preserve">S00046</t>
  </si>
  <si>
    <t xml:space="preserve">S00047</t>
  </si>
  <si>
    <t xml:space="preserve">S00048</t>
  </si>
  <si>
    <t xml:space="preserve">S00049</t>
  </si>
  <si>
    <t xml:space="preserve">S00050</t>
  </si>
  <si>
    <t xml:space="preserve">S00051</t>
  </si>
  <si>
    <t xml:space="preserve">S00052</t>
  </si>
  <si>
    <t xml:space="preserve">S00053</t>
  </si>
  <si>
    <t xml:space="preserve">S00054</t>
  </si>
  <si>
    <t xml:space="preserve">S00055</t>
  </si>
  <si>
    <t xml:space="preserve">S00056</t>
  </si>
  <si>
    <t xml:space="preserve">S00057</t>
  </si>
  <si>
    <t xml:space="preserve">S00058</t>
  </si>
  <si>
    <t xml:space="preserve">S00059</t>
  </si>
  <si>
    <t xml:space="preserve">S00060</t>
  </si>
  <si>
    <t xml:space="preserve">S00061</t>
  </si>
  <si>
    <t xml:space="preserve">S00062</t>
  </si>
  <si>
    <t xml:space="preserve">S00063</t>
  </si>
  <si>
    <t xml:space="preserve">S00064</t>
  </si>
  <si>
    <t xml:space="preserve">S00065</t>
  </si>
  <si>
    <t xml:space="preserve">S00066</t>
  </si>
  <si>
    <t xml:space="preserve">S00067</t>
  </si>
  <si>
    <t xml:space="preserve">S00068</t>
  </si>
  <si>
    <t xml:space="preserve">S00069</t>
  </si>
  <si>
    <t xml:space="preserve">S00070</t>
  </si>
  <si>
    <t xml:space="preserve">S00071</t>
  </si>
  <si>
    <t xml:space="preserve">S00072</t>
  </si>
  <si>
    <t xml:space="preserve">S00073</t>
  </si>
  <si>
    <t xml:space="preserve">S00074</t>
  </si>
  <si>
    <t xml:space="preserve">S00075</t>
  </si>
  <si>
    <t xml:space="preserve">S00076</t>
  </si>
  <si>
    <t xml:space="preserve">S00077</t>
  </si>
  <si>
    <t xml:space="preserve">S00078</t>
  </si>
  <si>
    <t xml:space="preserve">S00079</t>
  </si>
  <si>
    <t xml:space="preserve">S00080</t>
  </si>
  <si>
    <t xml:space="preserve">S00081</t>
  </si>
  <si>
    <t xml:space="preserve">S00082</t>
  </si>
  <si>
    <t xml:space="preserve">S00083</t>
  </si>
  <si>
    <t xml:space="preserve">S00084</t>
  </si>
  <si>
    <t xml:space="preserve">S00085</t>
  </si>
  <si>
    <t xml:space="preserve">S00086</t>
  </si>
  <si>
    <t xml:space="preserve">S00087</t>
  </si>
  <si>
    <t xml:space="preserve">S00088</t>
  </si>
  <si>
    <t xml:space="preserve">S00089</t>
  </si>
  <si>
    <t xml:space="preserve">S00090</t>
  </si>
  <si>
    <t xml:space="preserve">S00091</t>
  </si>
  <si>
    <t xml:space="preserve">S00092</t>
  </si>
  <si>
    <t xml:space="preserve">S00093</t>
  </si>
  <si>
    <t xml:space="preserve">S00094</t>
  </si>
  <si>
    <t xml:space="preserve">Clear plan, modest request.</t>
  </si>
  <si>
    <t xml:space="preserve">S00095</t>
  </si>
  <si>
    <t xml:space="preserve">S00096</t>
  </si>
  <si>
    <t xml:space="preserve">S00097</t>
  </si>
  <si>
    <t xml:space="preserve">S00098</t>
  </si>
  <si>
    <t xml:space="preserve">S00099</t>
  </si>
  <si>
    <t xml:space="preserve">S00100</t>
  </si>
  <si>
    <t xml:space="preserve">S00101</t>
  </si>
  <si>
    <t xml:space="preserve">S00102</t>
  </si>
  <si>
    <t xml:space="preserve">S00103</t>
  </si>
  <si>
    <t xml:space="preserve">S00104</t>
  </si>
  <si>
    <t xml:space="preserve">S00105</t>
  </si>
  <si>
    <t xml:space="preserve">S00106</t>
  </si>
  <si>
    <t xml:space="preserve">S00107</t>
  </si>
  <si>
    <t xml:space="preserve">S00108</t>
  </si>
  <si>
    <t xml:space="preserve">S00109</t>
  </si>
  <si>
    <t xml:space="preserve">S00110</t>
  </si>
  <si>
    <t xml:space="preserve">S00111</t>
  </si>
  <si>
    <t xml:space="preserve">S00112</t>
  </si>
  <si>
    <t xml:space="preserve">S00113</t>
  </si>
  <si>
    <t xml:space="preserve">S00114</t>
  </si>
  <si>
    <t xml:space="preserve">S00115</t>
  </si>
  <si>
    <t xml:space="preserve">S00116</t>
  </si>
  <si>
    <t xml:space="preserve">S00117</t>
  </si>
  <si>
    <t xml:space="preserve">S00118</t>
  </si>
  <si>
    <t xml:space="preserve">S00119</t>
  </si>
  <si>
    <t xml:space="preserve">S00120</t>
  </si>
  <si>
    <t xml:space="preserve">S00121</t>
  </si>
  <si>
    <t xml:space="preserve">S00122</t>
  </si>
  <si>
    <t xml:space="preserve">S00123</t>
  </si>
  <si>
    <t xml:space="preserve">S00124</t>
  </si>
  <si>
    <t xml:space="preserve">S00125</t>
  </si>
  <si>
    <t xml:space="preserve">S00126</t>
  </si>
  <si>
    <t xml:space="preserve">S00127</t>
  </si>
  <si>
    <t xml:space="preserve">S00128</t>
  </si>
  <si>
    <t xml:space="preserve">S00129</t>
  </si>
  <si>
    <t xml:space="preserve">S00130</t>
  </si>
  <si>
    <t xml:space="preserve">S00131</t>
  </si>
  <si>
    <t xml:space="preserve">S00132</t>
  </si>
  <si>
    <t xml:space="preserve">S00133</t>
  </si>
  <si>
    <t xml:space="preserve">S00134</t>
  </si>
  <si>
    <t xml:space="preserve">S00135</t>
  </si>
  <si>
    <t xml:space="preserve">S00136</t>
  </si>
  <si>
    <t xml:space="preserve">S00137</t>
  </si>
  <si>
    <t xml:space="preserve">S00138</t>
  </si>
  <si>
    <t xml:space="preserve">S00139</t>
  </si>
  <si>
    <t xml:space="preserve">S00140</t>
  </si>
  <si>
    <t xml:space="preserve">S00141</t>
  </si>
  <si>
    <t xml:space="preserve">S00142</t>
  </si>
  <si>
    <t xml:space="preserve">S00143</t>
  </si>
  <si>
    <t xml:space="preserve">S00144</t>
  </si>
  <si>
    <t xml:space="preserve">S00145</t>
  </si>
  <si>
    <t xml:space="preserve">S00146</t>
  </si>
  <si>
    <t xml:space="preserve">S00147</t>
  </si>
  <si>
    <t xml:space="preserve">S00148</t>
  </si>
  <si>
    <t xml:space="preserve">S00149</t>
  </si>
  <si>
    <t xml:space="preserve">S00150</t>
  </si>
  <si>
    <t xml:space="preserve">S00151</t>
  </si>
  <si>
    <t xml:space="preserve">S00152</t>
  </si>
  <si>
    <t xml:space="preserve">S00153</t>
  </si>
  <si>
    <t xml:space="preserve">S00154</t>
  </si>
  <si>
    <t xml:space="preserve">S00155</t>
  </si>
  <si>
    <t xml:space="preserve">S00156</t>
  </si>
  <si>
    <t xml:space="preserve">S00157</t>
  </si>
  <si>
    <t xml:space="preserve">S00158</t>
  </si>
  <si>
    <t xml:space="preserve">S00159</t>
  </si>
  <si>
    <t xml:space="preserve">S00160</t>
  </si>
  <si>
    <t xml:space="preserve">S00161</t>
  </si>
  <si>
    <t xml:space="preserve">S00162</t>
  </si>
  <si>
    <t xml:space="preserve">S00163</t>
  </si>
  <si>
    <t xml:space="preserve">S00164</t>
  </si>
  <si>
    <t xml:space="preserve">S00165</t>
  </si>
  <si>
    <t xml:space="preserve">S00166</t>
  </si>
  <si>
    <t xml:space="preserve">S00167</t>
  </si>
  <si>
    <t xml:space="preserve">S00168</t>
  </si>
  <si>
    <t xml:space="preserve">S00169</t>
  </si>
  <si>
    <t xml:space="preserve">S00170</t>
  </si>
  <si>
    <t xml:space="preserve">S00171</t>
  </si>
  <si>
    <t xml:space="preserve">S00172</t>
  </si>
  <si>
    <t xml:space="preserve">S00173</t>
  </si>
  <si>
    <t xml:space="preserve">S00174</t>
  </si>
  <si>
    <t xml:space="preserve">S00175</t>
  </si>
  <si>
    <t xml:space="preserve">S00176</t>
  </si>
  <si>
    <t xml:space="preserve">S00177</t>
  </si>
  <si>
    <t xml:space="preserve">S00178</t>
  </si>
  <si>
    <t xml:space="preserve">S00179</t>
  </si>
  <si>
    <t xml:space="preserve">S00180</t>
  </si>
  <si>
    <t xml:space="preserve">S00181</t>
  </si>
  <si>
    <t xml:space="preserve">S00182</t>
  </si>
  <si>
    <t xml:space="preserve">S00183</t>
  </si>
  <si>
    <t xml:space="preserve">S00184</t>
  </si>
  <si>
    <t xml:space="preserve">S00185</t>
  </si>
  <si>
    <t xml:space="preserve">S00186</t>
  </si>
  <si>
    <t xml:space="preserve">S00187</t>
  </si>
  <si>
    <t xml:space="preserve">S00188</t>
  </si>
  <si>
    <t xml:space="preserve">S00189</t>
  </si>
  <si>
    <t xml:space="preserve">S00190</t>
  </si>
  <si>
    <t xml:space="preserve">S00191</t>
  </si>
  <si>
    <t xml:space="preserve">S00192</t>
  </si>
  <si>
    <t xml:space="preserve">Good partner letters.</t>
  </si>
  <si>
    <t xml:space="preserve">S00193</t>
  </si>
  <si>
    <t xml:space="preserve">S00194</t>
  </si>
  <si>
    <t xml:space="preserve">S00195</t>
  </si>
  <si>
    <t xml:space="preserve">S00196</t>
  </si>
  <si>
    <t xml:space="preserve">S00197</t>
  </si>
  <si>
    <t xml:space="preserve">S00198</t>
  </si>
  <si>
    <t xml:space="preserve">S00199</t>
  </si>
  <si>
    <t xml:space="preserve">S00200</t>
  </si>
  <si>
    <t xml:space="preserve">S00201</t>
  </si>
  <si>
    <t xml:space="preserve">S00202</t>
  </si>
  <si>
    <t xml:space="preserve">S00203</t>
  </si>
  <si>
    <t xml:space="preserve">S00204</t>
  </si>
  <si>
    <t xml:space="preserve">S00205</t>
  </si>
  <si>
    <t xml:space="preserve">S00206</t>
  </si>
  <si>
    <t xml:space="preserve">S00207</t>
  </si>
  <si>
    <t xml:space="preserve">S00208</t>
  </si>
  <si>
    <t xml:space="preserve">S00209</t>
  </si>
  <si>
    <t xml:space="preserve">S00210</t>
  </si>
  <si>
    <t xml:space="preserve">S00211</t>
  </si>
  <si>
    <t xml:space="preserve">S00212</t>
  </si>
  <si>
    <t xml:space="preserve">S00213</t>
  </si>
  <si>
    <t xml:space="preserve">S00214</t>
  </si>
  <si>
    <t xml:space="preserve">S00215</t>
  </si>
  <si>
    <t xml:space="preserve">S00216</t>
  </si>
  <si>
    <t xml:space="preserve">S00217</t>
  </si>
  <si>
    <t xml:space="preserve">S00218</t>
  </si>
  <si>
    <t xml:space="preserve">S00219</t>
  </si>
  <si>
    <t xml:space="preserve">S00220</t>
  </si>
  <si>
    <t xml:space="preserve">S00221</t>
  </si>
  <si>
    <t xml:space="preserve">S00222</t>
  </si>
  <si>
    <t xml:space="preserve">S00223</t>
  </si>
  <si>
    <t xml:space="preserve">S00224</t>
  </si>
  <si>
    <t xml:space="preserve">S00225</t>
  </si>
  <si>
    <t xml:space="preserve">S00226</t>
  </si>
  <si>
    <t xml:space="preserve">S00227</t>
  </si>
  <si>
    <t xml:space="preserve">S00228</t>
  </si>
  <si>
    <t xml:space="preserve">S00229</t>
  </si>
  <si>
    <t xml:space="preserve">S00230</t>
  </si>
  <si>
    <t xml:space="preserve">S00231</t>
  </si>
  <si>
    <t xml:space="preserve">S00232</t>
  </si>
  <si>
    <t xml:space="preserve">S00233</t>
  </si>
  <si>
    <t xml:space="preserve">S00234</t>
  </si>
  <si>
    <t xml:space="preserve">S00235</t>
  </si>
  <si>
    <t xml:space="preserve">S00236</t>
  </si>
  <si>
    <t xml:space="preserve">S00237</t>
  </si>
  <si>
    <t xml:space="preserve">S00238</t>
  </si>
  <si>
    <t xml:space="preserve">S00239</t>
  </si>
  <si>
    <t xml:space="preserve">S00240</t>
  </si>
  <si>
    <t xml:space="preserve">S00241</t>
  </si>
  <si>
    <t xml:space="preserve">S00242</t>
  </si>
  <si>
    <t xml:space="preserve">S00243</t>
  </si>
  <si>
    <t xml:space="preserve">S00244</t>
  </si>
  <si>
    <t xml:space="preserve">S00245</t>
  </si>
  <si>
    <t xml:space="preserve">S00246</t>
  </si>
  <si>
    <t xml:space="preserve">S00247</t>
  </si>
  <si>
    <t xml:space="preserve">S00248</t>
  </si>
  <si>
    <t xml:space="preserve">S00249</t>
  </si>
  <si>
    <t xml:space="preserve">S00250</t>
  </si>
  <si>
    <t xml:space="preserve">S00251</t>
  </si>
  <si>
    <t xml:space="preserve">S00252</t>
  </si>
  <si>
    <t xml:space="preserve">S00253</t>
  </si>
  <si>
    <t xml:space="preserve">S00254</t>
  </si>
  <si>
    <t xml:space="preserve">S00255</t>
  </si>
  <si>
    <t xml:space="preserve">S00256</t>
  </si>
  <si>
    <t xml:space="preserve">S00257</t>
  </si>
  <si>
    <t xml:space="preserve">S00258</t>
  </si>
  <si>
    <t xml:space="preserve">S00259</t>
  </si>
  <si>
    <t xml:space="preserve">S00260</t>
  </si>
  <si>
    <t xml:space="preserve">S00261</t>
  </si>
  <si>
    <t xml:space="preserve">S00262</t>
  </si>
  <si>
    <t xml:space="preserve">S00263</t>
  </si>
  <si>
    <t xml:space="preserve">S00264</t>
  </si>
  <si>
    <t xml:space="preserve">S00265</t>
  </si>
  <si>
    <t xml:space="preserve">S00266</t>
  </si>
  <si>
    <t xml:space="preserve">S00267</t>
  </si>
  <si>
    <t xml:space="preserve">S00268</t>
  </si>
  <si>
    <t xml:space="preserve">S00269</t>
  </si>
  <si>
    <t xml:space="preserve">S00270</t>
  </si>
  <si>
    <t xml:space="preserve">S00271</t>
  </si>
  <si>
    <t xml:space="preserve">S00272</t>
  </si>
  <si>
    <t xml:space="preserve">S00273</t>
  </si>
  <si>
    <t xml:space="preserve">S00274</t>
  </si>
  <si>
    <t xml:space="preserve">S00275</t>
  </si>
  <si>
    <t xml:space="preserve">S00276</t>
  </si>
  <si>
    <t xml:space="preserve">S00277</t>
  </si>
  <si>
    <t xml:space="preserve">S00278</t>
  </si>
  <si>
    <t xml:space="preserve">S00279</t>
  </si>
  <si>
    <t xml:space="preserve">S00280</t>
  </si>
  <si>
    <t xml:space="preserve">S00281</t>
  </si>
  <si>
    <t xml:space="preserve">S00282</t>
  </si>
  <si>
    <t xml:space="preserve">S00283</t>
  </si>
  <si>
    <t xml:space="preserve">S00284</t>
  </si>
  <si>
    <t xml:space="preserve">S00285</t>
  </si>
  <si>
    <t xml:space="preserve">S00286</t>
  </si>
  <si>
    <t xml:space="preserve">S00287</t>
  </si>
  <si>
    <t xml:space="preserve">S00288</t>
  </si>
  <si>
    <t xml:space="preserve">S00289</t>
  </si>
  <si>
    <t xml:space="preserve">S00290</t>
  </si>
  <si>
    <t xml:space="preserve">S00291</t>
  </si>
  <si>
    <t xml:space="preserve">S00292</t>
  </si>
  <si>
    <t xml:space="preserve">S00293</t>
  </si>
  <si>
    <t xml:space="preserve">S00294</t>
  </si>
  <si>
    <t xml:space="preserve">S00295</t>
  </si>
  <si>
    <t xml:space="preserve">S00296</t>
  </si>
  <si>
    <t xml:space="preserve">S00297</t>
  </si>
  <si>
    <t xml:space="preserve">S00298</t>
  </si>
  <si>
    <t xml:space="preserve">S00299</t>
  </si>
  <si>
    <t xml:space="preserve">S00300</t>
  </si>
  <si>
    <t xml:space="preserve">S00301</t>
  </si>
  <si>
    <t xml:space="preserve">S00302</t>
  </si>
  <si>
    <t xml:space="preserve">S00303</t>
  </si>
  <si>
    <t xml:space="preserve">S00304</t>
  </si>
  <si>
    <t xml:space="preserve">S00305</t>
  </si>
  <si>
    <t xml:space="preserve">S00306</t>
  </si>
  <si>
    <t xml:space="preserve">S00307</t>
  </si>
  <si>
    <t xml:space="preserve">S00308</t>
  </si>
  <si>
    <t xml:space="preserve">S00309</t>
  </si>
  <si>
    <t xml:space="preserve">S00310</t>
  </si>
  <si>
    <t xml:space="preserve">S00311</t>
  </si>
  <si>
    <t xml:space="preserve">S00312</t>
  </si>
  <si>
    <t xml:space="preserve">S00313</t>
  </si>
  <si>
    <t xml:space="preserve">S00314</t>
  </si>
  <si>
    <t xml:space="preserve">S00315</t>
  </si>
  <si>
    <t xml:space="preserve">S00316</t>
  </si>
  <si>
    <t xml:space="preserve">S00317</t>
  </si>
  <si>
    <t xml:space="preserve">S00318</t>
  </si>
  <si>
    <t xml:space="preserve">S00319</t>
  </si>
  <si>
    <t xml:space="preserve">S00320</t>
  </si>
  <si>
    <t xml:space="preserve">S00321</t>
  </si>
  <si>
    <t xml:space="preserve">S00322</t>
  </si>
  <si>
    <t xml:space="preserve">S00323</t>
  </si>
  <si>
    <t xml:space="preserve">S00324</t>
  </si>
  <si>
    <t xml:space="preserve">S00325</t>
  </si>
  <si>
    <t xml:space="preserve">S00326</t>
  </si>
  <si>
    <t xml:space="preserve">S00327</t>
  </si>
  <si>
    <t xml:space="preserve">S00328</t>
  </si>
  <si>
    <t xml:space="preserve">S00329</t>
  </si>
  <si>
    <t xml:space="preserve">S00330</t>
  </si>
  <si>
    <t xml:space="preserve">S00331</t>
  </si>
  <si>
    <t xml:space="preserve">S00332</t>
  </si>
  <si>
    <t xml:space="preserve">S00333</t>
  </si>
  <si>
    <t xml:space="preserve">S00334</t>
  </si>
  <si>
    <t xml:space="preserve">S00335</t>
  </si>
  <si>
    <t xml:space="preserve">S00336</t>
  </si>
  <si>
    <t xml:space="preserve">S00337</t>
  </si>
  <si>
    <t xml:space="preserve">S00338</t>
  </si>
  <si>
    <t xml:space="preserve">S00339</t>
  </si>
  <si>
    <t xml:space="preserve">S00340</t>
  </si>
  <si>
    <t xml:space="preserve">S00341</t>
  </si>
  <si>
    <t xml:space="preserve">S00342</t>
  </si>
  <si>
    <t xml:space="preserve">S00343</t>
  </si>
  <si>
    <t xml:space="preserve">S00344</t>
  </si>
  <si>
    <t xml:space="preserve">S00345</t>
  </si>
  <si>
    <t xml:space="preserve">S00346</t>
  </si>
  <si>
    <t xml:space="preserve">S00347</t>
  </si>
  <si>
    <t xml:space="preserve">S00348</t>
  </si>
  <si>
    <t xml:space="preserve">S00349</t>
  </si>
  <si>
    <t xml:space="preserve">S00350</t>
  </si>
  <si>
    <t xml:space="preserve">S00351</t>
  </si>
  <si>
    <t xml:space="preserve">S00352</t>
  </si>
  <si>
    <t xml:space="preserve">S00353</t>
  </si>
  <si>
    <t xml:space="preserve">S00354</t>
  </si>
  <si>
    <t xml:space="preserve">S00355</t>
  </si>
  <si>
    <t xml:space="preserve">S00356</t>
  </si>
  <si>
    <t xml:space="preserve">S00357</t>
  </si>
  <si>
    <t xml:space="preserve">S00358</t>
  </si>
  <si>
    <t xml:space="preserve">S00359</t>
  </si>
  <si>
    <t xml:space="preserve">S00360</t>
  </si>
  <si>
    <t xml:space="preserve">S00361</t>
  </si>
  <si>
    <t xml:space="preserve">S00362</t>
  </si>
  <si>
    <t xml:space="preserve">S00363</t>
  </si>
  <si>
    <t xml:space="preserve">S00364</t>
  </si>
  <si>
    <t xml:space="preserve">S00365</t>
  </si>
  <si>
    <t xml:space="preserve">S00366</t>
  </si>
  <si>
    <t xml:space="preserve">S00367</t>
  </si>
  <si>
    <t xml:space="preserve">S00368</t>
  </si>
  <si>
    <t xml:space="preserve">S00369</t>
  </si>
  <si>
    <t xml:space="preserve">S00370</t>
  </si>
  <si>
    <t xml:space="preserve">S00371</t>
  </si>
  <si>
    <t xml:space="preserve">S00372</t>
  </si>
  <si>
    <t xml:space="preserve">S00373</t>
  </si>
  <si>
    <t xml:space="preserve">S00374</t>
  </si>
  <si>
    <t xml:space="preserve">S00375</t>
  </si>
  <si>
    <t xml:space="preserve">S00376</t>
  </si>
  <si>
    <t xml:space="preserve">S00377</t>
  </si>
  <si>
    <t xml:space="preserve">S00378</t>
  </si>
  <si>
    <t xml:space="preserve">S00379</t>
  </si>
  <si>
    <t xml:space="preserve">S00380</t>
  </si>
  <si>
    <t xml:space="preserve">S00381</t>
  </si>
  <si>
    <t xml:space="preserve">S00382</t>
  </si>
  <si>
    <t xml:space="preserve">Entered under the wrong name; check with the panel lead.</t>
  </si>
  <si>
    <t xml:space="preserve">S00383</t>
  </si>
  <si>
    <t xml:space="preserve">S00384</t>
  </si>
  <si>
    <t xml:space="preserve">S00385</t>
  </si>
  <si>
    <t xml:space="preserve">S00386</t>
  </si>
  <si>
    <t xml:space="preserve">S00387</t>
  </si>
  <si>
    <t xml:space="preserve">S00388</t>
  </si>
  <si>
    <t xml:space="preserve">S00389</t>
  </si>
  <si>
    <t xml:space="preserve">S00390</t>
  </si>
  <si>
    <t xml:space="preserve">S00391</t>
  </si>
  <si>
    <t xml:space="preserve">S00392</t>
  </si>
  <si>
    <t xml:space="preserve">S00393</t>
  </si>
  <si>
    <t xml:space="preserve">S00394</t>
  </si>
  <si>
    <t xml:space="preserve">S00395</t>
  </si>
  <si>
    <t xml:space="preserve">S00396</t>
  </si>
  <si>
    <t xml:space="preserve">S00397</t>
  </si>
  <si>
    <t xml:space="preserve">S00398</t>
  </si>
  <si>
    <t xml:space="preserve">S00399</t>
  </si>
  <si>
    <t xml:space="preserve">S00400</t>
  </si>
  <si>
    <t xml:space="preserve">S00401</t>
  </si>
  <si>
    <t xml:space="preserve">S00402</t>
  </si>
  <si>
    <t xml:space="preserve">S00403</t>
  </si>
  <si>
    <t xml:space="preserve">S00404</t>
  </si>
  <si>
    <t xml:space="preserve">S00405</t>
  </si>
  <si>
    <t xml:space="preserve">S00406</t>
  </si>
  <si>
    <t xml:space="preserve">S00407</t>
  </si>
  <si>
    <t xml:space="preserve">S00408</t>
  </si>
  <si>
    <t xml:space="preserve">S00409</t>
  </si>
  <si>
    <t xml:space="preserve">S00410</t>
  </si>
  <si>
    <t xml:space="preserve">S00411</t>
  </si>
  <si>
    <t xml:space="preserve">S00412</t>
  </si>
  <si>
    <t xml:space="preserve">S00413</t>
  </si>
  <si>
    <t xml:space="preserve">S00414</t>
  </si>
  <si>
    <t xml:space="preserve">S00415</t>
  </si>
  <si>
    <t xml:space="preserve">S00416</t>
  </si>
  <si>
    <t xml:space="preserve">S00417</t>
  </si>
  <si>
    <t xml:space="preserve">S00418</t>
  </si>
  <si>
    <t xml:space="preserve">S00419</t>
  </si>
  <si>
    <t xml:space="preserve">S00420</t>
  </si>
  <si>
    <t xml:space="preserve">S00421</t>
  </si>
  <si>
    <t xml:space="preserve">S00422</t>
  </si>
  <si>
    <t xml:space="preserve">S00423</t>
  </si>
  <si>
    <t xml:space="preserve">S00424</t>
  </si>
  <si>
    <t xml:space="preserve">S00425</t>
  </si>
  <si>
    <t xml:space="preserve">S00426</t>
  </si>
  <si>
    <t xml:space="preserve">S00427</t>
  </si>
  <si>
    <t xml:space="preserve">S00428</t>
  </si>
  <si>
    <t xml:space="preserve">S00429</t>
  </si>
  <si>
    <t xml:space="preserve">S00430</t>
  </si>
  <si>
    <t xml:space="preserve">S00431</t>
  </si>
  <si>
    <t xml:space="preserve">S00432</t>
  </si>
  <si>
    <t xml:space="preserve">S00433</t>
  </si>
  <si>
    <t xml:space="preserve">S00434</t>
  </si>
  <si>
    <t xml:space="preserve">S00435</t>
  </si>
  <si>
    <t xml:space="preserve">S00436</t>
  </si>
  <si>
    <t xml:space="preserve">S00437</t>
  </si>
  <si>
    <t xml:space="preserve">S00438</t>
  </si>
  <si>
    <t xml:space="preserve">S00439</t>
  </si>
  <si>
    <t xml:space="preserve">S00440</t>
  </si>
  <si>
    <t xml:space="preserve">S00441</t>
  </si>
  <si>
    <t xml:space="preserve">S00442</t>
  </si>
  <si>
    <t xml:space="preserve">S00443</t>
  </si>
  <si>
    <t xml:space="preserve">S00444</t>
  </si>
  <si>
    <t xml:space="preserve">S00445</t>
  </si>
  <si>
    <t xml:space="preserve">S00446</t>
  </si>
  <si>
    <t xml:space="preserve">S00447</t>
  </si>
  <si>
    <t xml:space="preserve">S00448</t>
  </si>
  <si>
    <t xml:space="preserve">S00449</t>
  </si>
  <si>
    <t xml:space="preserve">S00450</t>
  </si>
  <si>
    <t xml:space="preserve">S00451</t>
  </si>
  <si>
    <t xml:space="preserve">S00452</t>
  </si>
  <si>
    <t xml:space="preserve">S00453</t>
  </si>
  <si>
    <t xml:space="preserve">S00454</t>
  </si>
  <si>
    <t xml:space="preserve">S00455</t>
  </si>
  <si>
    <t xml:space="preserve">S00456</t>
  </si>
  <si>
    <t xml:space="preserve">S00457</t>
  </si>
  <si>
    <t xml:space="preserve">S00458</t>
  </si>
  <si>
    <t xml:space="preserve">S00459</t>
  </si>
  <si>
    <t xml:space="preserve">S00460</t>
  </si>
  <si>
    <t xml:space="preserve">S00461</t>
  </si>
  <si>
    <t xml:space="preserve">S00462</t>
  </si>
  <si>
    <t xml:space="preserve">S00463</t>
  </si>
  <si>
    <t xml:space="preserve">S00464</t>
  </si>
  <si>
    <t xml:space="preserve">S00465</t>
  </si>
  <si>
    <t xml:space="preserve">S00466</t>
  </si>
  <si>
    <t xml:space="preserve">S00467</t>
  </si>
  <si>
    <t xml:space="preserve">S00468</t>
  </si>
  <si>
    <t xml:space="preserve">S00469</t>
  </si>
  <si>
    <t xml:space="preserve">S00470</t>
  </si>
  <si>
    <t xml:space="preserve">S00471</t>
  </si>
  <si>
    <t xml:space="preserve">S00472</t>
  </si>
  <si>
    <t xml:space="preserve">S00473</t>
  </si>
  <si>
    <t xml:space="preserve">S00474</t>
  </si>
  <si>
    <t xml:space="preserve">S00475</t>
  </si>
  <si>
    <t xml:space="preserve">S00476</t>
  </si>
  <si>
    <t xml:space="preserve">S00477</t>
  </si>
  <si>
    <t xml:space="preserve">S00478</t>
  </si>
  <si>
    <t xml:space="preserve">S00479</t>
  </si>
  <si>
    <t xml:space="preserve">S00480</t>
  </si>
  <si>
    <t xml:space="preserve">S00481</t>
  </si>
  <si>
    <t xml:space="preserve">S00482</t>
  </si>
  <si>
    <t xml:space="preserve">S00483</t>
  </si>
  <si>
    <t xml:space="preserve">S00484</t>
  </si>
  <si>
    <t xml:space="preserve">S00485</t>
  </si>
  <si>
    <t xml:space="preserve">S00486</t>
  </si>
  <si>
    <t xml:space="preserve">S00487</t>
  </si>
  <si>
    <t xml:space="preserve">S00488</t>
  </si>
  <si>
    <t xml:space="preserve">S00489</t>
  </si>
  <si>
    <t xml:space="preserve">S00490</t>
  </si>
  <si>
    <t xml:space="preserve">S00491</t>
  </si>
  <si>
    <t xml:space="preserve">S00492</t>
  </si>
  <si>
    <t xml:space="preserve">S00493</t>
  </si>
  <si>
    <t xml:space="preserve">S00494</t>
  </si>
  <si>
    <t xml:space="preserve">S00495</t>
  </si>
  <si>
    <t xml:space="preserve">S00496</t>
  </si>
  <si>
    <t xml:space="preserve">S00497</t>
  </si>
  <si>
    <t xml:space="preserve">S00498</t>
  </si>
  <si>
    <t xml:space="preserve">S00499</t>
  </si>
  <si>
    <t xml:space="preserve">S00500</t>
  </si>
  <si>
    <t xml:space="preserve">S00501</t>
  </si>
  <si>
    <t xml:space="preserve">S00502</t>
  </si>
  <si>
    <t xml:space="preserve">S00503</t>
  </si>
  <si>
    <t xml:space="preserve">S00504</t>
  </si>
  <si>
    <t xml:space="preserve">S00505</t>
  </si>
  <si>
    <t xml:space="preserve">S00506</t>
  </si>
  <si>
    <t xml:space="preserve">S00507</t>
  </si>
  <si>
    <t xml:space="preserve">S00508</t>
  </si>
  <si>
    <t xml:space="preserve">S00509</t>
  </si>
  <si>
    <t xml:space="preserve">S00510</t>
  </si>
  <si>
    <t xml:space="preserve">S00511</t>
  </si>
  <si>
    <t xml:space="preserve">S00512</t>
  </si>
  <si>
    <t xml:space="preserve">S00513</t>
  </si>
  <si>
    <t xml:space="preserve">S00514</t>
  </si>
  <si>
    <t xml:space="preserve">S00515</t>
  </si>
  <si>
    <t xml:space="preserve">S00516</t>
  </si>
  <si>
    <t xml:space="preserve">S00517</t>
  </si>
  <si>
    <t xml:space="preserve">S00518</t>
  </si>
  <si>
    <t xml:space="preserve">S00519</t>
  </si>
  <si>
    <t xml:space="preserve">S00520</t>
  </si>
  <si>
    <t xml:space="preserve">S00521</t>
  </si>
  <si>
    <t xml:space="preserve">S00522</t>
  </si>
  <si>
    <t xml:space="preserve">S00523</t>
  </si>
  <si>
    <t xml:space="preserve">S00524</t>
  </si>
  <si>
    <t xml:space="preserve">S00525</t>
  </si>
  <si>
    <t xml:space="preserve">S00526</t>
  </si>
  <si>
    <t xml:space="preserve">S00527</t>
  </si>
  <si>
    <t xml:space="preserve">S00528</t>
  </si>
  <si>
    <t xml:space="preserve">S00529</t>
  </si>
  <si>
    <t xml:space="preserve">S00530</t>
  </si>
  <si>
    <t xml:space="preserve">S00531</t>
  </si>
  <si>
    <t xml:space="preserve">S00532</t>
  </si>
  <si>
    <t xml:space="preserve">S00533</t>
  </si>
  <si>
    <t xml:space="preserve">S00534</t>
  </si>
  <si>
    <t xml:space="preserve">S00535</t>
  </si>
  <si>
    <t xml:space="preserve">S00536</t>
  </si>
  <si>
    <t xml:space="preserve">S00537</t>
  </si>
  <si>
    <t xml:space="preserve">S00538</t>
  </si>
  <si>
    <t xml:space="preserve">S00539</t>
  </si>
  <si>
    <t xml:space="preserve">S00540</t>
  </si>
  <si>
    <t xml:space="preserve">S00541</t>
  </si>
  <si>
    <t xml:space="preserve">S00542</t>
  </si>
  <si>
    <t xml:space="preserve">S00543</t>
  </si>
  <si>
    <t xml:space="preserve">S00544</t>
  </si>
  <si>
    <t xml:space="preserve">S00545</t>
  </si>
  <si>
    <t xml:space="preserve">S00546</t>
  </si>
  <si>
    <t xml:space="preserve">S00547</t>
  </si>
  <si>
    <t xml:space="preserve">S00548</t>
  </si>
  <si>
    <t xml:space="preserve">S00549</t>
  </si>
  <si>
    <t xml:space="preserve">S00550</t>
  </si>
  <si>
    <t xml:space="preserve">S00551</t>
  </si>
  <si>
    <t xml:space="preserve">S00552</t>
  </si>
  <si>
    <t xml:space="preserve">S00553</t>
  </si>
  <si>
    <t xml:space="preserve">S00554</t>
  </si>
  <si>
    <t xml:space="preserve">S00555</t>
  </si>
  <si>
    <t xml:space="preserve">S00556</t>
  </si>
  <si>
    <t xml:space="preserve">S00557</t>
  </si>
  <si>
    <t xml:space="preserve">S00558</t>
  </si>
  <si>
    <t xml:space="preserve">S00559</t>
  </si>
  <si>
    <t xml:space="preserve">S00560</t>
  </si>
  <si>
    <t xml:space="preserve">S00561</t>
  </si>
  <si>
    <t xml:space="preserve">S00562</t>
  </si>
  <si>
    <t xml:space="preserve">S00563</t>
  </si>
  <si>
    <t xml:space="preserve">S00564</t>
  </si>
  <si>
    <t xml:space="preserve">S00565</t>
  </si>
  <si>
    <t xml:space="preserve">S00566</t>
  </si>
  <si>
    <t xml:space="preserve">S00567</t>
  </si>
  <si>
    <t xml:space="preserve">S00568</t>
  </si>
  <si>
    <t xml:space="preserve">S00569</t>
  </si>
  <si>
    <t xml:space="preserve">S00570</t>
  </si>
  <si>
    <t xml:space="preserve">S00571</t>
  </si>
  <si>
    <t xml:space="preserve">S00572</t>
  </si>
  <si>
    <t xml:space="preserve">S00573</t>
  </si>
  <si>
    <t xml:space="preserve">S00574</t>
  </si>
  <si>
    <t xml:space="preserve">S00575</t>
  </si>
  <si>
    <t xml:space="preserve">S00576</t>
  </si>
  <si>
    <t xml:space="preserve">S00577</t>
  </si>
  <si>
    <t xml:space="preserve">S00578</t>
  </si>
  <si>
    <t xml:space="preserve">S00579</t>
  </si>
  <si>
    <t xml:space="preserve">S00580</t>
  </si>
  <si>
    <t xml:space="preserve">S00581</t>
  </si>
  <si>
    <t xml:space="preserve">S00582</t>
  </si>
  <si>
    <t xml:space="preserve">S00583</t>
  </si>
  <si>
    <t xml:space="preserve">S00584</t>
  </si>
  <si>
    <t xml:space="preserve">S00585</t>
  </si>
  <si>
    <t xml:space="preserve">S00586</t>
  </si>
  <si>
    <t xml:space="preserve">S00587</t>
  </si>
  <si>
    <t xml:space="preserve">S00588</t>
  </si>
  <si>
    <t xml:space="preserve">S00589</t>
  </si>
  <si>
    <t xml:space="preserve">S00590</t>
  </si>
  <si>
    <t xml:space="preserve">S00591</t>
  </si>
  <si>
    <t xml:space="preserve">S00592</t>
  </si>
  <si>
    <t xml:space="preserve">S00593</t>
  </si>
  <si>
    <t xml:space="preserve">S00594</t>
  </si>
  <si>
    <t xml:space="preserve">S00595</t>
  </si>
  <si>
    <t xml:space="preserve">S00596</t>
  </si>
  <si>
    <t xml:space="preserve">S00597</t>
  </si>
  <si>
    <t xml:space="preserve">S00598</t>
  </si>
  <si>
    <t xml:space="preserve">S00599</t>
  </si>
  <si>
    <t xml:space="preserve">S00600</t>
  </si>
  <si>
    <t xml:space="preserve">S00601</t>
  </si>
  <si>
    <t xml:space="preserve">S00602</t>
  </si>
  <si>
    <t xml:space="preserve">S00603</t>
  </si>
  <si>
    <t xml:space="preserve">S00604</t>
  </si>
  <si>
    <t xml:space="preserve">S00605</t>
  </si>
  <si>
    <t xml:space="preserve">S00606</t>
  </si>
  <si>
    <t xml:space="preserve">S00607</t>
  </si>
  <si>
    <t xml:space="preserve">S00608</t>
  </si>
  <si>
    <t xml:space="preserve">S00609</t>
  </si>
  <si>
    <t xml:space="preserve">S00610</t>
  </si>
  <si>
    <t xml:space="preserve">S00611</t>
  </si>
  <si>
    <t xml:space="preserve">S00612</t>
  </si>
  <si>
    <t xml:space="preserve">S00613</t>
  </si>
  <si>
    <t xml:space="preserve">S00614</t>
  </si>
  <si>
    <t xml:space="preserve">S00615</t>
  </si>
  <si>
    <t xml:space="preserve">S00616</t>
  </si>
  <si>
    <t xml:space="preserve">S00617</t>
  </si>
  <si>
    <t xml:space="preserve">S00618</t>
  </si>
  <si>
    <t xml:space="preserve">S00619</t>
  </si>
  <si>
    <t xml:space="preserve">S00620</t>
  </si>
  <si>
    <t xml:space="preserve">S00621</t>
  </si>
  <si>
    <t xml:space="preserve">S00622</t>
  </si>
  <si>
    <t xml:space="preserve">S00623</t>
  </si>
  <si>
    <t xml:space="preserve">S00624</t>
  </si>
  <si>
    <t xml:space="preserve">S00625</t>
  </si>
  <si>
    <t xml:space="preserve">S00626</t>
  </si>
  <si>
    <t xml:space="preserve">S00627</t>
  </si>
  <si>
    <t xml:space="preserve">S00628</t>
  </si>
  <si>
    <t xml:space="preserve">S00629</t>
  </si>
  <si>
    <t xml:space="preserve">S00630</t>
  </si>
  <si>
    <t xml:space="preserve">S00631</t>
  </si>
  <si>
    <t xml:space="preserve">S00632</t>
  </si>
  <si>
    <t xml:space="preserve">S00633</t>
  </si>
  <si>
    <t xml:space="preserve">S00634</t>
  </si>
  <si>
    <t xml:space="preserve">S00635</t>
  </si>
  <si>
    <t xml:space="preserve">S00636</t>
  </si>
  <si>
    <t xml:space="preserve">S00637</t>
  </si>
  <si>
    <t xml:space="preserve">S00638</t>
  </si>
  <si>
    <t xml:space="preserve">S00639</t>
  </si>
  <si>
    <t xml:space="preserve">S00640</t>
  </si>
  <si>
    <t xml:space="preserve">S00641</t>
  </si>
  <si>
    <t xml:space="preserve">S00642</t>
  </si>
  <si>
    <t xml:space="preserve">S00643</t>
  </si>
  <si>
    <t xml:space="preserve">S00644</t>
  </si>
  <si>
    <t xml:space="preserve">S00645</t>
  </si>
  <si>
    <t xml:space="preserve">S00646</t>
  </si>
  <si>
    <t xml:space="preserve">S00647</t>
  </si>
  <si>
    <t xml:space="preserve">S00648</t>
  </si>
  <si>
    <t xml:space="preserve">S00649</t>
  </si>
  <si>
    <t xml:space="preserve">S00650</t>
  </si>
  <si>
    <t xml:space="preserve">S00651</t>
  </si>
  <si>
    <t xml:space="preserve">S00652</t>
  </si>
  <si>
    <t xml:space="preserve">S00653</t>
  </si>
  <si>
    <t xml:space="preserve">S00654</t>
  </si>
  <si>
    <t xml:space="preserve">S00655</t>
  </si>
  <si>
    <t xml:space="preserve">S00656</t>
  </si>
  <si>
    <t xml:space="preserve">S00657</t>
  </si>
  <si>
    <t xml:space="preserve">S00658</t>
  </si>
  <si>
    <t xml:space="preserve">S00659</t>
  </si>
  <si>
    <t xml:space="preserve">S00660</t>
  </si>
  <si>
    <t xml:space="preserve">S00661</t>
  </si>
  <si>
    <t xml:space="preserve">S00662</t>
  </si>
  <si>
    <t xml:space="preserve">S00663</t>
  </si>
  <si>
    <t xml:space="preserve">S00664</t>
  </si>
  <si>
    <t xml:space="preserve">S00665</t>
  </si>
  <si>
    <t xml:space="preserve">S00666</t>
  </si>
  <si>
    <t xml:space="preserve">S00667</t>
  </si>
  <si>
    <t xml:space="preserve">S00668</t>
  </si>
  <si>
    <t xml:space="preserve">S00669</t>
  </si>
  <si>
    <t xml:space="preserve">S00670</t>
  </si>
  <si>
    <t xml:space="preserve">S00671</t>
  </si>
  <si>
    <t xml:space="preserve">S00672</t>
  </si>
  <si>
    <t xml:space="preserve">S00673</t>
  </si>
  <si>
    <t xml:space="preserve">S00674</t>
  </si>
  <si>
    <t xml:space="preserve">S00675</t>
  </si>
  <si>
    <t xml:space="preserve">S00676</t>
  </si>
  <si>
    <t xml:space="preserve">S00677</t>
  </si>
  <si>
    <t xml:space="preserve">S00678</t>
  </si>
  <si>
    <t xml:space="preserve">S00679</t>
  </si>
  <si>
    <t xml:space="preserve">S00680</t>
  </si>
  <si>
    <t xml:space="preserve">S00681</t>
  </si>
  <si>
    <t xml:space="preserve">S00682</t>
  </si>
  <si>
    <t xml:space="preserve">S00683</t>
  </si>
  <si>
    <t xml:space="preserve">S00684</t>
  </si>
  <si>
    <t xml:space="preserve">S00685</t>
  </si>
  <si>
    <t xml:space="preserve">S00686</t>
  </si>
  <si>
    <t xml:space="preserve">S00687</t>
  </si>
  <si>
    <t xml:space="preserve">S00688</t>
  </si>
  <si>
    <t xml:space="preserve">S00689</t>
  </si>
  <si>
    <t xml:space="preserve">S00690</t>
  </si>
  <si>
    <t xml:space="preserve">S00691</t>
  </si>
  <si>
    <t xml:space="preserve">S00692</t>
  </si>
  <si>
    <t xml:space="preserve">S00693</t>
  </si>
  <si>
    <t xml:space="preserve">S00694</t>
  </si>
  <si>
    <t xml:space="preserve">S00695</t>
  </si>
  <si>
    <t xml:space="preserve">S00696</t>
  </si>
  <si>
    <t xml:space="preserve">S00697</t>
  </si>
  <si>
    <t xml:space="preserve">S00698</t>
  </si>
  <si>
    <t xml:space="preserve">S00699</t>
  </si>
  <si>
    <t xml:space="preserve">S00700</t>
  </si>
  <si>
    <t xml:space="preserve">S00701</t>
  </si>
  <si>
    <t xml:space="preserve">S00702</t>
  </si>
  <si>
    <t xml:space="preserve">S00703</t>
  </si>
  <si>
    <t xml:space="preserve">S00704</t>
  </si>
  <si>
    <t xml:space="preserve">S00705</t>
  </si>
  <si>
    <t xml:space="preserve">S00706</t>
  </si>
  <si>
    <t xml:space="preserve">S00707</t>
  </si>
  <si>
    <t xml:space="preserve">S00708</t>
  </si>
  <si>
    <t xml:space="preserve">S00709</t>
  </si>
  <si>
    <t xml:space="preserve">S00710</t>
  </si>
  <si>
    <t xml:space="preserve">S00711</t>
  </si>
  <si>
    <t xml:space="preserve">S00712</t>
  </si>
  <si>
    <t xml:space="preserve">S00713</t>
  </si>
  <si>
    <t xml:space="preserve">S00714</t>
  </si>
  <si>
    <t xml:space="preserve">S00715</t>
  </si>
  <si>
    <t xml:space="preserve">S00716</t>
  </si>
  <si>
    <t xml:space="preserve">S00717</t>
  </si>
  <si>
    <t xml:space="preserve">S00718</t>
  </si>
  <si>
    <t xml:space="preserve">S00719</t>
  </si>
  <si>
    <t xml:space="preserve">S00720</t>
  </si>
  <si>
    <t xml:space="preserve">S00721</t>
  </si>
  <si>
    <t xml:space="preserve">S00722</t>
  </si>
  <si>
    <t xml:space="preserve">S00723</t>
  </si>
  <si>
    <t xml:space="preserve">S00724</t>
  </si>
  <si>
    <t xml:space="preserve">S00725</t>
  </si>
  <si>
    <t xml:space="preserve">S00726</t>
  </si>
  <si>
    <t xml:space="preserve">S00727</t>
  </si>
  <si>
    <t xml:space="preserve">S00728</t>
  </si>
  <si>
    <t xml:space="preserve">S00729</t>
  </si>
  <si>
    <t xml:space="preserve">S00730</t>
  </si>
  <si>
    <t xml:space="preserve">S00731</t>
  </si>
  <si>
    <t xml:space="preserve">S00732</t>
  </si>
  <si>
    <t xml:space="preserve">S00733</t>
  </si>
  <si>
    <t xml:space="preserve">S00734</t>
  </si>
  <si>
    <t xml:space="preserve">S00735</t>
  </si>
  <si>
    <t xml:space="preserve">S00736</t>
  </si>
  <si>
    <t xml:space="preserve">S00737</t>
  </si>
  <si>
    <t xml:space="preserve">S00738</t>
  </si>
  <si>
    <t xml:space="preserve">S00739</t>
  </si>
  <si>
    <t xml:space="preserve">S00740</t>
  </si>
  <si>
    <t xml:space="preserve">S00741</t>
  </si>
  <si>
    <t xml:space="preserve">S00742</t>
  </si>
  <si>
    <t xml:space="preserve">S00743</t>
  </si>
  <si>
    <t xml:space="preserve">S00744</t>
  </si>
  <si>
    <t xml:space="preserve">S00745</t>
  </si>
  <si>
    <t xml:space="preserve">S00746</t>
  </si>
  <si>
    <t xml:space="preserve">S00747</t>
  </si>
  <si>
    <t xml:space="preserve">S00748</t>
  </si>
  <si>
    <t xml:space="preserve">S00749</t>
  </si>
  <si>
    <t xml:space="preserve">S00750</t>
  </si>
  <si>
    <t xml:space="preserve">S00751</t>
  </si>
  <si>
    <t xml:space="preserve">S00752</t>
  </si>
  <si>
    <t xml:space="preserve">S00753</t>
  </si>
  <si>
    <t xml:space="preserve">S00754</t>
  </si>
  <si>
    <t xml:space="preserve">S00755</t>
  </si>
  <si>
    <t xml:space="preserve">S00756</t>
  </si>
  <si>
    <t xml:space="preserve">S00757</t>
  </si>
  <si>
    <t xml:space="preserve">S00758</t>
  </si>
  <si>
    <t xml:space="preserve">S00759</t>
  </si>
  <si>
    <t xml:space="preserve">S00760</t>
  </si>
  <si>
    <t xml:space="preserve">S00761</t>
  </si>
  <si>
    <t xml:space="preserve">S00762</t>
  </si>
  <si>
    <t xml:space="preserve">S00763</t>
  </si>
  <si>
    <t xml:space="preserve">S00764</t>
  </si>
  <si>
    <t xml:space="preserve">S00765</t>
  </si>
  <si>
    <t xml:space="preserve">S00766</t>
  </si>
  <si>
    <t xml:space="preserve">S00767</t>
  </si>
  <si>
    <t xml:space="preserve">S00768</t>
  </si>
  <si>
    <t xml:space="preserve">S00769</t>
  </si>
  <si>
    <t xml:space="preserve">S00770</t>
  </si>
  <si>
    <t xml:space="preserve">S00771</t>
  </si>
  <si>
    <t xml:space="preserve">S00772</t>
  </si>
  <si>
    <t xml:space="preserve">S00773</t>
  </si>
  <si>
    <t xml:space="preserve">S00774</t>
  </si>
  <si>
    <t xml:space="preserve">S00775</t>
  </si>
  <si>
    <t xml:space="preserve">S00776</t>
  </si>
  <si>
    <t xml:space="preserve">S00777</t>
  </si>
  <si>
    <t xml:space="preserve">S00778</t>
  </si>
  <si>
    <t xml:space="preserve">S00779</t>
  </si>
  <si>
    <t xml:space="preserve">S00780</t>
  </si>
  <si>
    <t xml:space="preserve">S00781</t>
  </si>
  <si>
    <t xml:space="preserve">S00782</t>
  </si>
  <si>
    <t xml:space="preserve">S00783</t>
  </si>
  <si>
    <t xml:space="preserve">S00784</t>
  </si>
  <si>
    <t xml:space="preserve">S00785</t>
  </si>
  <si>
    <t xml:space="preserve">S00786</t>
  </si>
  <si>
    <t xml:space="preserve">S00787</t>
  </si>
  <si>
    <t xml:space="preserve">S00788</t>
  </si>
  <si>
    <t xml:space="preserve">S00789</t>
  </si>
  <si>
    <t xml:space="preserve">S00790</t>
  </si>
  <si>
    <t xml:space="preserve">S00791</t>
  </si>
  <si>
    <t xml:space="preserve">S00792</t>
  </si>
  <si>
    <t xml:space="preserve">S00793</t>
  </si>
  <si>
    <t xml:space="preserve">S00794</t>
  </si>
  <si>
    <t xml:space="preserve">S00795</t>
  </si>
  <si>
    <t xml:space="preserve">S00796</t>
  </si>
  <si>
    <t xml:space="preserve">S00797</t>
  </si>
  <si>
    <t xml:space="preserve">S00798</t>
  </si>
  <si>
    <t xml:space="preserve">S00799</t>
  </si>
  <si>
    <t xml:space="preserve">S00800</t>
  </si>
  <si>
    <t xml:space="preserve">S00801</t>
  </si>
  <si>
    <t xml:space="preserve">S00802</t>
  </si>
  <si>
    <t xml:space="preserve">S00803</t>
  </si>
  <si>
    <t xml:space="preserve">S00804</t>
  </si>
  <si>
    <t xml:space="preserve">S00805</t>
  </si>
  <si>
    <t xml:space="preserve">S00806</t>
  </si>
  <si>
    <t xml:space="preserve">S00807</t>
  </si>
  <si>
    <t xml:space="preserve">S00808</t>
  </si>
  <si>
    <t xml:space="preserve">S00809</t>
  </si>
  <si>
    <t xml:space="preserve">S00810</t>
  </si>
  <si>
    <t xml:space="preserve">S00811</t>
  </si>
  <si>
    <t xml:space="preserve">S00812</t>
  </si>
  <si>
    <t xml:space="preserve">S00813</t>
  </si>
  <si>
    <t xml:space="preserve">S00814</t>
  </si>
  <si>
    <t xml:space="preserve">S00815</t>
  </si>
  <si>
    <t xml:space="preserve">S00816</t>
  </si>
  <si>
    <t xml:space="preserve">S00817</t>
  </si>
  <si>
    <t xml:space="preserve">S00818</t>
  </si>
  <si>
    <t xml:space="preserve">S00819</t>
  </si>
  <si>
    <t xml:space="preserve">S00820</t>
  </si>
  <si>
    <t xml:space="preserve">S00821</t>
  </si>
  <si>
    <t xml:space="preserve">S00822</t>
  </si>
  <si>
    <t xml:space="preserve">S00823</t>
  </si>
  <si>
    <t xml:space="preserve">S00824</t>
  </si>
  <si>
    <t xml:space="preserve">S00825</t>
  </si>
  <si>
    <t xml:space="preserve">S00826</t>
  </si>
  <si>
    <t xml:space="preserve">S00827</t>
  </si>
  <si>
    <t xml:space="preserve">S00828</t>
  </si>
  <si>
    <t xml:space="preserve">S00829</t>
  </si>
  <si>
    <t xml:space="preserve">S00830</t>
  </si>
  <si>
    <t xml:space="preserve">S00831</t>
  </si>
  <si>
    <t xml:space="preserve">S00832</t>
  </si>
  <si>
    <t xml:space="preserve">S00833</t>
  </si>
  <si>
    <t xml:space="preserve">S00834</t>
  </si>
  <si>
    <t xml:space="preserve">S00835</t>
  </si>
  <si>
    <t xml:space="preserve">S00836</t>
  </si>
  <si>
    <t xml:space="preserve">S00837</t>
  </si>
  <si>
    <t xml:space="preserve">S00838</t>
  </si>
  <si>
    <t xml:space="preserve">S00839</t>
  </si>
  <si>
    <t xml:space="preserve">S00840</t>
  </si>
  <si>
    <t xml:space="preserve">S00841</t>
  </si>
  <si>
    <t xml:space="preserve">S00842</t>
  </si>
  <si>
    <t xml:space="preserve">S00843</t>
  </si>
  <si>
    <t xml:space="preserve">S00844</t>
  </si>
  <si>
    <t xml:space="preserve">S00845</t>
  </si>
  <si>
    <t xml:space="preserve">S00846</t>
  </si>
  <si>
    <t xml:space="preserve">S00847</t>
  </si>
  <si>
    <t xml:space="preserve">S00848</t>
  </si>
  <si>
    <t xml:space="preserve">S00849</t>
  </si>
  <si>
    <t xml:space="preserve">S00850</t>
  </si>
  <si>
    <t xml:space="preserve">S00851</t>
  </si>
  <si>
    <t xml:space="preserve">S00852</t>
  </si>
  <si>
    <t xml:space="preserve">S00853</t>
  </si>
  <si>
    <t xml:space="preserve">S00854</t>
  </si>
  <si>
    <t xml:space="preserve">S00855</t>
  </si>
  <si>
    <t xml:space="preserve">S00856</t>
  </si>
  <si>
    <t xml:space="preserve">S00857</t>
  </si>
  <si>
    <t xml:space="preserve">S00858</t>
  </si>
  <si>
    <t xml:space="preserve">S00859</t>
  </si>
  <si>
    <t xml:space="preserve">S00860</t>
  </si>
  <si>
    <t xml:space="preserve">S00861</t>
  </si>
  <si>
    <t xml:space="preserve">S00862</t>
  </si>
  <si>
    <t xml:space="preserve">S00863</t>
  </si>
  <si>
    <t xml:space="preserve">S00864</t>
  </si>
  <si>
    <t xml:space="preserve">S00865</t>
  </si>
  <si>
    <t xml:space="preserve">S00866</t>
  </si>
  <si>
    <t xml:space="preserve">S00867</t>
  </si>
  <si>
    <t xml:space="preserve">S00868</t>
  </si>
  <si>
    <t xml:space="preserve">S00869</t>
  </si>
  <si>
    <t xml:space="preserve">S00870</t>
  </si>
  <si>
    <t xml:space="preserve">S00871</t>
  </si>
  <si>
    <t xml:space="preserve">S00872</t>
  </si>
  <si>
    <t xml:space="preserve">S00873</t>
  </si>
  <si>
    <t xml:space="preserve">S00874</t>
  </si>
  <si>
    <t xml:space="preserve">S00875</t>
  </si>
  <si>
    <t xml:space="preserve">S00876</t>
  </si>
  <si>
    <t xml:space="preserve">S00877</t>
  </si>
  <si>
    <t xml:space="preserve">S00878</t>
  </si>
  <si>
    <t xml:space="preserve">S00879</t>
  </si>
  <si>
    <t xml:space="preserve">S00880</t>
  </si>
  <si>
    <t xml:space="preserve">S00881</t>
  </si>
  <si>
    <t xml:space="preserve">S00882</t>
  </si>
  <si>
    <t xml:space="preserve">S00883</t>
  </si>
  <si>
    <t xml:space="preserve">S00884</t>
  </si>
  <si>
    <t xml:space="preserve">S00885</t>
  </si>
  <si>
    <t xml:space="preserve">S00886</t>
  </si>
  <si>
    <t xml:space="preserve">S00887</t>
  </si>
  <si>
    <t xml:space="preserve">S00888</t>
  </si>
  <si>
    <t xml:space="preserve">S00889</t>
  </si>
  <si>
    <t xml:space="preserve">S00890</t>
  </si>
  <si>
    <t xml:space="preserve">S00891</t>
  </si>
  <si>
    <t xml:space="preserve">S00892</t>
  </si>
  <si>
    <t xml:space="preserve">S00893</t>
  </si>
  <si>
    <t xml:space="preserve">S00894</t>
  </si>
  <si>
    <t xml:space="preserve">S00895</t>
  </si>
  <si>
    <t xml:space="preserve">S00896</t>
  </si>
  <si>
    <t xml:space="preserve">S00897</t>
  </si>
  <si>
    <t xml:space="preserve">S00898</t>
  </si>
  <si>
    <t xml:space="preserve">S00899</t>
  </si>
  <si>
    <t xml:space="preserve">S00900</t>
  </si>
  <si>
    <t xml:space="preserve">S00901</t>
  </si>
  <si>
    <t xml:space="preserve">S00902</t>
  </si>
  <si>
    <t xml:space="preserve">S00903</t>
  </si>
  <si>
    <t xml:space="preserve">S00904</t>
  </si>
  <si>
    <t xml:space="preserve">S00905</t>
  </si>
  <si>
    <t xml:space="preserve">S00906</t>
  </si>
  <si>
    <t xml:space="preserve">S00907</t>
  </si>
  <si>
    <t xml:space="preserve">S00908</t>
  </si>
  <si>
    <t xml:space="preserve">S00909</t>
  </si>
  <si>
    <t xml:space="preserve">S00910</t>
  </si>
  <si>
    <t xml:space="preserve">S00911</t>
  </si>
  <si>
    <t xml:space="preserve">S00912</t>
  </si>
  <si>
    <t xml:space="preserve">S00913</t>
  </si>
  <si>
    <t xml:space="preserve">S00914</t>
  </si>
  <si>
    <t xml:space="preserve">S00915</t>
  </si>
  <si>
    <t xml:space="preserve">S00916</t>
  </si>
  <si>
    <t xml:space="preserve">S00917</t>
  </si>
  <si>
    <t xml:space="preserve">S00918</t>
  </si>
  <si>
    <t xml:space="preserve">S00919</t>
  </si>
  <si>
    <t xml:space="preserve">S00920</t>
  </si>
  <si>
    <t xml:space="preserve">S00921</t>
  </si>
  <si>
    <t xml:space="preserve">S00922</t>
  </si>
  <si>
    <t xml:space="preserve">S00923</t>
  </si>
  <si>
    <t xml:space="preserve">S00924</t>
  </si>
  <si>
    <t xml:space="preserve">S00925</t>
  </si>
  <si>
    <t xml:space="preserve">S00926</t>
  </si>
  <si>
    <t xml:space="preserve">S00927</t>
  </si>
  <si>
    <t xml:space="preserve">S00928</t>
  </si>
  <si>
    <t xml:space="preserve">S00929</t>
  </si>
  <si>
    <t xml:space="preserve">S00930</t>
  </si>
  <si>
    <t xml:space="preserve">S00931</t>
  </si>
  <si>
    <t xml:space="preserve">S00932</t>
  </si>
  <si>
    <t xml:space="preserve">S00933</t>
  </si>
  <si>
    <t xml:space="preserve">S00934</t>
  </si>
  <si>
    <t xml:space="preserve">S00935</t>
  </si>
  <si>
    <t xml:space="preserve">S00936</t>
  </si>
  <si>
    <t xml:space="preserve">S00937</t>
  </si>
  <si>
    <t xml:space="preserve">S00938</t>
  </si>
  <si>
    <t xml:space="preserve">S00939</t>
  </si>
  <si>
    <t xml:space="preserve">S00940</t>
  </si>
  <si>
    <t xml:space="preserve">S00941</t>
  </si>
  <si>
    <t xml:space="preserve">S00942</t>
  </si>
  <si>
    <t xml:space="preserve">S00943</t>
  </si>
  <si>
    <t xml:space="preserve">S00944</t>
  </si>
  <si>
    <t xml:space="preserve">S00945</t>
  </si>
  <si>
    <t xml:space="preserve">S00946</t>
  </si>
  <si>
    <t xml:space="preserve">S00947</t>
  </si>
  <si>
    <t xml:space="preserve">S00948</t>
  </si>
  <si>
    <t xml:space="preserve">S00949</t>
  </si>
  <si>
    <t xml:space="preserve">S00950</t>
  </si>
  <si>
    <t xml:space="preserve">S00951</t>
  </si>
  <si>
    <t xml:space="preserve">S00952</t>
  </si>
  <si>
    <t xml:space="preserve">S00953</t>
  </si>
  <si>
    <t xml:space="preserve">S00954</t>
  </si>
  <si>
    <t xml:space="preserve">S00955</t>
  </si>
  <si>
    <t xml:space="preserve">S00956</t>
  </si>
  <si>
    <t xml:space="preserve">S00957</t>
  </si>
  <si>
    <t xml:space="preserve">S00958</t>
  </si>
  <si>
    <t xml:space="preserve">S00959</t>
  </si>
  <si>
    <t xml:space="preserve">S00960</t>
  </si>
  <si>
    <t xml:space="preserve">S00961</t>
  </si>
  <si>
    <t xml:space="preserve">S00962</t>
  </si>
  <si>
    <t xml:space="preserve">S00963</t>
  </si>
  <si>
    <t xml:space="preserve">S00964</t>
  </si>
  <si>
    <t xml:space="preserve">S00965</t>
  </si>
  <si>
    <t xml:space="preserve">S00966</t>
  </si>
  <si>
    <t xml:space="preserve">S00967</t>
  </si>
  <si>
    <t xml:space="preserve">S00968</t>
  </si>
  <si>
    <t xml:space="preserve">S00969</t>
  </si>
  <si>
    <t xml:space="preserve">S00970</t>
  </si>
  <si>
    <t xml:space="preserve">S00971</t>
  </si>
  <si>
    <t xml:space="preserve">S00972</t>
  </si>
  <si>
    <t xml:space="preserve">S00973</t>
  </si>
  <si>
    <t xml:space="preserve">S00974</t>
  </si>
  <si>
    <t xml:space="preserve">S00975</t>
  </si>
  <si>
    <t xml:space="preserve">S00976</t>
  </si>
  <si>
    <t xml:space="preserve">S00977</t>
  </si>
  <si>
    <t xml:space="preserve">S00978</t>
  </si>
  <si>
    <t xml:space="preserve">S00979</t>
  </si>
  <si>
    <t xml:space="preserve">S00980</t>
  </si>
  <si>
    <t xml:space="preserve">S00981</t>
  </si>
  <si>
    <t xml:space="preserve">S00982</t>
  </si>
  <si>
    <t xml:space="preserve">S00983</t>
  </si>
  <si>
    <t xml:space="preserve">S00984</t>
  </si>
  <si>
    <t xml:space="preserve">S00985</t>
  </si>
  <si>
    <t xml:space="preserve">S00986</t>
  </si>
  <si>
    <t xml:space="preserve">S00987</t>
  </si>
  <si>
    <t xml:space="preserve">S00988</t>
  </si>
  <si>
    <t xml:space="preserve">S00989</t>
  </si>
  <si>
    <t xml:space="preserve">S00990</t>
  </si>
  <si>
    <t xml:space="preserve">S00991</t>
  </si>
  <si>
    <t xml:space="preserve">S00992</t>
  </si>
  <si>
    <t xml:space="preserve">S00993</t>
  </si>
  <si>
    <t xml:space="preserve">S00994</t>
  </si>
  <si>
    <t xml:space="preserve">S00995</t>
  </si>
  <si>
    <t xml:space="preserve">S00996</t>
  </si>
  <si>
    <t xml:space="preserve">S00997</t>
  </si>
  <si>
    <t xml:space="preserve">S00998</t>
  </si>
  <si>
    <t xml:space="preserve">S00999</t>
  </si>
  <si>
    <t xml:space="preserve">S01000</t>
  </si>
  <si>
    <t xml:space="preserve">S01001</t>
  </si>
  <si>
    <t xml:space="preserve">S01002</t>
  </si>
  <si>
    <t xml:space="preserve">S01003</t>
  </si>
  <si>
    <t xml:space="preserve">S01004</t>
  </si>
  <si>
    <t xml:space="preserve">S01005</t>
  </si>
  <si>
    <t xml:space="preserve">S01006</t>
  </si>
  <si>
    <t xml:space="preserve">S01007</t>
  </si>
  <si>
    <t xml:space="preserve">S01008</t>
  </si>
  <si>
    <t xml:space="preserve">S01009</t>
  </si>
  <si>
    <t xml:space="preserve">S01010</t>
  </si>
  <si>
    <t xml:space="preserve">S01011</t>
  </si>
  <si>
    <t xml:space="preserve">S01012</t>
  </si>
  <si>
    <t xml:space="preserve">S01013</t>
  </si>
  <si>
    <t xml:space="preserve">S01014</t>
  </si>
  <si>
    <t xml:space="preserve">S01015</t>
  </si>
  <si>
    <t xml:space="preserve">S01016</t>
  </si>
  <si>
    <t xml:space="preserve">S01017</t>
  </si>
  <si>
    <t xml:space="preserve">S01018</t>
  </si>
  <si>
    <t xml:space="preserve">S01019</t>
  </si>
  <si>
    <t xml:space="preserve">S01020</t>
  </si>
  <si>
    <t xml:space="preserve">S01021</t>
  </si>
  <si>
    <t xml:space="preserve">S01022</t>
  </si>
  <si>
    <t xml:space="preserve">S01023</t>
  </si>
  <si>
    <t xml:space="preserve">S01024</t>
  </si>
  <si>
    <t xml:space="preserve">S01025</t>
  </si>
  <si>
    <t xml:space="preserve">S01026</t>
  </si>
  <si>
    <t xml:space="preserve">S01027</t>
  </si>
  <si>
    <t xml:space="preserve">S01028</t>
  </si>
  <si>
    <t xml:space="preserve">S01029</t>
  </si>
  <si>
    <t xml:space="preserve">S01030</t>
  </si>
  <si>
    <t xml:space="preserve">S01031</t>
  </si>
  <si>
    <t xml:space="preserve">S01032</t>
  </si>
  <si>
    <t xml:space="preserve">S01033</t>
  </si>
  <si>
    <t xml:space="preserve">S01034</t>
  </si>
  <si>
    <t xml:space="preserve">S01035</t>
  </si>
  <si>
    <t xml:space="preserve">S01036</t>
  </si>
  <si>
    <t xml:space="preserve">S01037</t>
  </si>
  <si>
    <t xml:space="preserve">S01038</t>
  </si>
  <si>
    <t xml:space="preserve">S01039</t>
  </si>
  <si>
    <t xml:space="preserve">S01040</t>
  </si>
  <si>
    <t xml:space="preserve">S01041</t>
  </si>
  <si>
    <t xml:space="preserve">S01042</t>
  </si>
  <si>
    <t xml:space="preserve">S01043</t>
  </si>
  <si>
    <t xml:space="preserve">S01044</t>
  </si>
  <si>
    <t xml:space="preserve">S01045</t>
  </si>
  <si>
    <t xml:space="preserve">S01046</t>
  </si>
  <si>
    <t xml:space="preserve">S01047</t>
  </si>
  <si>
    <t xml:space="preserve">S01048</t>
  </si>
  <si>
    <t xml:space="preserve">S01049</t>
  </si>
  <si>
    <t xml:space="preserve">S01050</t>
  </si>
  <si>
    <t xml:space="preserve">S01051</t>
  </si>
  <si>
    <t xml:space="preserve">S01052</t>
  </si>
  <si>
    <t xml:space="preserve">S01053</t>
  </si>
  <si>
    <t xml:space="preserve">S01054</t>
  </si>
  <si>
    <t xml:space="preserve">S01055</t>
  </si>
  <si>
    <t xml:space="preserve">S01056</t>
  </si>
  <si>
    <t xml:space="preserve">S01057</t>
  </si>
  <si>
    <t xml:space="preserve">S01058</t>
  </si>
  <si>
    <t xml:space="preserve">S01059</t>
  </si>
  <si>
    <t xml:space="preserve">S01060</t>
  </si>
  <si>
    <t xml:space="preserve">S01061</t>
  </si>
  <si>
    <t xml:space="preserve">S01062</t>
  </si>
  <si>
    <t xml:space="preserve">S01063</t>
  </si>
  <si>
    <t xml:space="preserve">S01064</t>
  </si>
  <si>
    <t xml:space="preserve">S01065</t>
  </si>
  <si>
    <t xml:space="preserve">S01066</t>
  </si>
  <si>
    <t xml:space="preserve">S01067</t>
  </si>
  <si>
    <t xml:space="preserve">S01068</t>
  </si>
  <si>
    <t xml:space="preserve">S01069</t>
  </si>
  <si>
    <t xml:space="preserve">S01070</t>
  </si>
  <si>
    <t xml:space="preserve">S01071</t>
  </si>
  <si>
    <t xml:space="preserve">S01072</t>
  </si>
  <si>
    <t xml:space="preserve">S01073</t>
  </si>
  <si>
    <t xml:space="preserve">S01074</t>
  </si>
  <si>
    <t xml:space="preserve">S01075</t>
  </si>
  <si>
    <t xml:space="preserve">S01076</t>
  </si>
  <si>
    <t xml:space="preserve">S01077</t>
  </si>
  <si>
    <t xml:space="preserve">S01078</t>
  </si>
  <si>
    <t xml:space="preserve">S01079</t>
  </si>
  <si>
    <t xml:space="preserve">S01080</t>
  </si>
  <si>
    <t xml:space="preserve">S01081</t>
  </si>
  <si>
    <t xml:space="preserve">S01082</t>
  </si>
  <si>
    <t xml:space="preserve">S01083</t>
  </si>
  <si>
    <t xml:space="preserve">S01084</t>
  </si>
  <si>
    <t xml:space="preserve">S01085</t>
  </si>
  <si>
    <t xml:space="preserve">S01086</t>
  </si>
  <si>
    <t xml:space="preserve">S01087</t>
  </si>
  <si>
    <t xml:space="preserve">S01088</t>
  </si>
  <si>
    <t xml:space="preserve">S01089</t>
  </si>
  <si>
    <t xml:space="preserve">S01090</t>
  </si>
  <si>
    <t xml:space="preserve">S01091</t>
  </si>
  <si>
    <t xml:space="preserve">S01092</t>
  </si>
  <si>
    <t xml:space="preserve">S01093</t>
  </si>
  <si>
    <t xml:space="preserve">S01094</t>
  </si>
  <si>
    <t xml:space="preserve">S01095</t>
  </si>
  <si>
    <t xml:space="preserve">S01096</t>
  </si>
  <si>
    <t xml:space="preserve">S01097</t>
  </si>
  <si>
    <t xml:space="preserve">S01098</t>
  </si>
  <si>
    <t xml:space="preserve">S01099</t>
  </si>
  <si>
    <t xml:space="preserve">S01100</t>
  </si>
  <si>
    <t xml:space="preserve">S01101</t>
  </si>
  <si>
    <t xml:space="preserve">S01102</t>
  </si>
  <si>
    <t xml:space="preserve">S01103</t>
  </si>
  <si>
    <t xml:space="preserve">S01104</t>
  </si>
  <si>
    <t xml:space="preserve">S01105</t>
  </si>
  <si>
    <t xml:space="preserve">S01106</t>
  </si>
  <si>
    <t xml:space="preserve">S01107</t>
  </si>
  <si>
    <t xml:space="preserve">S01108</t>
  </si>
  <si>
    <t xml:space="preserve">S01109</t>
  </si>
  <si>
    <t xml:space="preserve">S01110</t>
  </si>
  <si>
    <t xml:space="preserve">S01111</t>
  </si>
  <si>
    <t xml:space="preserve">S01112</t>
  </si>
  <si>
    <t xml:space="preserve">S01113</t>
  </si>
  <si>
    <t xml:space="preserve">S01114</t>
  </si>
  <si>
    <t xml:space="preserve">S01115</t>
  </si>
  <si>
    <t xml:space="preserve">S01116</t>
  </si>
  <si>
    <t xml:space="preserve">S01117</t>
  </si>
  <si>
    <t xml:space="preserve">S01118</t>
  </si>
  <si>
    <t xml:space="preserve">S01119</t>
  </si>
  <si>
    <t xml:space="preserve">S01120</t>
  </si>
  <si>
    <t xml:space="preserve">S01121</t>
  </si>
  <si>
    <t xml:space="preserve">S01122</t>
  </si>
  <si>
    <t xml:space="preserve">Reviewer assignments</t>
  </si>
  <si>
    <t xml:space="preserve">Balancing check for first and second reads, third reads assigned, and progress for each reviewer.</t>
  </si>
  <si>
    <t xml:space="preserve">Reviewer 1 reads</t>
  </si>
  <si>
    <t xml:space="preserve">Reviewer 2 reads</t>
  </si>
  <si>
    <t xml:space="preserve">First and second reads</t>
  </si>
  <si>
    <t xml:space="preserve">Average load</t>
  </si>
  <si>
    <t xml:space="preserve">Difference from average</t>
  </si>
  <si>
    <t xml:space="preserve">Difference %</t>
  </si>
  <si>
    <t xml:space="preserve">Third reads assigned</t>
  </si>
  <si>
    <t xml:space="preserve">Total assigned</t>
  </si>
  <si>
    <t xml:space="preserve">Reviews completed</t>
  </si>
  <si>
    <t xml:space="preserve">Reviews remaining</t>
  </si>
  <si>
    <t xml:space="preserve">Assignment checks</t>
  </si>
  <si>
    <t xml:space="preserve">Check</t>
  </si>
  <si>
    <t xml:space="preserve">Count</t>
  </si>
  <si>
    <t xml:space="preserve">Result</t>
  </si>
  <si>
    <t xml:space="preserve">Applications with the same reviewer in both slots</t>
  </si>
  <si>
    <t xml:space="preserve">Eligible applications missing Reviewer 1 or Reviewer 2</t>
  </si>
  <si>
    <t xml:space="preserve">Applications that need a third read but have no third reader</t>
  </si>
  <si>
    <t xml:space="preserve">Third reader is also Reviewer 1 or Reviewer 2</t>
  </si>
  <si>
    <t xml:space="preserve">Score entries by someone not assigned to that application and role</t>
  </si>
  <si>
    <t xml:space="preserve">Reviewers outside the balance tolerance</t>
  </si>
  <si>
    <t xml:space="preserve">Grace Kim joined the panel on the fourth scoring day, so she carries fewer first and second reads by design. The balance flag still shows it so the coordinator can confirm the split was intended.</t>
  </si>
  <si>
    <t xml:space="preserve">Reviewer throughput</t>
  </si>
  <si>
    <t xml:space="preserve">First and second reads completed each working day against the target pace, with a burn-down of reviews remaining.</t>
  </si>
  <si>
    <t xml:space="preserve">Pace summary</t>
  </si>
  <si>
    <t xml:space="preserve">Reviews required (first and second reads)</t>
  </si>
  <si>
    <t xml:space="preserve">Target reviews per working day</t>
  </si>
  <si>
    <t xml:space="preserve">Completed through the status date</t>
  </si>
  <si>
    <t xml:space="preserve">Average completed per day, last five days</t>
  </si>
  <si>
    <t xml:space="preserve">Projected finish date at that pace</t>
  </si>
  <si>
    <t xml:space="preserve">Daily pace and burn-down</t>
  </si>
  <si>
    <t xml:space="preserve">Day</t>
  </si>
  <si>
    <t xml:space="preserve">Date</t>
  </si>
  <si>
    <t xml:space="preserve">Target per day</t>
  </si>
  <si>
    <t xml:space="preserve">Third reads completed</t>
  </si>
  <si>
    <t xml:space="preserve">Cumulative completed</t>
  </si>
  <si>
    <t xml:space="preserve">Target remaining</t>
  </si>
  <si>
    <t xml:space="preserve">Ahead or behind target</t>
  </si>
  <si>
    <t xml:space="preserve">Ahead or behind compares remaining reviews with where the panel would be at the target pace. A negative number means the panel is behind. Days shaded gold fell short of the daily target.</t>
  </si>
  <si>
    <t xml:space="preserve">Reviews completed by reviewer and day</t>
  </si>
  <si>
    <t xml:space="preserve">Daily target</t>
  </si>
  <si>
    <t xml:space="preserve">Day 1</t>
  </si>
  <si>
    <t xml:space="preserve">Day 2</t>
  </si>
  <si>
    <t xml:space="preserve">Day 3</t>
  </si>
  <si>
    <t xml:space="preserve">Day 4</t>
  </si>
  <si>
    <t xml:space="preserve">Day 5</t>
  </si>
  <si>
    <t xml:space="preserve">Day 6</t>
  </si>
  <si>
    <t xml:space="preserve">Day 7</t>
  </si>
  <si>
    <t xml:space="preserve">Day 8</t>
  </si>
  <si>
    <t xml:space="preserve">Day 9</t>
  </si>
  <si>
    <t xml:space="preserve">Day 10</t>
  </si>
  <si>
    <t xml:space="preserve">Day 11</t>
  </si>
  <si>
    <t xml:space="preserve">Day 12</t>
  </si>
  <si>
    <t xml:space="preserve">Day 13</t>
  </si>
  <si>
    <t xml:space="preserve">Day 14</t>
  </si>
  <si>
    <t xml:space="preserve">Day 15</t>
  </si>
  <si>
    <t xml:space="preserve">The daily target for each reviewer is that reviewer's first and second reads divided by the working days from their first scoring day to the end of the window.</t>
  </si>
  <si>
    <t xml:space="preserve">Third reads</t>
  </si>
  <si>
    <t xml:space="preserve">Applications whose two scores differ by the disagreement threshold or more. The list fills in from the Applications sheet.</t>
  </si>
  <si>
    <t xml:space="preserve">Number</t>
  </si>
  <si>
    <t xml:space="preserve">Status</t>
  </si>
  <si>
    <t xml:space="preserve">Budget check</t>
  </si>
  <si>
    <t xml:space="preserve">Recommended awards at the funding cutoff score compared with each program's available pool.</t>
  </si>
  <si>
    <t xml:space="preserve">Still in review</t>
  </si>
  <si>
    <t xml:space="preserve">Recommended at cutoff</t>
  </si>
  <si>
    <t xml:space="preserve">Pool left</t>
  </si>
  <si>
    <t xml:space="preserve">Fit within pool</t>
  </si>
  <si>
    <t xml:space="preserve">Dollars within pool</t>
  </si>
  <si>
    <t xml:space="preserve">Recommended but over pool</t>
  </si>
  <si>
    <t xml:space="preserve">Score where money runs out</t>
  </si>
  <si>
    <t xml:space="preserve">Recommended dollars use the smaller of the request and the program's largest single award. The score where money runs out is the lowest final score that still fits in the pool when awards are funded from the top score down.</t>
  </si>
  <si>
    <t xml:space="preserve">Applications still in review (one read done, or waiting on a third read) are not yet counted, so programs with many open reviews may still move.</t>
  </si>
</sst>
</file>

<file path=xl/styles.xml><?xml version="1.0" encoding="utf-8"?>
<styleSheet xmlns="http://schemas.openxmlformats.org/spreadsheetml/2006/main">
  <numFmts count="18">
    <numFmt numFmtId="164" formatCode="General"/>
    <numFmt numFmtId="165" formatCode="#,##0"/>
    <numFmt numFmtId="166" formatCode="\$#,##0"/>
    <numFmt numFmtId="167" formatCode="0.0%"/>
    <numFmt numFmtId="168" formatCode="mmm\ d&quot;, &quot;yyyy"/>
    <numFmt numFmtId="169" formatCode="\$#,##0;&quot;-$&quot;#,##0"/>
    <numFmt numFmtId="170" formatCode="General"/>
    <numFmt numFmtId="171" formatCode="0%"/>
    <numFmt numFmtId="172" formatCode="&quot;+$&quot;#,##0;&quot;-$&quot;#,##0"/>
    <numFmt numFmtId="173" formatCode="\$#,##0,\K"/>
    <numFmt numFmtId="174" formatCode="@"/>
    <numFmt numFmtId="175" formatCode="mmm\ d"/>
    <numFmt numFmtId="176" formatCode="0"/>
    <numFmt numFmtId="177" formatCode="0.0"/>
    <numFmt numFmtId="178" formatCode="\+0.0;\-0.0;0.0"/>
    <numFmt numFmtId="179" formatCode="\+0%;\-0%;0%"/>
    <numFmt numFmtId="180" formatCode="ddd\ mmm\ d"/>
    <numFmt numFmtId="181" formatCode="\+0;\-0;0"/>
  </numFmts>
  <fonts count="17">
    <font>
      <sz val="11"/>
      <color theme="1"/>
      <name val="Calibri"/>
      <family val="2"/>
      <charset val="1"/>
    </font>
    <font>
      <sz val="10"/>
      <name val="Arial"/>
      <family val="0"/>
    </font>
    <font>
      <sz val="10"/>
      <name val="Arial"/>
      <family val="0"/>
    </font>
    <font>
      <sz val="10"/>
      <name val="Arial"/>
      <family val="0"/>
    </font>
    <font>
      <b val="true"/>
      <sz val="16"/>
      <color rgb="FF45204F"/>
      <name val="Arial"/>
      <family val="0"/>
      <charset val="1"/>
    </font>
    <font>
      <sz val="10"/>
      <color rgb="FF5B4E60"/>
      <name val="Arial"/>
      <family val="0"/>
      <charset val="1"/>
    </font>
    <font>
      <b val="true"/>
      <sz val="10"/>
      <color rgb="FF2A1B30"/>
      <name val="Arial"/>
      <family val="0"/>
      <charset val="1"/>
    </font>
    <font>
      <sz val="10"/>
      <color rgb="FF2A1B30"/>
      <name val="Arial"/>
      <family val="0"/>
      <charset val="1"/>
    </font>
    <font>
      <b val="true"/>
      <sz val="12"/>
      <color rgb="FF45204F"/>
      <name val="Arial"/>
      <family val="0"/>
      <charset val="1"/>
    </font>
    <font>
      <sz val="10"/>
      <color rgb="FF1F4E9A"/>
      <name val="Arial"/>
      <family val="0"/>
      <charset val="1"/>
    </font>
    <font>
      <b val="true"/>
      <sz val="10"/>
      <color rgb="FFFFFFFF"/>
      <name val="Arial"/>
      <family val="0"/>
      <charset val="1"/>
    </font>
    <font>
      <b val="true"/>
      <sz val="14"/>
      <color rgb="FF45204F"/>
      <name val="Arial"/>
      <family val="0"/>
      <charset val="1"/>
    </font>
    <font>
      <b val="true"/>
      <sz val="12"/>
      <color rgb="FF2A1B30"/>
      <name val="Arial"/>
      <family val="0"/>
      <charset val="1"/>
    </font>
    <font>
      <b val="true"/>
      <sz val="18"/>
      <color rgb="FF000000"/>
      <name val="Calibri"/>
      <family val="2"/>
    </font>
    <font>
      <sz val="10"/>
      <color rgb="FF000000"/>
      <name val="Calibri"/>
      <family val="2"/>
    </font>
    <font>
      <b val="true"/>
      <sz val="10"/>
      <color rgb="FF000000"/>
      <name val="Calibri"/>
      <family val="2"/>
    </font>
    <font>
      <i val="true"/>
      <sz val="9"/>
      <color rgb="FF8A7F8E"/>
      <name val="Arial"/>
      <family val="0"/>
      <charset val="1"/>
    </font>
  </fonts>
  <fills count="4">
    <fill>
      <patternFill patternType="none"/>
    </fill>
    <fill>
      <patternFill patternType="gray125"/>
    </fill>
    <fill>
      <patternFill patternType="solid">
        <fgColor rgb="FFFDF3DC"/>
        <bgColor rgb="FFFBE3C4"/>
      </patternFill>
    </fill>
    <fill>
      <patternFill patternType="solid">
        <fgColor rgb="FF45204F"/>
        <bgColor rgb="FF2A1B30"/>
      </patternFill>
    </fill>
  </fills>
  <borders count="3">
    <border diagonalUp="false" diagonalDown="false">
      <left/>
      <right/>
      <top/>
      <bottom/>
      <diagonal/>
    </border>
    <border diagonalUp="false" diagonalDown="false">
      <left style="thin">
        <color rgb="FFE3DADF"/>
      </left>
      <right style="thin">
        <color rgb="FFE3DADF"/>
      </right>
      <top style="thin">
        <color rgb="FFE3DADF"/>
      </top>
      <bottom style="thin">
        <color rgb="FFE3DADF"/>
      </bottom>
      <diagonal/>
    </border>
    <border diagonalUp="false" diagonalDown="false">
      <left/>
      <right/>
      <top/>
      <bottom style="thin">
        <color rgb="FFE3DAD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9" fillId="2" borderId="0" xfId="0" applyFont="true" applyBorder="false" applyAlignment="true" applyProtection="false">
      <alignment horizontal="general" vertical="top" textRotation="0" wrapText="false" indent="0" shrinkToFit="false"/>
      <protection locked="true" hidden="false"/>
    </xf>
    <xf numFmtId="164" fontId="6" fillId="0" borderId="1" xfId="0" applyFont="true" applyBorder="true" applyAlignment="true" applyProtection="false">
      <alignment horizontal="general" vertical="top" textRotation="0" wrapText="false" indent="0" shrinkToFit="false"/>
      <protection locked="true" hidden="false"/>
    </xf>
    <xf numFmtId="164" fontId="10" fillId="3" borderId="0" xfId="0" applyFont="true" applyBorder="false" applyAlignment="true" applyProtection="false">
      <alignment horizontal="general" vertical="top"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0" borderId="2" xfId="0" applyFont="true" applyBorder="true" applyAlignment="false" applyProtection="false">
      <alignment horizontal="general" vertical="bottom" textRotation="0" wrapText="false" indent="0" shrinkToFit="false"/>
      <protection locked="true" hidden="false"/>
    </xf>
    <xf numFmtId="165" fontId="11" fillId="0" borderId="2" xfId="0" applyFont="true" applyBorder="true" applyAlignment="true" applyProtection="false">
      <alignment horizontal="right"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5" fontId="12" fillId="0" borderId="2" xfId="0" applyFont="true" applyBorder="true" applyAlignment="true" applyProtection="false">
      <alignment horizontal="right" vertical="bottom" textRotation="0" wrapText="false" indent="0" shrinkToFit="false"/>
      <protection locked="true" hidden="false"/>
    </xf>
    <xf numFmtId="166" fontId="11" fillId="0" borderId="2" xfId="0" applyFont="true" applyBorder="true" applyAlignment="true" applyProtection="false">
      <alignment horizontal="right" vertical="bottom" textRotation="0" wrapText="false" indent="0" shrinkToFit="false"/>
      <protection locked="true" hidden="false"/>
    </xf>
    <xf numFmtId="167" fontId="11" fillId="0" borderId="2" xfId="0" applyFont="true" applyBorder="true" applyAlignment="true" applyProtection="false">
      <alignment horizontal="right" vertical="bottom" textRotation="0" wrapText="false" indent="0" shrinkToFit="false"/>
      <protection locked="true" hidden="false"/>
    </xf>
    <xf numFmtId="166" fontId="12" fillId="0" borderId="2" xfId="0" applyFont="true" applyBorder="true" applyAlignment="true" applyProtection="false">
      <alignment horizontal="right" vertical="bottom" textRotation="0" wrapText="false" indent="0" shrinkToFit="false"/>
      <protection locked="true" hidden="false"/>
    </xf>
    <xf numFmtId="168" fontId="12" fillId="0" borderId="2" xfId="0" applyFont="true" applyBorder="true" applyAlignment="true" applyProtection="false">
      <alignment horizontal="right" vertical="bottom" textRotation="0" wrapText="false" indent="0" shrinkToFit="false"/>
      <protection locked="true" hidden="false"/>
    </xf>
    <xf numFmtId="169" fontId="12" fillId="0" borderId="2" xfId="0" applyFont="true" applyBorder="true" applyAlignment="true" applyProtection="false">
      <alignment horizontal="right" vertical="bottom" textRotation="0" wrapText="false" indent="0" shrinkToFit="false"/>
      <protection locked="true" hidden="false"/>
    </xf>
    <xf numFmtId="164" fontId="10" fillId="3" borderId="0" xfId="0" applyFont="true" applyBorder="false" applyAlignment="true" applyProtection="false">
      <alignment horizontal="left" vertical="center" textRotation="0" wrapText="true" indent="0" shrinkToFit="false"/>
      <protection locked="true" hidden="false"/>
    </xf>
    <xf numFmtId="164" fontId="10" fillId="3" borderId="0" xfId="0" applyFont="true" applyBorder="false" applyAlignment="true" applyProtection="false">
      <alignment horizontal="right" vertical="center" textRotation="0" wrapText="tru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70" fontId="7" fillId="0" borderId="2" xfId="0" applyFont="true" applyBorder="tru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6" fontId="7" fillId="0" borderId="2" xfId="0" applyFont="true" applyBorder="true" applyAlignment="false" applyProtection="false">
      <alignment horizontal="general" vertical="bottom" textRotation="0" wrapText="false" indent="0" shrinkToFit="false"/>
      <protection locked="true" hidden="false"/>
    </xf>
    <xf numFmtId="171" fontId="7" fillId="0" borderId="2" xfId="0" applyFont="true" applyBorder="true" applyAlignment="false" applyProtection="false">
      <alignment horizontal="general" vertical="bottom" textRotation="0" wrapText="false" indent="0" shrinkToFit="false"/>
      <protection locked="true" hidden="false"/>
    </xf>
    <xf numFmtId="172" fontId="7" fillId="0" borderId="2" xfId="0" applyFont="true" applyBorder="true" applyAlignment="fals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left" vertical="bottom" textRotation="0" wrapText="false" indent="0" shrinkToFit="false"/>
      <protection locked="true" hidden="false"/>
    </xf>
    <xf numFmtId="164" fontId="10" fillId="3" borderId="0" xfId="0" applyFont="true" applyBorder="false" applyAlignment="true" applyProtection="false">
      <alignment horizontal="right" vertical="bottom" textRotation="0" wrapText="false" indent="0" shrinkToFit="false"/>
      <protection locked="true" hidden="false"/>
    </xf>
    <xf numFmtId="164" fontId="7" fillId="0" borderId="2" xfId="0" applyFont="true" applyBorder="true" applyAlignment="false" applyProtection="false">
      <alignment horizontal="general" vertical="bottom" textRotation="0" wrapText="false" indent="0" shrinkToFit="false"/>
      <protection locked="true" hidden="false"/>
    </xf>
    <xf numFmtId="174" fontId="9" fillId="2" borderId="2" xfId="0" applyFont="true" applyBorder="true" applyAlignment="fals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center" textRotation="0" wrapText="true" indent="0" shrinkToFit="false"/>
      <protection locked="true" hidden="false"/>
    </xf>
    <xf numFmtId="168" fontId="9" fillId="2" borderId="2" xfId="0" applyFont="true" applyBorder="tru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75" fontId="9"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76" fontId="9" fillId="2" borderId="2" xfId="0" applyFont="true" applyBorder="true" applyAlignment="false" applyProtection="false">
      <alignment horizontal="general" vertical="bottom" textRotation="0" wrapText="false" indent="0" shrinkToFit="false"/>
      <protection locked="true" hidden="false"/>
    </xf>
    <xf numFmtId="171" fontId="9" fillId="2" borderId="2" xfId="0" applyFont="true" applyBorder="tru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6" fontId="9" fillId="2"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71" fontId="9" fillId="2" borderId="0" xfId="0" applyFont="true" applyBorder="false" applyAlignment="true" applyProtection="false">
      <alignment horizontal="general" vertical="top" textRotation="0" wrapText="tru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77"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77" fontId="6" fillId="0" borderId="0" xfId="0" applyFont="true" applyBorder="false" applyAlignment="false" applyProtection="false">
      <alignment horizontal="general" vertical="bottom" textRotation="0" wrapText="false" indent="0" shrinkToFit="false"/>
      <protection locked="true" hidden="false"/>
    </xf>
    <xf numFmtId="177" fontId="7" fillId="0" borderId="2" xfId="0" applyFont="true" applyBorder="true" applyAlignment="false" applyProtection="false">
      <alignment horizontal="general" vertical="bottom" textRotation="0" wrapText="false" indent="0" shrinkToFit="false"/>
      <protection locked="true" hidden="false"/>
    </xf>
    <xf numFmtId="178" fontId="7" fillId="0" borderId="2" xfId="0" applyFont="true" applyBorder="true" applyAlignment="false" applyProtection="false">
      <alignment horizontal="general" vertical="bottom" textRotation="0" wrapText="false" indent="0" shrinkToFit="false"/>
      <protection locked="true" hidden="false"/>
    </xf>
    <xf numFmtId="179" fontId="7" fillId="0" borderId="2" xfId="0" applyFont="true" applyBorder="true" applyAlignment="false" applyProtection="false">
      <alignment horizontal="general" vertical="bottom" textRotation="0" wrapText="false" indent="0" shrinkToFit="false"/>
      <protection locked="true" hidden="false"/>
    </xf>
    <xf numFmtId="164" fontId="10" fillId="3" borderId="0" xfId="0" applyFont="true" applyBorder="true" applyAlignment="true" applyProtection="false">
      <alignment horizontal="general" vertical="center" textRotation="0" wrapText="tru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5" fontId="6" fillId="0" borderId="2" xfId="0" applyFont="true" applyBorder="true" applyAlignment="false" applyProtection="false">
      <alignment horizontal="general" vertical="bottom" textRotation="0" wrapText="false" indent="0" shrinkToFit="false"/>
      <protection locked="true" hidden="false"/>
    </xf>
    <xf numFmtId="177" fontId="6" fillId="0" borderId="2" xfId="0" applyFont="true" applyBorder="true" applyAlignment="false" applyProtection="false">
      <alignment horizontal="general" vertical="bottom" textRotation="0" wrapText="false" indent="0" shrinkToFit="false"/>
      <protection locked="true" hidden="false"/>
    </xf>
    <xf numFmtId="168" fontId="6" fillId="0" borderId="2" xfId="0" applyFont="true" applyBorder="true" applyAlignment="false" applyProtection="false">
      <alignment horizontal="general" vertical="bottom" textRotation="0" wrapText="false" indent="0" shrinkToFit="false"/>
      <protection locked="true" hidden="false"/>
    </xf>
    <xf numFmtId="164" fontId="7" fillId="0" borderId="2" xfId="0" applyFont="true" applyBorder="true" applyAlignment="true" applyProtection="false">
      <alignment horizontal="left" vertical="bottom" textRotation="0" wrapText="false" indent="0" shrinkToFit="false"/>
      <protection locked="true" hidden="false"/>
    </xf>
    <xf numFmtId="180" fontId="7" fillId="0" borderId="2" xfId="0" applyFont="true" applyBorder="true" applyAlignment="false" applyProtection="false">
      <alignment horizontal="general" vertical="bottom" textRotation="0" wrapText="false" indent="0" shrinkToFit="false"/>
      <protection locked="true" hidden="false"/>
    </xf>
    <xf numFmtId="176" fontId="7" fillId="0" borderId="2" xfId="0" applyFont="true" applyBorder="true" applyAlignment="false" applyProtection="false">
      <alignment horizontal="general" vertical="bottom" textRotation="0" wrapText="false" indent="0" shrinkToFit="false"/>
      <protection locked="true" hidden="false"/>
    </xf>
    <xf numFmtId="181" fontId="7" fillId="0" borderId="2"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9" fontId="7" fillId="0" borderId="2" xfId="0" applyFont="true" applyBorder="tru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4">
    <dxf>
      <font>
        <name val="Arial"/>
        <charset val="1"/>
        <family val="0"/>
        <b val="1"/>
        <color rgb="FF9B2C3A"/>
        <sz val="12"/>
      </font>
    </dxf>
    <dxf>
      <font>
        <name val="Arial"/>
        <charset val="1"/>
        <family val="0"/>
        <b val="1"/>
        <color rgb="FF9B2C3A"/>
      </font>
      <fill>
        <patternFill>
          <bgColor rgb="FFF7D9DD"/>
        </patternFill>
      </fill>
    </dxf>
    <dxf>
      <font>
        <name val="Arial"/>
        <charset val="1"/>
        <family val="0"/>
        <b val="1"/>
        <color rgb="FF8A4E00"/>
      </font>
    </dxf>
    <dxf>
      <font>
        <name val="Arial"/>
        <charset val="1"/>
        <family val="0"/>
        <b val="1"/>
        <color rgb="FF9B2C3A"/>
      </font>
    </dxf>
    <dxf>
      <fill>
        <patternFill patternType="solid">
          <fgColor rgb="FF45204F"/>
          <bgColor rgb="FF000000"/>
        </patternFill>
      </fill>
    </dxf>
    <dxf>
      <fill>
        <patternFill patternType="solid">
          <fgColor rgb="FFFDF3DC"/>
          <bgColor rgb="FF000000"/>
        </patternFill>
      </fill>
    </dxf>
    <dxf>
      <fill>
        <patternFill patternType="solid">
          <bgColor rgb="FF000000"/>
        </patternFill>
      </fill>
    </dxf>
    <dxf>
      <fill>
        <patternFill patternType="solid">
          <fgColor rgb="FF1F4E9A"/>
          <bgColor rgb="FF000000"/>
        </patternFill>
      </fill>
    </dxf>
    <dxf>
      <fill>
        <patternFill patternType="solid">
          <fgColor rgb="FFFFFFFF"/>
          <bgColor rgb="FF000000"/>
        </patternFill>
      </fill>
    </dxf>
    <dxf>
      <fill>
        <patternFill patternType="solid">
          <fgColor rgb="FF2A1B30"/>
          <bgColor rgb="FF000000"/>
        </patternFill>
      </fill>
    </dxf>
    <dxf>
      <font>
        <name val="Arial"/>
        <charset val="1"/>
        <family val="0"/>
        <b val="1"/>
        <color rgb="FFB23A48"/>
      </font>
    </dxf>
    <dxf>
      <fill>
        <patternFill patternType="solid">
          <fgColor rgb="FFF7D9DD"/>
          <bgColor rgb="FF000000"/>
        </patternFill>
      </fill>
    </dxf>
    <dxf>
      <fill>
        <patternFill patternType="solid">
          <fgColor rgb="FF9B2C3A"/>
          <bgColor rgb="FF000000"/>
        </patternFill>
      </fill>
    </dxf>
    <dxf>
      <fill>
        <patternFill patternType="solid">
          <fgColor rgb="FFFBE3C4"/>
          <bgColor rgb="FF000000"/>
        </patternFill>
      </fill>
    </dxf>
    <dxf>
      <fill>
        <patternFill patternType="solid">
          <fgColor rgb="FF8A4E00"/>
          <bgColor rgb="FF000000"/>
        </patternFill>
      </fill>
    </dxf>
    <dxf>
      <fill>
        <patternFill patternType="solid">
          <fgColor rgb="FFEFE5F1"/>
          <bgColor rgb="FF000000"/>
        </patternFill>
      </fill>
    </dxf>
    <dxf>
      <fill>
        <patternFill patternType="solid">
          <fgColor rgb="FF5E2E6B"/>
          <bgColor rgb="FF000000"/>
        </patternFill>
      </fill>
    </dxf>
    <dxf>
      <fill>
        <patternFill patternType="solid">
          <fgColor rgb="FF8A7F8E"/>
          <bgColor rgb="FF000000"/>
        </patternFill>
      </fill>
    </dxf>
    <dxf>
      <fill>
        <patternFill patternType="solid">
          <fgColor rgb="FFE3F1E8"/>
          <bgColor rgb="FF000000"/>
        </patternFill>
      </fill>
    </dxf>
    <dxf>
      <fill>
        <patternFill patternType="solid">
          <fgColor rgb="FF2D5B40"/>
          <bgColor rgb="FF000000"/>
        </patternFill>
      </fill>
    </dxf>
    <dxf>
      <font>
        <name val="Arial"/>
        <charset val="1"/>
        <family val="0"/>
        <b val="1"/>
        <color rgb="FF8A4E00"/>
      </font>
      <fill>
        <patternFill>
          <bgColor rgb="FFFBE3C4"/>
        </patternFill>
      </fill>
    </dxf>
    <dxf>
      <font>
        <name val="Arial"/>
        <charset val="1"/>
        <family val="0"/>
        <color rgb="FF8A4E00"/>
      </font>
      <fill>
        <patternFill>
          <bgColor rgb="FFFBE3C4"/>
        </patternFill>
      </fill>
    </dxf>
    <dxf>
      <font>
        <name val="Arial"/>
        <charset val="1"/>
        <family val="0"/>
        <color rgb="FF5E2E6B"/>
      </font>
      <fill>
        <patternFill>
          <bgColor rgb="FFEFE5F1"/>
        </patternFill>
      </fill>
    </dxf>
    <dxf>
      <font>
        <name val="Arial"/>
        <charset val="1"/>
        <family val="0"/>
        <color rgb="FF9B2C3A"/>
      </font>
      <fill>
        <patternFill>
          <bgColor rgb="FFF7D9DD"/>
        </patternFill>
      </fill>
    </dxf>
    <dxf>
      <font>
        <name val="Arial"/>
        <charset val="1"/>
        <family val="0"/>
        <color rgb="FF8A7F8E"/>
      </font>
    </dxf>
    <dxf>
      <font>
        <name val="Arial"/>
        <charset val="1"/>
        <family val="0"/>
        <color rgb="FF2D5B40"/>
      </font>
      <fill>
        <patternFill>
          <bgColor rgb="FFE3F1E8"/>
        </patternFill>
      </fill>
    </dxf>
    <dxf>
      <fill>
        <patternFill patternType="solid">
          <fgColor rgb="FFDCEFE3"/>
          <bgColor rgb="FF000000"/>
        </patternFill>
      </fill>
    </dxf>
    <dxf>
      <fill>
        <patternFill patternType="solid">
          <fgColor rgb="FFEEF7F1"/>
          <bgColor rgb="FF000000"/>
        </patternFill>
      </fill>
    </dxf>
    <dxf>
      <fill>
        <patternFill patternType="solid">
          <fgColor rgb="FFF7E9EC"/>
          <bgColor rgb="FF000000"/>
        </patternFill>
      </fill>
    </dxf>
    <dxf>
      <fill>
        <patternFill patternType="solid">
          <fgColor rgb="FFFBF4F5"/>
          <bgColor rgb="FF000000"/>
        </patternFill>
      </fill>
    </dxf>
    <dxf>
      <font>
        <name val="Arial"/>
        <charset val="1"/>
        <family val="0"/>
        <color rgb="FF2D5B40"/>
      </font>
    </dxf>
    <dxf>
      <font>
        <name val="Arial"/>
        <charset val="1"/>
        <family val="0"/>
        <b val="1"/>
        <color rgb="FF2D5B40"/>
      </font>
      <fill>
        <patternFill>
          <bgColor rgb="FFE3F1E8"/>
        </patternFill>
      </fill>
    </dxf>
    <dxf>
      <font>
        <name val="Arial"/>
        <charset val="1"/>
        <family val="0"/>
        <b val="1"/>
        <color rgb="FF2D5B40"/>
      </font>
    </dxf>
    <dxf>
      <fill>
        <patternFill>
          <bgColor rgb="FFFBE3C4"/>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5E2E6B"/>
      <rgbColor rgb="FF008080"/>
      <rgbColor rgb="FFD9D9D9"/>
      <rgbColor rgb="FF878787"/>
      <rgbColor rgb="FF9999FF"/>
      <rgbColor rgb="FF9B2C3A"/>
      <rgbColor rgb="FFFDF3DC"/>
      <rgbColor rgb="FFE3F1E8"/>
      <rgbColor rgb="FF45204F"/>
      <rgbColor rgb="FFFF8080"/>
      <rgbColor rgb="FF0066CC"/>
      <rgbColor rgb="FFD9CCDD"/>
      <rgbColor rgb="FF000080"/>
      <rgbColor rgb="FFFF00FF"/>
      <rgbColor rgb="FFFFFF00"/>
      <rgbColor rgb="FF00FFFF"/>
      <rgbColor rgb="FF800080"/>
      <rgbColor rgb="FF800000"/>
      <rgbColor rgb="FF008080"/>
      <rgbColor rgb="FF0000FF"/>
      <rgbColor rgb="FF00CCFF"/>
      <rgbColor rgb="FFECE5E7"/>
      <rgbColor rgb="FFEFE5F1"/>
      <rgbColor rgb="FFF7D9DD"/>
      <rgbColor rgb="FFE3DADF"/>
      <rgbColor rgb="FFFF99CC"/>
      <rgbColor rgb="FFCC99FF"/>
      <rgbColor rgb="FFFBE3C4"/>
      <rgbColor rgb="FF3366FF"/>
      <rgbColor rgb="FF33CCCC"/>
      <rgbColor rgb="FF99CC00"/>
      <rgbColor rgb="FFFFCC00"/>
      <rgbColor rgb="FFE0A020"/>
      <rgbColor rgb="FFFF6600"/>
      <rgbColor rgb="FF5B4E60"/>
      <rgbColor rgb="FF8A7F8E"/>
      <rgbColor rgb="FF003366"/>
      <rgbColor rgb="FF339966"/>
      <rgbColor rgb="FF003300"/>
      <rgbColor rgb="FF2D5B40"/>
      <rgbColor rgb="FF8A4E00"/>
      <rgbColor rgb="FFB23A48"/>
      <rgbColor rgb="FF1F4E9A"/>
      <rgbColor rgb="FF2A1B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Reviews remaining against the target pace</a:t>
            </a:r>
          </a:p>
        </c:rich>
      </c:tx>
      <c:overlay val="0"/>
      <c:spPr>
        <a:noFill/>
        <a:ln w="0">
          <a:noFill/>
        </a:ln>
      </c:spPr>
    </c:title>
    <c:autoTitleDeleted val="0"/>
    <c:plotArea>
      <c:lineChart>
        <c:grouping val="standard"/>
        <c:varyColors val="0"/>
        <c:ser>
          <c:idx val="0"/>
          <c:order val="0"/>
          <c:tx>
            <c:strRef>
              <c:f>Throughput!H14</c:f>
              <c:strCache>
                <c:ptCount val="1"/>
                <c:pt idx="0">
                  <c:v>Remaining</c:v>
                </c:pt>
              </c:strCache>
            </c:strRef>
          </c:tx>
          <c:spPr>
            <a:solidFill>
              <a:srgbClr val="5e2e6b"/>
            </a:solidFill>
            <a:ln w="28440">
              <a:solidFill>
                <a:srgbClr val="5e2e6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Throughput!$B$15:$B$29</c:f>
              <c:strCach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strCache>
            </c:strRef>
          </c:cat>
          <c:val>
            <c:numRef>
              <c:f>Throughput!$H$15:$H$29</c:f>
              <c:numCache>
                <c:formatCode>General</c:formatCode>
                <c:ptCount val="15"/>
                <c:pt idx="0">
                  <c:v>1080</c:v>
                </c:pt>
                <c:pt idx="1">
                  <c:v>1045</c:v>
                </c:pt>
                <c:pt idx="2">
                  <c:v>979</c:v>
                </c:pt>
                <c:pt idx="3">
                  <c:v>902</c:v>
                </c:pt>
                <c:pt idx="4">
                  <c:v>825</c:v>
                </c:pt>
                <c:pt idx="5">
                  <c:v>748</c:v>
                </c:pt>
                <c:pt idx="6">
                  <c:v>665</c:v>
                </c:pt>
                <c:pt idx="7">
                  <c:v>583</c:v>
                </c:pt>
                <c:pt idx="8">
                  <c:v>503</c:v>
                </c:pt>
                <c:pt idx="9">
                  <c:v>422</c:v>
                </c:pt>
                <c:pt idx="10">
                  <c:v>345</c:v>
                </c:pt>
                <c:pt idx="11">
                  <c:v>273</c:v>
                </c:pt>
                <c:pt idx="12">
                  <c:v>194</c:v>
                </c:pt>
                <c:pt idx="13">
                  <c:v>118</c:v>
                </c:pt>
                <c:pt idx="14">
                  <c:v>38</c:v>
                </c:pt>
              </c:numCache>
            </c:numRef>
          </c:val>
          <c:smooth val="0"/>
        </c:ser>
        <c:ser>
          <c:idx val="1"/>
          <c:order val="1"/>
          <c:tx>
            <c:strRef>
              <c:f>Throughput!I14</c:f>
              <c:strCache>
                <c:ptCount val="1"/>
                <c:pt idx="0">
                  <c:v>Target remaining</c:v>
                </c:pt>
              </c:strCache>
            </c:strRef>
          </c:tx>
          <c:spPr>
            <a:solidFill>
              <a:srgbClr val="e0a020"/>
            </a:solidFill>
            <a:ln w="47520">
              <a:solidFill>
                <a:srgbClr val="e0a020"/>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Throughput!$B$15:$B$29</c:f>
              <c:strCach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strCache>
            </c:strRef>
          </c:cat>
          <c:val>
            <c:numRef>
              <c:f>Throughput!$I$15:$I$29</c:f>
              <c:numCache>
                <c:formatCode>0</c:formatCode>
                <c:ptCount val="15"/>
                <c:pt idx="0">
                  <c:v>1041.6</c:v>
                </c:pt>
                <c:pt idx="1">
                  <c:v>967.2</c:v>
                </c:pt>
                <c:pt idx="2">
                  <c:v>892.8</c:v>
                </c:pt>
                <c:pt idx="3">
                  <c:v>818.4</c:v>
                </c:pt>
                <c:pt idx="4">
                  <c:v>744</c:v>
                </c:pt>
                <c:pt idx="5">
                  <c:v>669.6</c:v>
                </c:pt>
                <c:pt idx="6">
                  <c:v>595.2</c:v>
                </c:pt>
                <c:pt idx="7">
                  <c:v>520.8</c:v>
                </c:pt>
                <c:pt idx="8">
                  <c:v>446.4</c:v>
                </c:pt>
                <c:pt idx="9">
                  <c:v>372</c:v>
                </c:pt>
                <c:pt idx="10">
                  <c:v>297.6</c:v>
                </c:pt>
                <c:pt idx="11">
                  <c:v>223.2</c:v>
                </c:pt>
                <c:pt idx="12">
                  <c:v>148.8</c:v>
                </c:pt>
                <c:pt idx="13">
                  <c:v>74.3999999999999</c:v>
                </c:pt>
                <c:pt idx="14">
                  <c:v>0</c:v>
                </c:pt>
              </c:numCache>
            </c:numRef>
          </c:val>
          <c:smooth val="0"/>
        </c:ser>
        <c:hiLowLines>
          <c:spPr>
            <a:ln w="0">
              <a:noFill/>
            </a:ln>
          </c:spPr>
        </c:hiLowLines>
        <c:marker val="0"/>
        <c:axId val="67663715"/>
        <c:axId val="7156556"/>
      </c:lineChart>
      <c:catAx>
        <c:axId val="67663715"/>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Scoring day</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156556"/>
        <c:crosses val="autoZero"/>
        <c:auto val="1"/>
        <c:lblAlgn val="ctr"/>
        <c:lblOffset val="100"/>
        <c:noMultiLvlLbl val="0"/>
      </c:catAx>
      <c:valAx>
        <c:axId val="7156556"/>
        <c:scaling>
          <c:orientation val="minMax"/>
        </c:scaling>
        <c:delete val="0"/>
        <c:axPos val="l"/>
        <c:majorGridlines>
          <c:spPr>
            <a:ln w="9360">
              <a:solidFill>
                <a:srgbClr val="ece5e7"/>
              </a:solidFill>
              <a:round/>
            </a:ln>
          </c:spPr>
        </c:majorGridlines>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7663715"/>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Recommended dollars against the pool</a:t>
            </a:r>
          </a:p>
        </c:rich>
      </c:tx>
      <c:overlay val="0"/>
      <c:spPr>
        <a:noFill/>
        <a:ln w="0">
          <a:noFill/>
        </a:ln>
      </c:spPr>
    </c:title>
    <c:autoTitleDeleted val="0"/>
    <c:plotArea>
      <c:barChart>
        <c:barDir val="bar"/>
        <c:grouping val="clustered"/>
        <c:varyColors val="0"/>
        <c:ser>
          <c:idx val="0"/>
          <c:order val="0"/>
          <c:tx>
            <c:strRef>
              <c:f>'Budget Check'!C4</c:f>
              <c:strCache>
                <c:ptCount val="1"/>
                <c:pt idx="0">
                  <c:v>Available pool</c:v>
                </c:pt>
              </c:strCache>
            </c:strRef>
          </c:tx>
          <c:spPr>
            <a:solidFill>
              <a:srgbClr val="d9ccdd"/>
            </a:solidFill>
            <a:ln w="936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'Budget Check'!$B$5:$B$8</c:f>
              <c:strCache>
                <c:ptCount val="4"/>
                <c:pt idx="0">
                  <c:v>Full Plate</c:v>
                </c:pt>
                <c:pt idx="1">
                  <c:v>Growing Roots</c:v>
                </c:pt>
                <c:pt idx="2">
                  <c:v>Kitchen to Career</c:v>
                </c:pt>
                <c:pt idx="3">
                  <c:v>Neighborhood Tables</c:v>
                </c:pt>
              </c:strCache>
            </c:strRef>
          </c:cat>
          <c:val>
            <c:numRef>
              <c:f>'Budget Check'!$C$5:$C$8</c:f>
              <c:numCache>
                <c:formatCode>\$#,##0;"-$"#,##0</c:formatCode>
                <c:ptCount val="4"/>
                <c:pt idx="0">
                  <c:v>1300000</c:v>
                </c:pt>
                <c:pt idx="1">
                  <c:v>950000</c:v>
                </c:pt>
                <c:pt idx="2">
                  <c:v>850000</c:v>
                </c:pt>
                <c:pt idx="3">
                  <c:v>1200000</c:v>
                </c:pt>
              </c:numCache>
            </c:numRef>
          </c:val>
        </c:ser>
        <c:ser>
          <c:idx val="1"/>
          <c:order val="1"/>
          <c:tx>
            <c:strRef>
              <c:f>'Budget Check'!I4</c:f>
              <c:strCache>
                <c:ptCount val="1"/>
                <c:pt idx="0">
                  <c:v>Recommended dollars</c:v>
                </c:pt>
              </c:strCache>
            </c:strRef>
          </c:tx>
          <c:spPr>
            <a:solidFill>
              <a:srgbClr val="5e2e6b"/>
            </a:solidFill>
            <a:ln w="936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'Budget Check'!$B$5:$B$8</c:f>
              <c:strCache>
                <c:ptCount val="4"/>
                <c:pt idx="0">
                  <c:v>Full Plate</c:v>
                </c:pt>
                <c:pt idx="1">
                  <c:v>Growing Roots</c:v>
                </c:pt>
                <c:pt idx="2">
                  <c:v>Kitchen to Career</c:v>
                </c:pt>
                <c:pt idx="3">
                  <c:v>Neighborhood Tables</c:v>
                </c:pt>
              </c:strCache>
            </c:strRef>
          </c:cat>
          <c:val>
            <c:numRef>
              <c:f>'Budget Check'!$I$5:$I$8</c:f>
              <c:numCache>
                <c:formatCode>\$#,##0;"-$"#,##0</c:formatCode>
                <c:ptCount val="4"/>
                <c:pt idx="0">
                  <c:v>1330500</c:v>
                </c:pt>
                <c:pt idx="1">
                  <c:v>1251500</c:v>
                </c:pt>
                <c:pt idx="2">
                  <c:v>651000</c:v>
                </c:pt>
                <c:pt idx="3">
                  <c:v>650500</c:v>
                </c:pt>
              </c:numCache>
            </c:numRef>
          </c:val>
        </c:ser>
        <c:gapWidth val="60"/>
        <c:overlap val="0"/>
        <c:axId val="14273249"/>
        <c:axId val="7516454"/>
      </c:barChart>
      <c:catAx>
        <c:axId val="1427324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516454"/>
        <c:crosses val="autoZero"/>
        <c:auto val="1"/>
        <c:lblAlgn val="ctr"/>
        <c:lblOffset val="100"/>
        <c:noMultiLvlLbl val="0"/>
      </c:catAx>
      <c:valAx>
        <c:axId val="7516454"/>
        <c:scaling>
          <c:orientation val="minMax"/>
        </c:scaling>
        <c:delete val="0"/>
        <c:axPos val="l"/>
        <c:majorGridlines>
          <c:spPr>
            <a:ln w="9360">
              <a:solidFill>
                <a:srgbClr val="ece5e7"/>
              </a:solidFill>
              <a:round/>
            </a:ln>
          </c:spPr>
        </c:majorGridlines>
        <c:numFmt formatCode="\$#,##0,\K"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4273249"/>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First and second reads by reviewer</a:t>
            </a:r>
          </a:p>
        </c:rich>
      </c:tx>
      <c:overlay val="0"/>
      <c:spPr>
        <a:noFill/>
        <a:ln w="0">
          <a:noFill/>
        </a:ln>
      </c:spPr>
    </c:title>
    <c:autoTitleDeleted val="0"/>
    <c:plotArea>
      <c:barChart>
        <c:barDir val="bar"/>
        <c:grouping val="clustered"/>
        <c:varyColors val="0"/>
        <c:ser>
          <c:idx val="0"/>
          <c:order val="0"/>
          <c:tx>
            <c:strRef>
              <c:f>Assignments!E4</c:f>
              <c:strCache>
                <c:ptCount val="1"/>
                <c:pt idx="0">
                  <c:v>First and second reads</c:v>
                </c:pt>
              </c:strCache>
            </c:strRef>
          </c:tx>
          <c:spPr>
            <a:solidFill>
              <a:srgbClr val="5e2e6b"/>
            </a:solidFill>
            <a:ln w="936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Assignments!$B$5:$B$10</c:f>
              <c:strCache>
                <c:ptCount val="6"/>
                <c:pt idx="0">
                  <c:v>Alicia Moreno</c:v>
                </c:pt>
                <c:pt idx="1">
                  <c:v>Ben Okafor</c:v>
                </c:pt>
                <c:pt idx="2">
                  <c:v>Rafael Ortiz</c:v>
                </c:pt>
                <c:pt idx="3">
                  <c:v>Erin Walsh</c:v>
                </c:pt>
                <c:pt idx="4">
                  <c:v>Frank Delgado</c:v>
                </c:pt>
                <c:pt idx="5">
                  <c:v>Grace Kim</c:v>
                </c:pt>
              </c:strCache>
            </c:strRef>
          </c:cat>
          <c:val>
            <c:numRef>
              <c:f>Assignments!$E$5:$E$10</c:f>
              <c:numCache>
                <c:formatCode>General</c:formatCode>
                <c:ptCount val="6"/>
                <c:pt idx="0">
                  <c:v>189</c:v>
                </c:pt>
                <c:pt idx="1">
                  <c:v>189</c:v>
                </c:pt>
                <c:pt idx="2">
                  <c:v>231</c:v>
                </c:pt>
                <c:pt idx="3">
                  <c:v>187</c:v>
                </c:pt>
                <c:pt idx="4">
                  <c:v>187</c:v>
                </c:pt>
                <c:pt idx="5">
                  <c:v>133</c:v>
                </c:pt>
              </c:numCache>
            </c:numRef>
          </c:val>
        </c:ser>
        <c:gapWidth val="60"/>
        <c:overlap val="0"/>
        <c:axId val="4772546"/>
        <c:axId val="28442632"/>
      </c:barChart>
      <c:catAx>
        <c:axId val="4772546"/>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8442632"/>
        <c:crosses val="autoZero"/>
        <c:auto val="1"/>
        <c:lblAlgn val="ctr"/>
        <c:lblOffset val="100"/>
        <c:noMultiLvlLbl val="0"/>
      </c:catAx>
      <c:valAx>
        <c:axId val="28442632"/>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772546"/>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Burn-down: reviews remaining</a:t>
            </a:r>
          </a:p>
        </c:rich>
      </c:tx>
      <c:overlay val="0"/>
      <c:spPr>
        <a:noFill/>
        <a:ln w="0">
          <a:noFill/>
        </a:ln>
      </c:spPr>
    </c:title>
    <c:autoTitleDeleted val="0"/>
    <c:plotArea>
      <c:lineChart>
        <c:grouping val="standard"/>
        <c:varyColors val="0"/>
        <c:ser>
          <c:idx val="0"/>
          <c:order val="0"/>
          <c:tx>
            <c:strRef>
              <c:f>Throughput!H14</c:f>
              <c:strCache>
                <c:ptCount val="1"/>
                <c:pt idx="0">
                  <c:v>Remaining</c:v>
                </c:pt>
              </c:strCache>
            </c:strRef>
          </c:tx>
          <c:spPr>
            <a:solidFill>
              <a:srgbClr val="5e2e6b"/>
            </a:solidFill>
            <a:ln w="28440">
              <a:solidFill>
                <a:srgbClr val="5e2e6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Throughput!$B$15:$B$29</c:f>
              <c:strCach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strCache>
            </c:strRef>
          </c:cat>
          <c:val>
            <c:numRef>
              <c:f>Throughput!$H$15:$H$29</c:f>
              <c:numCache>
                <c:formatCode>General</c:formatCode>
                <c:ptCount val="15"/>
                <c:pt idx="0">
                  <c:v>1080</c:v>
                </c:pt>
                <c:pt idx="1">
                  <c:v>1045</c:v>
                </c:pt>
                <c:pt idx="2">
                  <c:v>979</c:v>
                </c:pt>
                <c:pt idx="3">
                  <c:v>902</c:v>
                </c:pt>
                <c:pt idx="4">
                  <c:v>825</c:v>
                </c:pt>
                <c:pt idx="5">
                  <c:v>748</c:v>
                </c:pt>
                <c:pt idx="6">
                  <c:v>665</c:v>
                </c:pt>
                <c:pt idx="7">
                  <c:v>583</c:v>
                </c:pt>
                <c:pt idx="8">
                  <c:v>503</c:v>
                </c:pt>
                <c:pt idx="9">
                  <c:v>422</c:v>
                </c:pt>
                <c:pt idx="10">
                  <c:v>345</c:v>
                </c:pt>
                <c:pt idx="11">
                  <c:v>273</c:v>
                </c:pt>
                <c:pt idx="12">
                  <c:v>194</c:v>
                </c:pt>
                <c:pt idx="13">
                  <c:v>118</c:v>
                </c:pt>
                <c:pt idx="14">
                  <c:v>38</c:v>
                </c:pt>
              </c:numCache>
            </c:numRef>
          </c:val>
          <c:smooth val="0"/>
        </c:ser>
        <c:ser>
          <c:idx val="1"/>
          <c:order val="1"/>
          <c:tx>
            <c:strRef>
              <c:f>Throughput!I14</c:f>
              <c:strCache>
                <c:ptCount val="1"/>
                <c:pt idx="0">
                  <c:v>Target remaining</c:v>
                </c:pt>
              </c:strCache>
            </c:strRef>
          </c:tx>
          <c:spPr>
            <a:solidFill>
              <a:srgbClr val="e0a020"/>
            </a:solidFill>
            <a:ln w="19080">
              <a:solidFill>
                <a:srgbClr val="e0a020"/>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Throughput!$B$15:$B$29</c:f>
              <c:strCach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strCache>
            </c:strRef>
          </c:cat>
          <c:val>
            <c:numRef>
              <c:f>Throughput!$I$15:$I$29</c:f>
              <c:numCache>
                <c:formatCode>0</c:formatCode>
                <c:ptCount val="15"/>
                <c:pt idx="0">
                  <c:v>1041.6</c:v>
                </c:pt>
                <c:pt idx="1">
                  <c:v>967.2</c:v>
                </c:pt>
                <c:pt idx="2">
                  <c:v>892.8</c:v>
                </c:pt>
                <c:pt idx="3">
                  <c:v>818.4</c:v>
                </c:pt>
                <c:pt idx="4">
                  <c:v>744</c:v>
                </c:pt>
                <c:pt idx="5">
                  <c:v>669.6</c:v>
                </c:pt>
                <c:pt idx="6">
                  <c:v>595.2</c:v>
                </c:pt>
                <c:pt idx="7">
                  <c:v>520.8</c:v>
                </c:pt>
                <c:pt idx="8">
                  <c:v>446.4</c:v>
                </c:pt>
                <c:pt idx="9">
                  <c:v>372</c:v>
                </c:pt>
                <c:pt idx="10">
                  <c:v>297.6</c:v>
                </c:pt>
                <c:pt idx="11">
                  <c:v>223.2</c:v>
                </c:pt>
                <c:pt idx="12">
                  <c:v>148.8</c:v>
                </c:pt>
                <c:pt idx="13">
                  <c:v>74.3999999999999</c:v>
                </c:pt>
                <c:pt idx="14">
                  <c:v>0</c:v>
                </c:pt>
              </c:numCache>
            </c:numRef>
          </c:val>
          <c:smooth val="0"/>
        </c:ser>
        <c:hiLowLines>
          <c:spPr>
            <a:ln w="0">
              <a:noFill/>
            </a:ln>
          </c:spPr>
        </c:hiLowLines>
        <c:marker val="0"/>
        <c:axId val="94349574"/>
        <c:axId val="86842195"/>
      </c:lineChart>
      <c:catAx>
        <c:axId val="94349574"/>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Scoring day</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6842195"/>
        <c:crosses val="autoZero"/>
        <c:auto val="1"/>
        <c:lblAlgn val="ctr"/>
        <c:lblOffset val="100"/>
        <c:noMultiLvlLbl val="0"/>
      </c:catAx>
      <c:valAx>
        <c:axId val="86842195"/>
        <c:scaling>
          <c:orientation val="minMax"/>
        </c:scaling>
        <c:delete val="0"/>
        <c:axPos val="l"/>
        <c:majorGridlines>
          <c:spPr>
            <a:ln w="9360">
              <a:solidFill>
                <a:srgbClr val="ece5e7"/>
              </a:solidFill>
              <a:round/>
            </a:ln>
          </c:spPr>
        </c:majorGridlines>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4349574"/>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Reviews completed each day against the target</a:t>
            </a:r>
          </a:p>
        </c:rich>
      </c:tx>
      <c:overlay val="0"/>
      <c:spPr>
        <a:noFill/>
        <a:ln w="0">
          <a:noFill/>
        </a:ln>
      </c:spPr>
    </c:title>
    <c:autoTitleDeleted val="0"/>
    <c:plotArea>
      <c:barChart>
        <c:barDir val="col"/>
        <c:grouping val="clustered"/>
        <c:varyColors val="0"/>
        <c:ser>
          <c:idx val="0"/>
          <c:order val="0"/>
          <c:tx>
            <c:strRef>
              <c:f>Throughput!E14</c:f>
              <c:strCache>
                <c:ptCount val="1"/>
                <c:pt idx="0">
                  <c:v>Completed</c:v>
                </c:pt>
              </c:strCache>
            </c:strRef>
          </c:tx>
          <c:spPr>
            <a:solidFill>
              <a:srgbClr val="5e2e6b"/>
            </a:solidFill>
            <a:ln w="936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Throughput!$B$15:$B$29</c:f>
              <c:strCach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strCache>
            </c:strRef>
          </c:cat>
          <c:val>
            <c:numRef>
              <c:f>Throughput!$E$15:$E$29</c:f>
              <c:numCache>
                <c:formatCode>General</c:formatCode>
                <c:ptCount val="15"/>
                <c:pt idx="0">
                  <c:v>36</c:v>
                </c:pt>
                <c:pt idx="1">
                  <c:v>35</c:v>
                </c:pt>
                <c:pt idx="2">
                  <c:v>66</c:v>
                </c:pt>
                <c:pt idx="3">
                  <c:v>77</c:v>
                </c:pt>
                <c:pt idx="4">
                  <c:v>77</c:v>
                </c:pt>
                <c:pt idx="5">
                  <c:v>77</c:v>
                </c:pt>
                <c:pt idx="6">
                  <c:v>83</c:v>
                </c:pt>
                <c:pt idx="7">
                  <c:v>82</c:v>
                </c:pt>
                <c:pt idx="8">
                  <c:v>80</c:v>
                </c:pt>
                <c:pt idx="9">
                  <c:v>81</c:v>
                </c:pt>
                <c:pt idx="10">
                  <c:v>77</c:v>
                </c:pt>
                <c:pt idx="11">
                  <c:v>72</c:v>
                </c:pt>
                <c:pt idx="12">
                  <c:v>79</c:v>
                </c:pt>
                <c:pt idx="13">
                  <c:v>76</c:v>
                </c:pt>
                <c:pt idx="14">
                  <c:v>80</c:v>
                </c:pt>
              </c:numCache>
            </c:numRef>
          </c:val>
        </c:ser>
        <c:gapWidth val="50"/>
        <c:overlap val="0"/>
        <c:axId val="54096113"/>
        <c:axId val="46766334"/>
      </c:barChart>
      <c:lineChart>
        <c:grouping val="standard"/>
        <c:varyColors val="0"/>
        <c:ser>
          <c:idx val="1"/>
          <c:order val="1"/>
          <c:tx>
            <c:strRef>
              <c:f>Throughput!D14</c:f>
              <c:strCache>
                <c:ptCount val="1"/>
                <c:pt idx="0">
                  <c:v>Target per day</c:v>
                </c:pt>
              </c:strCache>
            </c:strRef>
          </c:tx>
          <c:spPr>
            <a:solidFill>
              <a:srgbClr val="e0a020"/>
            </a:solidFill>
            <a:ln w="22320">
              <a:solidFill>
                <a:srgbClr val="e0a020"/>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Throughput!$B$15:$B$29</c:f>
              <c:strCach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strCache>
            </c:strRef>
          </c:cat>
          <c:val>
            <c:numRef>
              <c:f>Throughput!$D$15:$D$29</c:f>
              <c:numCache>
                <c:formatCode>0.0</c:formatCode>
                <c:ptCount val="15"/>
                <c:pt idx="0">
                  <c:v>74.4</c:v>
                </c:pt>
                <c:pt idx="1">
                  <c:v>74.4</c:v>
                </c:pt>
                <c:pt idx="2">
                  <c:v>74.4</c:v>
                </c:pt>
                <c:pt idx="3">
                  <c:v>74.4</c:v>
                </c:pt>
                <c:pt idx="4">
                  <c:v>74.4</c:v>
                </c:pt>
                <c:pt idx="5">
                  <c:v>74.4</c:v>
                </c:pt>
                <c:pt idx="6">
                  <c:v>74.4</c:v>
                </c:pt>
                <c:pt idx="7">
                  <c:v>74.4</c:v>
                </c:pt>
                <c:pt idx="8">
                  <c:v>74.4</c:v>
                </c:pt>
                <c:pt idx="9">
                  <c:v>74.4</c:v>
                </c:pt>
                <c:pt idx="10">
                  <c:v>74.4</c:v>
                </c:pt>
                <c:pt idx="11">
                  <c:v>74.4</c:v>
                </c:pt>
                <c:pt idx="12">
                  <c:v>74.4</c:v>
                </c:pt>
                <c:pt idx="13">
                  <c:v>74.4</c:v>
                </c:pt>
                <c:pt idx="14">
                  <c:v>74.4</c:v>
                </c:pt>
              </c:numCache>
            </c:numRef>
          </c:val>
          <c:smooth val="0"/>
        </c:ser>
        <c:hiLowLines>
          <c:spPr>
            <a:ln w="0">
              <a:noFill/>
            </a:ln>
          </c:spPr>
        </c:hiLowLines>
        <c:marker val="0"/>
        <c:axId val="54096113"/>
        <c:axId val="46766334"/>
      </c:lineChart>
      <c:catAx>
        <c:axId val="54096113"/>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Scoring day</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6766334"/>
        <c:crosses val="autoZero"/>
        <c:auto val="1"/>
        <c:lblAlgn val="ctr"/>
        <c:lblOffset val="100"/>
        <c:noMultiLvlLbl val="0"/>
      </c:catAx>
      <c:valAx>
        <c:axId val="46766334"/>
        <c:scaling>
          <c:orientation val="minMax"/>
        </c:scaling>
        <c:delete val="0"/>
        <c:axPos val="l"/>
        <c:majorGridlines>
          <c:spPr>
            <a:ln w="9360">
              <a:solidFill>
                <a:srgbClr val="ece5e7"/>
              </a:solidFill>
              <a:round/>
            </a:ln>
          </c:spPr>
        </c:majorGridlines>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4096113"/>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6.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Recommended dollars against the available pool</a:t>
            </a:r>
          </a:p>
        </c:rich>
      </c:tx>
      <c:overlay val="0"/>
      <c:spPr>
        <a:noFill/>
        <a:ln w="0">
          <a:noFill/>
        </a:ln>
      </c:spPr>
    </c:title>
    <c:autoTitleDeleted val="0"/>
    <c:plotArea>
      <c:barChart>
        <c:barDir val="bar"/>
        <c:grouping val="clustered"/>
        <c:varyColors val="0"/>
        <c:ser>
          <c:idx val="0"/>
          <c:order val="0"/>
          <c:tx>
            <c:strRef>
              <c:f>'Budget Check'!C4</c:f>
              <c:strCache>
                <c:ptCount val="1"/>
                <c:pt idx="0">
                  <c:v>Available pool</c:v>
                </c:pt>
              </c:strCache>
            </c:strRef>
          </c:tx>
          <c:spPr>
            <a:solidFill>
              <a:srgbClr val="d9ccdd"/>
            </a:solidFill>
            <a:ln w="936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'Budget Check'!$B$5:$B$8</c:f>
              <c:strCache>
                <c:ptCount val="4"/>
                <c:pt idx="0">
                  <c:v>Full Plate</c:v>
                </c:pt>
                <c:pt idx="1">
                  <c:v>Growing Roots</c:v>
                </c:pt>
                <c:pt idx="2">
                  <c:v>Kitchen to Career</c:v>
                </c:pt>
                <c:pt idx="3">
                  <c:v>Neighborhood Tables</c:v>
                </c:pt>
              </c:strCache>
            </c:strRef>
          </c:cat>
          <c:val>
            <c:numRef>
              <c:f>'Budget Check'!$C$5:$C$8</c:f>
              <c:numCache>
                <c:formatCode>\$#,##0;"-$"#,##0</c:formatCode>
                <c:ptCount val="4"/>
                <c:pt idx="0">
                  <c:v>1300000</c:v>
                </c:pt>
                <c:pt idx="1">
                  <c:v>950000</c:v>
                </c:pt>
                <c:pt idx="2">
                  <c:v>850000</c:v>
                </c:pt>
                <c:pt idx="3">
                  <c:v>1200000</c:v>
                </c:pt>
              </c:numCache>
            </c:numRef>
          </c:val>
        </c:ser>
        <c:ser>
          <c:idx val="1"/>
          <c:order val="1"/>
          <c:tx>
            <c:strRef>
              <c:f>'Budget Check'!I4</c:f>
              <c:strCache>
                <c:ptCount val="1"/>
                <c:pt idx="0">
                  <c:v>Recommended dollars</c:v>
                </c:pt>
              </c:strCache>
            </c:strRef>
          </c:tx>
          <c:spPr>
            <a:solidFill>
              <a:srgbClr val="5e2e6b"/>
            </a:solidFill>
            <a:ln w="936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'Budget Check'!$B$5:$B$8</c:f>
              <c:strCache>
                <c:ptCount val="4"/>
                <c:pt idx="0">
                  <c:v>Full Plate</c:v>
                </c:pt>
                <c:pt idx="1">
                  <c:v>Growing Roots</c:v>
                </c:pt>
                <c:pt idx="2">
                  <c:v>Kitchen to Career</c:v>
                </c:pt>
                <c:pt idx="3">
                  <c:v>Neighborhood Tables</c:v>
                </c:pt>
              </c:strCache>
            </c:strRef>
          </c:cat>
          <c:val>
            <c:numRef>
              <c:f>'Budget Check'!$I$5:$I$8</c:f>
              <c:numCache>
                <c:formatCode>\$#,##0;"-$"#,##0</c:formatCode>
                <c:ptCount val="4"/>
                <c:pt idx="0">
                  <c:v>1330500</c:v>
                </c:pt>
                <c:pt idx="1">
                  <c:v>1251500</c:v>
                </c:pt>
                <c:pt idx="2">
                  <c:v>651000</c:v>
                </c:pt>
                <c:pt idx="3">
                  <c:v>650500</c:v>
                </c:pt>
              </c:numCache>
            </c:numRef>
          </c:val>
        </c:ser>
        <c:gapWidth val="60"/>
        <c:overlap val="0"/>
        <c:axId val="22380055"/>
        <c:axId val="89933072"/>
      </c:barChart>
      <c:catAx>
        <c:axId val="2238005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9933072"/>
        <c:crosses val="autoZero"/>
        <c:auto val="1"/>
        <c:lblAlgn val="ctr"/>
        <c:lblOffset val="100"/>
        <c:noMultiLvlLbl val="0"/>
      </c:catAx>
      <c:valAx>
        <c:axId val="89933072"/>
        <c:scaling>
          <c:orientation val="minMax"/>
        </c:scaling>
        <c:delete val="0"/>
        <c:axPos val="l"/>
        <c:majorGridlines>
          <c:spPr>
            <a:ln w="9360">
              <a:solidFill>
                <a:srgbClr val="ece5e7"/>
              </a:solidFill>
              <a:round/>
            </a:ln>
          </c:spPr>
        </c:majorGridlines>
        <c:numFmt formatCode="\$#,##0,\K"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2380055"/>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_rels/drawing2.xml.rels><?xml version="1.0" encoding="UTF-8"?>
<Relationships xmlns="http://schemas.openxmlformats.org/package/2006/relationships"><Relationship Id="rId1" Type="http://schemas.openxmlformats.org/officeDocument/2006/relationships/chart" Target="../charts/chart3.xml"/>
</Relationships>
</file>

<file path=xl/drawings/_rels/drawing3.xml.rels><?xml version="1.0" encoding="UTF-8"?>
<Relationships xmlns="http://schemas.openxmlformats.org/package/2006/relationships"><Relationship Id="rId1" Type="http://schemas.openxmlformats.org/officeDocument/2006/relationships/chart" Target="../charts/chart4.xml"/><Relationship Id="rId2" Type="http://schemas.openxmlformats.org/officeDocument/2006/relationships/chart" Target="../charts/chart5.xml"/>
</Relationships>
</file>

<file path=xl/drawings/_rels/drawing4.xml.rels><?xml version="1.0" encoding="UTF-8"?>
<Relationships xmlns="http://schemas.openxmlformats.org/package/2006/relationships"><Relationship Id="rId1" Type="http://schemas.openxmlformats.org/officeDocument/2006/relationships/chart" Target="../charts/chart6.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28</xdr:row>
      <xdr:rowOff>130680</xdr:rowOff>
    </xdr:from>
    <xdr:to>
      <xdr:col>5</xdr:col>
      <xdr:colOff>332280</xdr:colOff>
      <xdr:row>42</xdr:row>
      <xdr:rowOff>55440</xdr:rowOff>
    </xdr:to>
    <xdr:graphicFrame>
      <xdr:nvGraphicFramePr>
        <xdr:cNvPr id="0" name="Chart 1"/>
        <xdr:cNvGraphicFramePr/>
      </xdr:nvGraphicFramePr>
      <xdr:xfrm>
        <a:off x="211320" y="6114960"/>
        <a:ext cx="5759640" cy="2591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0</xdr:colOff>
      <xdr:row>28</xdr:row>
      <xdr:rowOff>130680</xdr:rowOff>
    </xdr:from>
    <xdr:to>
      <xdr:col>10</xdr:col>
      <xdr:colOff>795600</xdr:colOff>
      <xdr:row>42</xdr:row>
      <xdr:rowOff>55440</xdr:rowOff>
    </xdr:to>
    <xdr:graphicFrame>
      <xdr:nvGraphicFramePr>
        <xdr:cNvPr id="1" name="Chart 2"/>
        <xdr:cNvGraphicFramePr/>
      </xdr:nvGraphicFramePr>
      <xdr:xfrm>
        <a:off x="6837120" y="6114960"/>
        <a:ext cx="4319640" cy="2591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10</xdr:col>
      <xdr:colOff>0</xdr:colOff>
      <xdr:row>12</xdr:row>
      <xdr:rowOff>130680</xdr:rowOff>
    </xdr:from>
    <xdr:to>
      <xdr:col>17</xdr:col>
      <xdr:colOff>252360</xdr:colOff>
      <xdr:row>25</xdr:row>
      <xdr:rowOff>1440</xdr:rowOff>
    </xdr:to>
    <xdr:graphicFrame>
      <xdr:nvGraphicFramePr>
        <xdr:cNvPr id="2" name="Chart 1"/>
        <xdr:cNvGraphicFramePr/>
      </xdr:nvGraphicFramePr>
      <xdr:xfrm>
        <a:off x="8176320" y="2666880"/>
        <a:ext cx="539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11</xdr:col>
      <xdr:colOff>0</xdr:colOff>
      <xdr:row>2</xdr:row>
      <xdr:rowOff>131040</xdr:rowOff>
    </xdr:from>
    <xdr:to>
      <xdr:col>17</xdr:col>
      <xdr:colOff>621720</xdr:colOff>
      <xdr:row>16</xdr:row>
      <xdr:rowOff>153000</xdr:rowOff>
    </xdr:to>
    <xdr:graphicFrame>
      <xdr:nvGraphicFramePr>
        <xdr:cNvPr id="3" name="Chart 1"/>
        <xdr:cNvGraphicFramePr/>
      </xdr:nvGraphicFramePr>
      <xdr:xfrm>
        <a:off x="8740080" y="571680"/>
        <a:ext cx="61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0</xdr:colOff>
      <xdr:row>19</xdr:row>
      <xdr:rowOff>131040</xdr:rowOff>
    </xdr:from>
    <xdr:to>
      <xdr:col>17</xdr:col>
      <xdr:colOff>621720</xdr:colOff>
      <xdr:row>34</xdr:row>
      <xdr:rowOff>19800</xdr:rowOff>
    </xdr:to>
    <xdr:graphicFrame>
      <xdr:nvGraphicFramePr>
        <xdr:cNvPr id="4" name="Chart 2"/>
        <xdr:cNvGraphicFramePr/>
      </xdr:nvGraphicFramePr>
      <xdr:xfrm>
        <a:off x="8740080" y="4000680"/>
        <a:ext cx="6119640" cy="287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13</xdr:row>
      <xdr:rowOff>131040</xdr:rowOff>
    </xdr:from>
    <xdr:to>
      <xdr:col>8</xdr:col>
      <xdr:colOff>347400</xdr:colOff>
      <xdr:row>28</xdr:row>
      <xdr:rowOff>153000</xdr:rowOff>
    </xdr:to>
    <xdr:graphicFrame>
      <xdr:nvGraphicFramePr>
        <xdr:cNvPr id="5" name="Chart 1"/>
        <xdr:cNvGraphicFramePr/>
      </xdr:nvGraphicFramePr>
      <xdr:xfrm>
        <a:off x="211320" y="3009960"/>
        <a:ext cx="647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ApplicationsTable" displayName="ApplicationsTable" ref="A4:X600" headerRowCount="1" totalsRowCount="0" totalsRowShown="0">
  <autoFilter ref="A4:X600"/>
  <tableColumns count="24">
    <tableColumn id="1" name="Application ID"/>
    <tableColumn id="2" name="Organization"/>
    <tableColumn id="3" name="Program"/>
    <tableColumn id="4" name="Region"/>
    <tableColumn id="5" name="Country"/>
    <tableColumn id="6" name="Request amount"/>
    <tableColumn id="7" name="Submitted"/>
    <tableColumn id="8" name="Eligibility"/>
    <tableColumn id="9" name="Reviewer 1"/>
    <tableColumn id="10" name="Reviewer 2"/>
    <tableColumn id="11" name="Third reader"/>
    <tableColumn id="12" name="Reviewer 1 score"/>
    <tableColumn id="13" name="Reviewer 2 score"/>
    <tableColumn id="14" name="Score gap"/>
    <tableColumn id="15" name="Needs third read"/>
    <tableColumn id="16" name="Third read score"/>
    <tableColumn id="17" name="Final score"/>
    <tableColumn id="18" name="Review status"/>
    <tableColumn id="19" name="Rank in program"/>
    <tableColumn id="20" name="Recommended"/>
    <tableColumn id="21" name="Recommended award"/>
    <tableColumn id="22" name="Cumulative award by rank"/>
    <tableColumn id="23" name="Within pool"/>
    <tableColumn id="24" name="Third read number"/>
  </tableColumns>
</table>
</file>

<file path=xl/tables/table2.xml><?xml version="1.0" encoding="utf-8"?>
<table xmlns="http://schemas.openxmlformats.org/spreadsheetml/2006/main" id="2" name="ProgramPools" displayName="ProgramPools" ref="E15:G19" headerRowCount="1" totalsRowCount="0" totalsRowShown="0">
  <autoFilter ref="E15:G19"/>
  <tableColumns count="3">
    <tableColumn id="1" name="Program"/>
    <tableColumn id="2" name="Available pool"/>
    <tableColumn id="3" name="Largest single award"/>
  </tableColumns>
</table>
</file>

<file path=xl/tables/table3.xml><?xml version="1.0" encoding="utf-8"?>
<table xmlns="http://schemas.openxmlformats.org/spreadsheetml/2006/main" id="3" name="Reviewers" displayName="Reviewers" ref="E5:G11" headerRowCount="1" totalsRowCount="0" totalsRowShown="0">
  <autoFilter ref="E5:G11"/>
  <tableColumns count="3">
    <tableColumn id="1" name="Reviewer"/>
    <tableColumn id="2" name="Role"/>
    <tableColumn id="3" name="First scoring day"/>
  </tableColumns>
</table>
</file>

<file path=xl/tables/table4.xml><?xml version="1.0" encoding="utf-8"?>
<table xmlns="http://schemas.openxmlformats.org/spreadsheetml/2006/main" id="4" name="RubricTable" displayName="RubricTable" ref="B4:G10" headerRowCount="1" totalsRowCount="0" totalsRowShown="0">
  <autoFilter ref="B4:G10"/>
  <tableColumns count="6">
    <tableColumn id="1" name="Criterion"/>
    <tableColumn id="2" name="What reviewers look for"/>
    <tableColumn id="3" name="Weight"/>
    <tableColumn id="4" name="A score of 1 means"/>
    <tableColumn id="5" name="A score of 3 means"/>
    <tableColumn id="6" name="A score of 5 means"/>
  </tableColumns>
</table>
</file>

<file path=xl/tables/table5.xml><?xml version="1.0" encoding="utf-8"?>
<table xmlns="http://schemas.openxmlformats.org/spreadsheetml/2006/main" id="5" name="ScoreEntryTable" displayName="ScoreEntryTable" ref="A4:O1276" headerRowCount="1" totalsRowCount="0" totalsRowShown="0">
  <autoFilter ref="A4:O1276"/>
  <tableColumns count="15">
    <tableColumn id="1" name="Score ID"/>
    <tableColumn id="2" name="Application ID"/>
    <tableColumn id="3" name="Organization"/>
    <tableColumn id="4" name="Reviewer"/>
    <tableColumn id="5" name="Role"/>
    <tableColumn id="6" name="Date scored"/>
    <tableColumn id="7" name="Community need"/>
    <tableColumn id="8" name="Program design"/>
    <tableColumn id="9" name="Equity and community voice"/>
    <tableColumn id="10" name="Organizational capacity"/>
    <tableColumn id="11" name="Budget"/>
    <tableColumn id="12" name="Measurable results"/>
    <tableColumn id="13" name="Weighted score"/>
    <tableColumn id="14" name="Assignment check"/>
    <tableColumn id="15" name="Comment"/>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table" Target="../tables/table2.xml"/><Relationship Id="rId2" Type="http://schemas.openxmlformats.org/officeDocument/2006/relationships/table" Target="../tables/table3.xml"/>
</Relationships>
</file>

<file path=xl/worksheets/_rels/sheet4.xml.rels><?xml version="1.0" encoding="UTF-8"?>
<Relationships xmlns="http://schemas.openxmlformats.org/package/2006/relationships"><Relationship Id="rId1" Type="http://schemas.openxmlformats.org/officeDocument/2006/relationships/table" Target="../tables/table4.xml"/>
</Relationships>
</file>

<file path=xl/worksheets/_rels/sheet5.xml.rels><?xml version="1.0" encoding="UTF-8"?>
<Relationships xmlns="http://schemas.openxmlformats.org/package/2006/relationships"><Relationship Id="rId1" Type="http://schemas.openxmlformats.org/officeDocument/2006/relationships/table" Target="../tables/table1.xml"/>
</Relationships>
</file>

<file path=xl/worksheets/_rels/sheet6.xml.rels><?xml version="1.0" encoding="UTF-8"?>
<Relationships xmlns="http://schemas.openxmlformats.org/package/2006/relationships"><Relationship Id="rId1" Type="http://schemas.openxmlformats.org/officeDocument/2006/relationships/table" Target="../tables/table5.xml"/>
</Relationships>
</file>

<file path=xl/worksheets/_rels/sheet7.xml.rels><?xml version="1.0" encoding="UTF-8"?>
<Relationships xmlns="http://schemas.openxmlformats.org/package/2006/relationships"><Relationship Id="rId1" Type="http://schemas.openxmlformats.org/officeDocument/2006/relationships/drawing" Target="../drawings/drawing2.xml"/>
</Relationships>
</file>

<file path=xl/worksheets/_rels/sheet8.xml.rels><?xml version="1.0" encoding="UTF-8"?>
<Relationships xmlns="http://schemas.openxmlformats.org/package/2006/relationships"><Relationship Id="rId1" Type="http://schemas.openxmlformats.org/officeDocument/2006/relationships/drawing" Target="../drawings/drawing3.xml"/>
</Relationships>
</file>

<file path=xl/worksheets/_rels/sheet10.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5204F"/>
    <pageSetUpPr fitToPage="true"/>
  </sheetPr>
  <dimension ref="A1:C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92"/>
  </cols>
  <sheetData>
    <row r="1" customFormat="false" ht="19.7" hidden="false" customHeight="false" outlineLevel="0" collapsed="false">
      <c r="A1" s="1" t="s">
        <v>0</v>
      </c>
    </row>
    <row r="2" customFormat="false" ht="15" hidden="false" customHeight="false" outlineLevel="0" collapsed="false">
      <c r="A2" s="2" t="s">
        <v>1</v>
      </c>
    </row>
    <row r="4" customFormat="false" ht="43.5" hidden="false" customHeight="true" outlineLevel="0" collapsed="false">
      <c r="B4" s="3" t="s">
        <v>2</v>
      </c>
      <c r="C4" s="4" t="s">
        <v>3</v>
      </c>
    </row>
    <row r="5" customFormat="false" ht="30" hidden="false" customHeight="true" outlineLevel="0" collapsed="false">
      <c r="B5" s="3" t="s">
        <v>4</v>
      </c>
      <c r="C5" s="4" t="s">
        <v>5</v>
      </c>
    </row>
    <row r="6" customFormat="false" ht="15.75" hidden="false" customHeight="true" outlineLevel="0" collapsed="false">
      <c r="B6" s="3"/>
      <c r="C6" s="4"/>
    </row>
    <row r="7" customFormat="false" ht="15.75" hidden="false" customHeight="true" outlineLevel="0" collapsed="false">
      <c r="B7" s="5" t="s">
        <v>6</v>
      </c>
      <c r="C7" s="4"/>
    </row>
    <row r="8" customFormat="false" ht="30" hidden="false" customHeight="true" outlineLevel="0" collapsed="false">
      <c r="B8" s="6" t="s">
        <v>7</v>
      </c>
      <c r="C8" s="4" t="s">
        <v>8</v>
      </c>
    </row>
    <row r="9" customFormat="false" ht="30" hidden="false" customHeight="true" outlineLevel="0" collapsed="false">
      <c r="B9" s="6" t="s">
        <v>9</v>
      </c>
      <c r="C9" s="4" t="s">
        <v>10</v>
      </c>
    </row>
    <row r="10" customFormat="false" ht="30" hidden="false" customHeight="true" outlineLevel="0" collapsed="false">
      <c r="B10" s="6" t="s">
        <v>11</v>
      </c>
      <c r="C10" s="4" t="s">
        <v>12</v>
      </c>
    </row>
    <row r="11" customFormat="false" ht="43.5" hidden="false" customHeight="true" outlineLevel="0" collapsed="false">
      <c r="B11" s="6" t="s">
        <v>13</v>
      </c>
      <c r="C11" s="4" t="s">
        <v>14</v>
      </c>
    </row>
    <row r="12" customFormat="false" ht="30" hidden="false" customHeight="true" outlineLevel="0" collapsed="false">
      <c r="B12" s="6" t="s">
        <v>15</v>
      </c>
      <c r="C12" s="4" t="s">
        <v>16</v>
      </c>
    </row>
    <row r="13" customFormat="false" ht="30" hidden="false" customHeight="true" outlineLevel="0" collapsed="false">
      <c r="B13" s="6" t="s">
        <v>17</v>
      </c>
      <c r="C13" s="4" t="s">
        <v>18</v>
      </c>
    </row>
    <row r="14" customFormat="false" ht="30" hidden="false" customHeight="true" outlineLevel="0" collapsed="false">
      <c r="B14" s="6" t="s">
        <v>19</v>
      </c>
      <c r="C14" s="4" t="s">
        <v>20</v>
      </c>
    </row>
    <row r="15" customFormat="false" ht="30" hidden="false" customHeight="true" outlineLevel="0" collapsed="false">
      <c r="B15" s="6" t="s">
        <v>21</v>
      </c>
      <c r="C15" s="4" t="s">
        <v>22</v>
      </c>
    </row>
    <row r="16" customFormat="false" ht="15.75" hidden="false" customHeight="true" outlineLevel="0" collapsed="false">
      <c r="B16" s="6" t="s">
        <v>23</v>
      </c>
      <c r="C16" s="4" t="s">
        <v>24</v>
      </c>
    </row>
    <row r="17" customFormat="false" ht="15.75" hidden="false" customHeight="true" outlineLevel="0" collapsed="false">
      <c r="B17" s="3"/>
      <c r="C17" s="4"/>
    </row>
    <row r="18" customFormat="false" ht="15.75" hidden="false" customHeight="true" outlineLevel="0" collapsed="false">
      <c r="B18" s="5" t="s">
        <v>25</v>
      </c>
      <c r="C18" s="4"/>
    </row>
    <row r="19" customFormat="false" ht="15.75" hidden="false" customHeight="true" outlineLevel="0" collapsed="false">
      <c r="B19" s="7" t="s">
        <v>26</v>
      </c>
      <c r="C19" s="4" t="s">
        <v>27</v>
      </c>
    </row>
    <row r="20" customFormat="false" ht="15.75" hidden="false" customHeight="true" outlineLevel="0" collapsed="false">
      <c r="B20" s="8" t="s">
        <v>28</v>
      </c>
      <c r="C20" s="4" t="s">
        <v>29</v>
      </c>
    </row>
    <row r="21" customFormat="false" ht="15.75" hidden="false" customHeight="true" outlineLevel="0" collapsed="false">
      <c r="B21" s="9" t="s">
        <v>30</v>
      </c>
      <c r="C21" s="4" t="s">
        <v>31</v>
      </c>
    </row>
    <row r="22" customFormat="false" ht="15.75" hidden="false" customHeight="true" outlineLevel="0" collapsed="false">
      <c r="B22" s="3"/>
      <c r="C22" s="4"/>
    </row>
    <row r="23" customFormat="false" ht="43.5" hidden="false" customHeight="true" outlineLevel="0" collapsed="false">
      <c r="B23" s="3" t="s">
        <v>32</v>
      </c>
      <c r="C23" s="4" t="s">
        <v>33</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Sample data. All names, organizations, and figures are fictional.</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5204F"/>
    <pageSetUpPr fitToPage="true"/>
  </sheetPr>
  <dimension ref="A1:K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14"/>
    <col collapsed="false" customWidth="true" hidden="false" outlineLevel="0" max="4" min="4" style="0" width="3"/>
    <col collapsed="false" customWidth="true" hidden="false" outlineLevel="0" max="5" min="5" style="0" width="30"/>
    <col collapsed="false" customWidth="true" hidden="false" outlineLevel="0" max="6" min="6" style="0" width="14"/>
    <col collapsed="false" customWidth="true" hidden="false" outlineLevel="0" max="7" min="7" style="0" width="3"/>
    <col collapsed="false" customWidth="true" hidden="false" outlineLevel="0" max="8" min="8" style="0" width="22"/>
    <col collapsed="false" customWidth="true" hidden="false" outlineLevel="0" max="11" min="9" style="0" width="14"/>
  </cols>
  <sheetData>
    <row r="1" customFormat="false" ht="19.7" hidden="false" customHeight="false" outlineLevel="0" collapsed="false">
      <c r="A1" s="1" t="s">
        <v>34</v>
      </c>
    </row>
    <row r="2" customFormat="false" ht="15" hidden="false" customHeight="false" outlineLevel="0" collapsed="false">
      <c r="A2" s="2" t="str">
        <f aca="false">CycleName&amp;" cycle, status as of "&amp;TEXT(StatusDate,"mmmm d, yyyy")&amp;". "&amp;"Sample data. All names, organizations, and figures are fictional."</f>
        <v>FY2026 Fall Community Grants cycle, status as of October 24, 2025. Sample data. All names, organizations, and figures are fictional.</v>
      </c>
    </row>
    <row r="4" customFormat="false" ht="15" hidden="false" customHeight="false" outlineLevel="0" collapsed="false">
      <c r="B4" s="10" t="s">
        <v>35</v>
      </c>
      <c r="E4" s="10" t="s">
        <v>36</v>
      </c>
      <c r="H4" s="10" t="s">
        <v>37</v>
      </c>
    </row>
    <row r="5" customFormat="false" ht="19.5" hidden="false" customHeight="true" outlineLevel="0" collapsed="false">
      <c r="B5" s="11" t="s">
        <v>38</v>
      </c>
      <c r="C5" s="12" t="n">
        <f aca="false">COUNTA(Applications!$A$5:$A$600)</f>
        <v>596</v>
      </c>
      <c r="E5" s="11" t="s">
        <v>39</v>
      </c>
      <c r="F5" s="12" t="n">
        <f aca="false">COUNTIF(Applications!$O$5:$O$600,"Yes")</f>
        <v>71</v>
      </c>
      <c r="H5" s="13" t="str">
        <f aca="false">IF(Assignments!H15=0,"No duplicate reviewer assignments.",IF(Assignments!H15=1,"1 application has the same reviewer twice.",Assignments!H15&amp;" applications have the same reviewer twice."))</f>
        <v>2 applications have the same reviewer twice.</v>
      </c>
      <c r="I5" s="13"/>
      <c r="J5" s="13"/>
      <c r="K5" s="13"/>
    </row>
    <row r="6" customFormat="false" ht="19.5" hidden="false" customHeight="true" outlineLevel="0" collapsed="false">
      <c r="B6" s="11" t="s">
        <v>40</v>
      </c>
      <c r="C6" s="14" t="n">
        <f aca="false">COUNTIF(Applications!$H$5:$H$600,"Screened out")</f>
        <v>38</v>
      </c>
      <c r="E6" s="11" t="s">
        <v>41</v>
      </c>
      <c r="F6" s="14" t="n">
        <f aca="false">COUNTIFS(Applications!$O$5:$O$600,"Yes",Applications!$P$5:$P$600,"&gt;0")</f>
        <v>44</v>
      </c>
      <c r="H6" s="13" t="str">
        <f aca="false">IF(Assignments!H19=0,"Every score entry matches its assignment.",IF(Assignments!H19=1,"1 score entry is under a reviewer who was not assigned.",Assignments!H19&amp;" score entries are under reviewers who were not assigned."))</f>
        <v>1 score entry is under a reviewer who was not assigned.</v>
      </c>
      <c r="I6" s="13"/>
      <c r="J6" s="13"/>
      <c r="K6" s="13"/>
    </row>
    <row r="7" customFormat="false" ht="19.5" hidden="false" customHeight="true" outlineLevel="0" collapsed="false">
      <c r="B7" s="11" t="s">
        <v>42</v>
      </c>
      <c r="C7" s="14" t="n">
        <f aca="false">COUNTIF(Applications!$H$5:$H$600,"Eligible")</f>
        <v>558</v>
      </c>
      <c r="E7" s="11" t="s">
        <v>43</v>
      </c>
      <c r="F7" s="14" t="n">
        <f aca="false">COUNT(Applications!$Q$5:$Q$600)</f>
        <v>493</v>
      </c>
      <c r="H7" s="13" t="str">
        <f aca="false">IF(Assignments!H17=0,"Every flagged application has a third reader.",Assignments!H17&amp;" flagged applications still need a third reader.")</f>
        <v>Every flagged application has a third reader.</v>
      </c>
      <c r="I7" s="13"/>
      <c r="J7" s="13"/>
      <c r="K7" s="13"/>
    </row>
    <row r="8" customFormat="false" ht="19.5" hidden="false" customHeight="true" outlineLevel="0" collapsed="false">
      <c r="B8" s="11" t="s">
        <v>44</v>
      </c>
      <c r="C8" s="14" t="n">
        <f aca="false">Throughput!F7</f>
        <v>1078</v>
      </c>
      <c r="E8" s="11" t="s">
        <v>45</v>
      </c>
      <c r="F8" s="14" t="n">
        <f aca="false">COUNTIF(Applications!$T$5:$T$600,"Yes")</f>
        <v>44</v>
      </c>
      <c r="H8" s="13" t="str">
        <f aca="false">(F5-F6)&amp;" third reads are still outstanding."</f>
        <v>27 third reads are still outstanding.</v>
      </c>
      <c r="I8" s="13"/>
      <c r="J8" s="13"/>
      <c r="K8" s="13"/>
    </row>
    <row r="9" customFormat="false" ht="19.5" hidden="false" customHeight="true" outlineLevel="0" collapsed="false">
      <c r="B9" s="11" t="s">
        <v>46</v>
      </c>
      <c r="C9" s="14" t="n">
        <f aca="false">Throughput!F5</f>
        <v>1116</v>
      </c>
      <c r="E9" s="11" t="s">
        <v>47</v>
      </c>
      <c r="F9" s="15" t="n">
        <f aca="false">'Budget Check'!I9</f>
        <v>3883500</v>
      </c>
      <c r="H9" s="13" t="str">
        <f aca="false">COUNTIF(Applications!$R$5:$R$600,"One read done")+COUNTIF(Applications!$R$5:$R$600,"Not started")&amp;" applications are still waiting on a first or second read."</f>
        <v>38 applications are still waiting on a first or second read.</v>
      </c>
      <c r="I9" s="13"/>
      <c r="J9" s="13"/>
      <c r="K9" s="13"/>
    </row>
    <row r="10" customFormat="false" ht="19.5" hidden="false" customHeight="true" outlineLevel="0" collapsed="false">
      <c r="B10" s="11" t="s">
        <v>48</v>
      </c>
      <c r="C10" s="16" t="n">
        <f aca="false">IF(C9=0,0,C8/C9)</f>
        <v>0.96594982078853</v>
      </c>
      <c r="E10" s="11" t="s">
        <v>49</v>
      </c>
      <c r="F10" s="17" t="n">
        <f aca="false">PoolTotal</f>
        <v>4300000</v>
      </c>
      <c r="H10" s="13" t="str">
        <f aca="false">IF(COUNTIF('Budget Check'!K5:K8,"&lt;0")=0,"Every program is within its pool.",IF(COUNTIF('Budget Check'!K5:K8,"&lt;0")=1,"1 program is over its pool at the current cutoff.",COUNTIF('Budget Check'!K5:K8,"&lt;0")&amp;" programs are over their pools at the current cutoff."))</f>
        <v>2 programs are over their pools at the current cutoff.</v>
      </c>
      <c r="I10" s="13"/>
      <c r="J10" s="13"/>
      <c r="K10" s="13"/>
    </row>
    <row r="11" customFormat="false" ht="19.5" hidden="false" customHeight="true" outlineLevel="0" collapsed="false">
      <c r="B11" s="11" t="s">
        <v>50</v>
      </c>
      <c r="C11" s="18" t="n">
        <f aca="false">Throughput!F10</f>
        <v>45957</v>
      </c>
      <c r="E11" s="11" t="s">
        <v>51</v>
      </c>
      <c r="F11" s="19" t="n">
        <f aca="false">F10-F9</f>
        <v>416500</v>
      </c>
      <c r="H11" s="13" t="str">
        <f aca="false">IF(Assignments!H20=0,"Every reviewer is within the balance tolerance.",IF(Assignments!H20=1,"1 reviewer is outside the balance tolerance.",Assignments!H20&amp;" reviewers are outside the balance tolerance."))</f>
        <v>2 reviewers are outside the balance tolerance.</v>
      </c>
      <c r="I11" s="13"/>
      <c r="J11" s="13"/>
      <c r="K11" s="13"/>
    </row>
    <row r="13" customFormat="false" ht="15" hidden="false" customHeight="false" outlineLevel="0" collapsed="false">
      <c r="B13" s="10" t="s">
        <v>52</v>
      </c>
    </row>
    <row r="14" customFormat="false" ht="30" hidden="false" customHeight="true" outlineLevel="0" collapsed="false">
      <c r="B14" s="20" t="s">
        <v>53</v>
      </c>
      <c r="C14" s="21" t="s">
        <v>54</v>
      </c>
      <c r="D14" s="22"/>
      <c r="E14" s="21" t="s">
        <v>55</v>
      </c>
      <c r="F14" s="21" t="s">
        <v>56</v>
      </c>
      <c r="G14" s="22"/>
      <c r="H14" s="21" t="s">
        <v>47</v>
      </c>
      <c r="I14" s="21" t="s">
        <v>57</v>
      </c>
      <c r="J14" s="21" t="s">
        <v>58</v>
      </c>
      <c r="K14" s="21" t="s">
        <v>59</v>
      </c>
    </row>
    <row r="15" customFormat="false" ht="15" hidden="false" customHeight="false" outlineLevel="0" collapsed="false">
      <c r="B15" s="23" t="str">
        <f aca="false">'Budget Check'!B5</f>
        <v>Full Plate</v>
      </c>
      <c r="C15" s="24" t="n">
        <f aca="false">'Budget Check'!E5</f>
        <v>179</v>
      </c>
      <c r="D15" s="25"/>
      <c r="E15" s="24" t="n">
        <f aca="false">'Budget Check'!F5</f>
        <v>164</v>
      </c>
      <c r="F15" s="24" t="n">
        <f aca="false">'Budget Check'!H5</f>
        <v>12</v>
      </c>
      <c r="G15" s="25"/>
      <c r="H15" s="26" t="n">
        <f aca="false">'Budget Check'!I5</f>
        <v>1330500</v>
      </c>
      <c r="I15" s="26" t="n">
        <f aca="false">'Budget Check'!C5</f>
        <v>1300000</v>
      </c>
      <c r="J15" s="27" t="n">
        <f aca="false">'Budget Check'!J5</f>
        <v>1.02346153846154</v>
      </c>
      <c r="K15" s="28" t="n">
        <f aca="false">'Budget Check'!K5</f>
        <v>-30500</v>
      </c>
    </row>
    <row r="16" customFormat="false" ht="15" hidden="false" customHeight="false" outlineLevel="0" collapsed="false">
      <c r="B16" s="23" t="str">
        <f aca="false">'Budget Check'!B6</f>
        <v>Growing Roots</v>
      </c>
      <c r="C16" s="24" t="n">
        <f aca="false">'Budget Check'!E6</f>
        <v>119</v>
      </c>
      <c r="D16" s="25"/>
      <c r="E16" s="24" t="n">
        <f aca="false">'Budget Check'!F6</f>
        <v>104</v>
      </c>
      <c r="F16" s="24" t="n">
        <f aca="false">'Budget Check'!H6</f>
        <v>14</v>
      </c>
      <c r="G16" s="25"/>
      <c r="H16" s="26" t="n">
        <f aca="false">'Budget Check'!I6</f>
        <v>1251500</v>
      </c>
      <c r="I16" s="26" t="n">
        <f aca="false">'Budget Check'!C6</f>
        <v>950000</v>
      </c>
      <c r="J16" s="27" t="n">
        <f aca="false">'Budget Check'!J6</f>
        <v>1.31736842105263</v>
      </c>
      <c r="K16" s="28" t="n">
        <f aca="false">'Budget Check'!K6</f>
        <v>-301500</v>
      </c>
    </row>
    <row r="17" customFormat="false" ht="15" hidden="false" customHeight="false" outlineLevel="0" collapsed="false">
      <c r="B17" s="23" t="str">
        <f aca="false">'Budget Check'!B7</f>
        <v>Kitchen to Career</v>
      </c>
      <c r="C17" s="24" t="n">
        <f aca="false">'Budget Check'!E7</f>
        <v>116</v>
      </c>
      <c r="D17" s="25"/>
      <c r="E17" s="24" t="n">
        <f aca="false">'Budget Check'!F7</f>
        <v>103</v>
      </c>
      <c r="F17" s="24" t="n">
        <f aca="false">'Budget Check'!H7</f>
        <v>8</v>
      </c>
      <c r="G17" s="25"/>
      <c r="H17" s="26" t="n">
        <f aca="false">'Budget Check'!I7</f>
        <v>651000</v>
      </c>
      <c r="I17" s="26" t="n">
        <f aca="false">'Budget Check'!C7</f>
        <v>850000</v>
      </c>
      <c r="J17" s="27" t="n">
        <f aca="false">'Budget Check'!J7</f>
        <v>0.765882352941177</v>
      </c>
      <c r="K17" s="28" t="n">
        <f aca="false">'Budget Check'!K7</f>
        <v>199000</v>
      </c>
    </row>
    <row r="18" customFormat="false" ht="15" hidden="false" customHeight="false" outlineLevel="0" collapsed="false">
      <c r="B18" s="23" t="str">
        <f aca="false">'Budget Check'!B8</f>
        <v>Neighborhood Tables</v>
      </c>
      <c r="C18" s="24" t="n">
        <f aca="false">'Budget Check'!E8</f>
        <v>144</v>
      </c>
      <c r="D18" s="25"/>
      <c r="E18" s="24" t="n">
        <f aca="false">'Budget Check'!F8</f>
        <v>122</v>
      </c>
      <c r="F18" s="24" t="n">
        <f aca="false">'Budget Check'!H8</f>
        <v>10</v>
      </c>
      <c r="G18" s="25"/>
      <c r="H18" s="26" t="n">
        <f aca="false">'Budget Check'!I8</f>
        <v>650500</v>
      </c>
      <c r="I18" s="26" t="n">
        <f aca="false">'Budget Check'!C8</f>
        <v>1200000</v>
      </c>
      <c r="J18" s="27" t="n">
        <f aca="false">'Budget Check'!J8</f>
        <v>0.542083333333333</v>
      </c>
      <c r="K18" s="28" t="n">
        <f aca="false">'Budget Check'!K8</f>
        <v>549500</v>
      </c>
    </row>
    <row r="20" customFormat="false" ht="15" hidden="false" customHeight="false" outlineLevel="0" collapsed="false">
      <c r="B20" s="10" t="s">
        <v>60</v>
      </c>
    </row>
    <row r="21" customFormat="false" ht="15" hidden="false" customHeight="false" outlineLevel="0" collapsed="false">
      <c r="B21" s="29" t="s">
        <v>61</v>
      </c>
      <c r="C21" s="30" t="s">
        <v>62</v>
      </c>
      <c r="D21" s="22"/>
      <c r="E21" s="30" t="s">
        <v>63</v>
      </c>
      <c r="F21" s="30" t="s">
        <v>64</v>
      </c>
      <c r="G21" s="22"/>
      <c r="H21" s="30" t="s">
        <v>65</v>
      </c>
      <c r="I21" s="29" t="s">
        <v>66</v>
      </c>
    </row>
    <row r="22" customFormat="false" ht="15" hidden="false" customHeight="false" outlineLevel="0" collapsed="false">
      <c r="B22" s="23" t="str">
        <f aca="false">Assignments!B5</f>
        <v>Alicia Moreno</v>
      </c>
      <c r="C22" s="24" t="n">
        <f aca="false">Assignments!K5</f>
        <v>202</v>
      </c>
      <c r="D22" s="25"/>
      <c r="E22" s="24" t="n">
        <f aca="false">Assignments!L5</f>
        <v>197</v>
      </c>
      <c r="F22" s="24" t="n">
        <f aca="false">Assignments!M5</f>
        <v>5</v>
      </c>
      <c r="G22" s="25"/>
      <c r="H22" s="27" t="n">
        <f aca="false">Assignments!N5</f>
        <v>0.975247524752475</v>
      </c>
      <c r="I22" s="31" t="str">
        <f aca="false">Assignments!I5</f>
        <v>Balanced</v>
      </c>
    </row>
    <row r="23" customFormat="false" ht="15" hidden="false" customHeight="false" outlineLevel="0" collapsed="false">
      <c r="B23" s="23" t="str">
        <f aca="false">Assignments!B6</f>
        <v>Ben Okafor</v>
      </c>
      <c r="C23" s="24" t="n">
        <f aca="false">Assignments!K6</f>
        <v>203</v>
      </c>
      <c r="D23" s="25"/>
      <c r="E23" s="24" t="n">
        <f aca="false">Assignments!L6</f>
        <v>193</v>
      </c>
      <c r="F23" s="24" t="n">
        <f aca="false">Assignments!M6</f>
        <v>10</v>
      </c>
      <c r="G23" s="25"/>
      <c r="H23" s="27" t="n">
        <f aca="false">Assignments!N6</f>
        <v>0.950738916256158</v>
      </c>
      <c r="I23" s="31" t="str">
        <f aca="false">Assignments!I6</f>
        <v>Balanced</v>
      </c>
    </row>
    <row r="24" customFormat="false" ht="15" hidden="false" customHeight="false" outlineLevel="0" collapsed="false">
      <c r="B24" s="23" t="str">
        <f aca="false">Assignments!B7</f>
        <v>Rafael Ortiz</v>
      </c>
      <c r="C24" s="24" t="n">
        <f aca="false">Assignments!K7</f>
        <v>246</v>
      </c>
      <c r="D24" s="25"/>
      <c r="E24" s="24" t="n">
        <f aca="false">Assignments!L7</f>
        <v>241</v>
      </c>
      <c r="F24" s="24" t="n">
        <f aca="false">Assignments!M7</f>
        <v>5</v>
      </c>
      <c r="G24" s="25"/>
      <c r="H24" s="27" t="n">
        <f aca="false">Assignments!N7</f>
        <v>0.979674796747967</v>
      </c>
      <c r="I24" s="31" t="str">
        <f aca="false">Assignments!I7</f>
        <v>Over average</v>
      </c>
    </row>
    <row r="25" customFormat="false" ht="15" hidden="false" customHeight="false" outlineLevel="0" collapsed="false">
      <c r="B25" s="23" t="str">
        <f aca="false">Assignments!B8</f>
        <v>Erin Walsh</v>
      </c>
      <c r="C25" s="24" t="n">
        <f aca="false">Assignments!K8</f>
        <v>201</v>
      </c>
      <c r="D25" s="25"/>
      <c r="E25" s="24" t="n">
        <f aca="false">Assignments!L8</f>
        <v>188</v>
      </c>
      <c r="F25" s="24" t="n">
        <f aca="false">Assignments!M8</f>
        <v>13</v>
      </c>
      <c r="G25" s="25"/>
      <c r="H25" s="27" t="n">
        <f aca="false">Assignments!N8</f>
        <v>0.935323383084577</v>
      </c>
      <c r="I25" s="31" t="str">
        <f aca="false">Assignments!I8</f>
        <v>Balanced</v>
      </c>
    </row>
    <row r="26" customFormat="false" ht="15" hidden="false" customHeight="false" outlineLevel="0" collapsed="false">
      <c r="B26" s="23" t="str">
        <f aca="false">Assignments!B9</f>
        <v>Frank Delgado</v>
      </c>
      <c r="C26" s="24" t="n">
        <f aca="false">Assignments!K9</f>
        <v>187</v>
      </c>
      <c r="D26" s="25"/>
      <c r="E26" s="24" t="n">
        <f aca="false">Assignments!L9</f>
        <v>161</v>
      </c>
      <c r="F26" s="24" t="n">
        <f aca="false">Assignments!M9</f>
        <v>26</v>
      </c>
      <c r="G26" s="25"/>
      <c r="H26" s="27" t="n">
        <f aca="false">Assignments!N9</f>
        <v>0.86096256684492</v>
      </c>
      <c r="I26" s="31" t="str">
        <f aca="false">Assignments!I9</f>
        <v>Balanced</v>
      </c>
    </row>
    <row r="27" customFormat="false" ht="15" hidden="false" customHeight="false" outlineLevel="0" collapsed="false">
      <c r="B27" s="23" t="str">
        <f aca="false">Assignments!B10</f>
        <v>Grace Kim</v>
      </c>
      <c r="C27" s="24" t="n">
        <f aca="false">Assignments!K10</f>
        <v>148</v>
      </c>
      <c r="D27" s="25"/>
      <c r="E27" s="24" t="n">
        <f aca="false">Assignments!L10</f>
        <v>142</v>
      </c>
      <c r="F27" s="24" t="n">
        <f aca="false">Assignments!M10</f>
        <v>6</v>
      </c>
      <c r="G27" s="25"/>
      <c r="H27" s="27" t="n">
        <f aca="false">Assignments!N10</f>
        <v>0.959459459459459</v>
      </c>
      <c r="I27" s="31" t="str">
        <f aca="false">Assignments!I10</f>
        <v>Under average</v>
      </c>
    </row>
  </sheetData>
  <mergeCells count="7">
    <mergeCell ref="H5:K5"/>
    <mergeCell ref="H6:K6"/>
    <mergeCell ref="H7:K7"/>
    <mergeCell ref="H8:K8"/>
    <mergeCell ref="H9:K9"/>
    <mergeCell ref="H10:K10"/>
    <mergeCell ref="H11:K11"/>
  </mergeCells>
  <conditionalFormatting sqref="F11">
    <cfRule type="cellIs" priority="2" operator="lessThan" aboveAverage="0" equalAverage="0" bottom="0" percent="0" rank="0" text="" dxfId="0">
      <formula>0</formula>
    </cfRule>
  </conditionalFormatting>
  <conditionalFormatting sqref="K15:K18">
    <cfRule type="cellIs" priority="3" operator="lessThan" aboveAverage="0" equalAverage="0" bottom="0" percent="0" rank="0" text="" dxfId="1">
      <formula>0</formula>
    </cfRule>
  </conditionalFormatting>
  <conditionalFormatting sqref="J15:J18">
    <cfRule type="dataBar" priority="4">
      <dataBar showValue="1" minLength="10" maxLength="90">
        <cfvo type="num" val="0"/>
        <cfvo type="num" val="1.3"/>
        <color rgb="FFC6A3CF"/>
      </dataBar>
      <extLst>
        <ext xmlns:x14="http://schemas.microsoft.com/office/spreadsheetml/2009/9/main" uri="{B025F937-C7B1-47D3-B67F-A62EFF666E3E}">
          <x14:id>{AA3EFAB0-9CC0-491B-BEAD-D3BE7866BB17}</x14:id>
        </ext>
      </extLst>
    </cfRule>
  </conditionalFormatting>
  <conditionalFormatting sqref="H22:H27">
    <cfRule type="dataBar" priority="5">
      <dataBar showValue="1" minLength="10" maxLength="90">
        <cfvo type="num" val="0"/>
        <cfvo type="num" val="1"/>
        <color rgb="FF9A6AAA"/>
      </dataBar>
      <extLst>
        <ext xmlns:x14="http://schemas.microsoft.com/office/spreadsheetml/2009/9/main" uri="{B025F937-C7B1-47D3-B67F-A62EFF666E3E}">
          <x14:id>{33408C4B-7D9D-4218-9B22-B2C229C0FB7B}</x14:id>
        </ext>
      </extLst>
    </cfRule>
  </conditionalFormatting>
  <conditionalFormatting sqref="I22:I27">
    <cfRule type="cellIs" priority="6" operator="notEqual" aboveAverage="0" equalAverage="0" bottom="0" percent="0" rank="0" text="" dxfId="2">
      <formula>"Balanced"</formula>
    </cfRule>
  </conditionalFormatting>
  <conditionalFormatting sqref="F22:F27">
    <cfRule type="cellIs" priority="7" operator="greaterThan" aboveAverage="0" equalAverage="0" bottom="0" percent="0" rank="0" text="" dxfId="3">
      <formula>10</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Sample data. All names, organizations, and figures are fictional.</oddFooter>
  </headerFooter>
  <drawing r:id="rId1"/>
  <extLst>
    <ext xmlns:x14="http://schemas.microsoft.com/office/spreadsheetml/2009/9/main" uri="{78C0D931-6437-407d-A8EE-F0AAD7539E65}">
      <x14:conditionalFormattings>
        <x14:conditionalFormatting xmlns:xm="http://schemas.microsoft.com/office/excel/2006/main">
          <x14:cfRule type="dataBar" id="{AA3EFAB0-9CC0-491B-BEAD-D3BE7866BB17}">
            <x14:dataBar minLength="10" maxLength="90" axisPosition="none" gradient="true">
              <x14:cfvo type="num">
                <xm:f>0</xm:f>
              </x14:cfvo>
              <x14:cfvo type="num">
                <xm:f>1.3</xm:f>
              </x14:cfvo>
              <x14:negativeFillColor rgb="FFC6A3CF"/>
              <x14:axisColor rgb="FF000000"/>
            </x14:dataBar>
          </x14:cfRule>
          <xm:sqref>J15:J18</xm:sqref>
        </x14:conditionalFormatting>
        <x14:conditionalFormatting xmlns:xm="http://schemas.microsoft.com/office/excel/2006/main">
          <x14:cfRule type="dataBar" id="{33408C4B-7D9D-4218-9B22-B2C229C0FB7B}">
            <x14:dataBar minLength="10" maxLength="90" axisPosition="none" gradient="true">
              <x14:cfvo type="num">
                <xm:f>0</xm:f>
              </x14:cfvo>
              <x14:cfvo type="num">
                <xm:f>1</xm:f>
              </x14:cfvo>
              <x14:negativeFillColor rgb="FF9A6AAA"/>
              <x14:axisColor rgb="FF000000"/>
            </x14:dataBar>
          </x14:cfRule>
          <xm:sqref>H22:H27</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5204F"/>
    <pageSetUpPr fitToPage="true"/>
  </sheetPr>
  <dimension ref="A1:I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8"/>
    <col collapsed="false" customWidth="true" hidden="false" outlineLevel="0" max="3" min="3" style="0" width="26"/>
    <col collapsed="false" customWidth="true" hidden="false" outlineLevel="0" max="4" min="4" style="0" width="3"/>
    <col collapsed="false" customWidth="true" hidden="false" outlineLevel="0" max="6" min="5" style="0" width="22"/>
    <col collapsed="false" customWidth="true" hidden="false" outlineLevel="0" max="7" min="7" style="0" width="14"/>
    <col collapsed="false" customWidth="true" hidden="false" outlineLevel="0" max="8" min="8" style="0" width="3"/>
    <col collapsed="false" customWidth="true" hidden="false" outlineLevel="0" max="9" min="9" style="0" width="22"/>
    <col collapsed="false" customWidth="true" hidden="false" outlineLevel="0" max="10" min="10" style="0" width="3"/>
  </cols>
  <sheetData>
    <row r="1" customFormat="false" ht="19.7" hidden="false" customHeight="false" outlineLevel="0" collapsed="false">
      <c r="A1" s="1" t="s">
        <v>67</v>
      </c>
    </row>
    <row r="2" customFormat="false" ht="15" hidden="false" customHeight="false" outlineLevel="0" collapsed="false">
      <c r="A2" s="2" t="s">
        <v>68</v>
      </c>
    </row>
    <row r="4" customFormat="false" ht="15" hidden="false" customHeight="false" outlineLevel="0" collapsed="false">
      <c r="B4" s="10" t="s">
        <v>69</v>
      </c>
      <c r="E4" s="10" t="s">
        <v>70</v>
      </c>
      <c r="I4" s="10" t="s">
        <v>71</v>
      </c>
    </row>
    <row r="5" customFormat="false" ht="30" hidden="false" customHeight="true" outlineLevel="0" collapsed="false">
      <c r="B5" s="24" t="s">
        <v>72</v>
      </c>
      <c r="C5" s="32" t="s">
        <v>73</v>
      </c>
      <c r="E5" s="33" t="s">
        <v>61</v>
      </c>
      <c r="F5" s="33" t="s">
        <v>74</v>
      </c>
      <c r="G5" s="33" t="s">
        <v>75</v>
      </c>
      <c r="I5" s="33" t="s">
        <v>76</v>
      </c>
    </row>
    <row r="6" customFormat="false" ht="15" hidden="false" customHeight="false" outlineLevel="0" collapsed="false">
      <c r="B6" s="24" t="s">
        <v>77</v>
      </c>
      <c r="C6" s="34" t="n">
        <v>45936</v>
      </c>
      <c r="E6" s="35" t="s">
        <v>78</v>
      </c>
      <c r="F6" s="35" t="s">
        <v>79</v>
      </c>
      <c r="G6" s="36" t="n">
        <v>45936</v>
      </c>
      <c r="I6" s="37" t="s">
        <v>80</v>
      </c>
    </row>
    <row r="7" customFormat="false" ht="15" hidden="false" customHeight="false" outlineLevel="0" collapsed="false">
      <c r="B7" s="24" t="s">
        <v>81</v>
      </c>
      <c r="C7" s="34" t="n">
        <v>45954</v>
      </c>
      <c r="E7" s="35" t="s">
        <v>82</v>
      </c>
      <c r="F7" s="35" t="s">
        <v>79</v>
      </c>
      <c r="G7" s="36" t="n">
        <v>45936</v>
      </c>
      <c r="I7" s="37" t="s">
        <v>83</v>
      </c>
    </row>
    <row r="8" customFormat="false" ht="15" hidden="false" customHeight="false" outlineLevel="0" collapsed="false">
      <c r="B8" s="24" t="s">
        <v>84</v>
      </c>
      <c r="C8" s="34" t="n">
        <v>45954</v>
      </c>
      <c r="E8" s="35" t="s">
        <v>85</v>
      </c>
      <c r="F8" s="35" t="s">
        <v>79</v>
      </c>
      <c r="G8" s="36" t="n">
        <v>45936</v>
      </c>
      <c r="I8" s="37" t="s">
        <v>86</v>
      </c>
    </row>
    <row r="9" customFormat="false" ht="15" hidden="false" customHeight="false" outlineLevel="0" collapsed="false">
      <c r="B9" s="24" t="s">
        <v>87</v>
      </c>
      <c r="C9" s="38" t="n">
        <v>18</v>
      </c>
      <c r="E9" s="35" t="s">
        <v>88</v>
      </c>
      <c r="F9" s="35" t="s">
        <v>89</v>
      </c>
      <c r="G9" s="36" t="n">
        <v>45936</v>
      </c>
    </row>
    <row r="10" customFormat="false" ht="15" hidden="false" customHeight="false" outlineLevel="0" collapsed="false">
      <c r="B10" s="24" t="s">
        <v>90</v>
      </c>
      <c r="C10" s="38" t="n">
        <v>85</v>
      </c>
      <c r="E10" s="35" t="s">
        <v>91</v>
      </c>
      <c r="F10" s="35" t="s">
        <v>89</v>
      </c>
      <c r="G10" s="36" t="n">
        <v>45936</v>
      </c>
      <c r="I10" s="33" t="s">
        <v>92</v>
      </c>
    </row>
    <row r="11" customFormat="false" ht="15" hidden="false" customHeight="false" outlineLevel="0" collapsed="false">
      <c r="B11" s="24" t="s">
        <v>93</v>
      </c>
      <c r="C11" s="39" t="n">
        <v>0.1</v>
      </c>
      <c r="E11" s="35" t="s">
        <v>94</v>
      </c>
      <c r="F11" s="35" t="s">
        <v>89</v>
      </c>
      <c r="G11" s="36" t="n">
        <v>45939</v>
      </c>
      <c r="I11" s="37" t="s">
        <v>54</v>
      </c>
    </row>
    <row r="12" customFormat="false" ht="15" hidden="false" customHeight="false" outlineLevel="0" collapsed="false">
      <c r="B12" s="24" t="s">
        <v>95</v>
      </c>
      <c r="C12" s="38" t="n">
        <v>2</v>
      </c>
      <c r="I12" s="37" t="s">
        <v>96</v>
      </c>
    </row>
    <row r="13" customFormat="false" ht="15" hidden="false" customHeight="false" outlineLevel="0" collapsed="false">
      <c r="B13" s="37" t="s">
        <v>97</v>
      </c>
      <c r="C13" s="40" t="n">
        <f aca="false">NETWORKDAYS(WindowStart,WindowEnd)</f>
        <v>15</v>
      </c>
    </row>
    <row r="14" customFormat="false" ht="15" hidden="false" customHeight="false" outlineLevel="0" collapsed="false">
      <c r="B14" s="37" t="s">
        <v>98</v>
      </c>
      <c r="C14" s="40" t="n">
        <f aca="false">MIN(WorkDays,NETWORKDAYS(WindowStart,StatusDate))</f>
        <v>15</v>
      </c>
      <c r="E14" s="10" t="s">
        <v>99</v>
      </c>
    </row>
    <row r="15" customFormat="false" ht="30" hidden="false" customHeight="true" outlineLevel="0" collapsed="false">
      <c r="B15" s="37" t="s">
        <v>100</v>
      </c>
      <c r="C15" s="37" t="n">
        <f aca="false">COUNTA(ReviewerList)</f>
        <v>6</v>
      </c>
      <c r="E15" s="33" t="s">
        <v>53</v>
      </c>
      <c r="F15" s="33" t="s">
        <v>57</v>
      </c>
      <c r="G15" s="33" t="s">
        <v>101</v>
      </c>
    </row>
    <row r="16" customFormat="false" ht="15" hidden="false" customHeight="false" outlineLevel="0" collapsed="false">
      <c r="B16" s="41" t="s">
        <v>102</v>
      </c>
      <c r="E16" s="35" t="s">
        <v>103</v>
      </c>
      <c r="F16" s="42" t="n">
        <v>1300000</v>
      </c>
      <c r="G16" s="42" t="n">
        <v>250000</v>
      </c>
    </row>
    <row r="17" customFormat="false" ht="15" hidden="false" customHeight="false" outlineLevel="0" collapsed="false">
      <c r="E17" s="35" t="s">
        <v>104</v>
      </c>
      <c r="F17" s="42" t="n">
        <v>950000</v>
      </c>
      <c r="G17" s="42" t="n">
        <v>250000</v>
      </c>
    </row>
    <row r="18" customFormat="false" ht="15" hidden="false" customHeight="false" outlineLevel="0" collapsed="false">
      <c r="E18" s="35" t="s">
        <v>105</v>
      </c>
      <c r="F18" s="42" t="n">
        <v>850000</v>
      </c>
      <c r="G18" s="42" t="n">
        <v>250000</v>
      </c>
    </row>
    <row r="19" customFormat="false" ht="15" hidden="false" customHeight="false" outlineLevel="0" collapsed="false">
      <c r="E19" s="35" t="s">
        <v>106</v>
      </c>
      <c r="F19" s="42" t="n">
        <v>1200000</v>
      </c>
      <c r="G19" s="42" t="n">
        <v>250000</v>
      </c>
    </row>
    <row r="20" customFormat="false" ht="15" hidden="false" customHeight="false" outlineLevel="0" collapsed="false">
      <c r="E20" s="43" t="s">
        <v>107</v>
      </c>
      <c r="F20" s="44" t="n">
        <f aca="false">SUM(F16:F19)</f>
        <v>4300000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Sample data. All names, organizations, and figures are fictional.</oddFooter>
  </headerFooter>
  <tableParts>
    <tablePart r:id="rId1"/>
    <tablePart r:id="rId2"/>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5204F"/>
    <pageSetUpPr fitToPage="true"/>
  </sheetPr>
  <dimension ref="A1:G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3" min="3" style="0" width="46"/>
    <col collapsed="false" customWidth="true" hidden="false" outlineLevel="0" max="4" min="4" style="0" width="9"/>
    <col collapsed="false" customWidth="true" hidden="false" outlineLevel="0" max="6" min="5" style="0" width="30"/>
    <col collapsed="false" customWidth="true" hidden="false" outlineLevel="0" max="7" min="7" style="0" width="34"/>
  </cols>
  <sheetData>
    <row r="1" customFormat="false" ht="19.7" hidden="false" customHeight="false" outlineLevel="0" collapsed="false">
      <c r="A1" s="1" t="s">
        <v>108</v>
      </c>
    </row>
    <row r="2" customFormat="false" ht="15" hidden="false" customHeight="false" outlineLevel="0" collapsed="false">
      <c r="A2" s="2" t="s">
        <v>109</v>
      </c>
    </row>
    <row r="4" customFormat="false" ht="30" hidden="false" customHeight="true" outlineLevel="0" collapsed="false">
      <c r="B4" s="33" t="s">
        <v>110</v>
      </c>
      <c r="C4" s="33" t="s">
        <v>111</v>
      </c>
      <c r="D4" s="33" t="s">
        <v>112</v>
      </c>
      <c r="E4" s="33" t="s">
        <v>113</v>
      </c>
      <c r="F4" s="33" t="s">
        <v>114</v>
      </c>
      <c r="G4" s="33" t="s">
        <v>115</v>
      </c>
    </row>
    <row r="5" customFormat="false" ht="43.5" hidden="false" customHeight="true" outlineLevel="0" collapsed="false">
      <c r="B5" s="45" t="s">
        <v>116</v>
      </c>
      <c r="C5" s="4" t="s">
        <v>117</v>
      </c>
      <c r="D5" s="46" t="n">
        <v>0.25</v>
      </c>
      <c r="E5" s="4" t="s">
        <v>118</v>
      </c>
      <c r="F5" s="4" t="s">
        <v>119</v>
      </c>
      <c r="G5" s="4" t="s">
        <v>120</v>
      </c>
    </row>
    <row r="6" customFormat="false" ht="43.5" hidden="false" customHeight="true" outlineLevel="0" collapsed="false">
      <c r="B6" s="45" t="s">
        <v>121</v>
      </c>
      <c r="C6" s="4" t="s">
        <v>122</v>
      </c>
      <c r="D6" s="46" t="n">
        <v>0.2</v>
      </c>
      <c r="E6" s="4" t="s">
        <v>123</v>
      </c>
      <c r="F6" s="4" t="s">
        <v>124</v>
      </c>
      <c r="G6" s="4" t="s">
        <v>125</v>
      </c>
    </row>
    <row r="7" customFormat="false" ht="43.5" hidden="false" customHeight="true" outlineLevel="0" collapsed="false">
      <c r="B7" s="45" t="s">
        <v>126</v>
      </c>
      <c r="C7" s="4" t="s">
        <v>127</v>
      </c>
      <c r="D7" s="46" t="n">
        <v>0.2</v>
      </c>
      <c r="E7" s="4" t="s">
        <v>128</v>
      </c>
      <c r="F7" s="4" t="s">
        <v>129</v>
      </c>
      <c r="G7" s="4" t="s">
        <v>130</v>
      </c>
    </row>
    <row r="8" customFormat="false" ht="43.5" hidden="false" customHeight="true" outlineLevel="0" collapsed="false">
      <c r="B8" s="45" t="s">
        <v>131</v>
      </c>
      <c r="C8" s="4" t="s">
        <v>132</v>
      </c>
      <c r="D8" s="46" t="n">
        <v>0.15</v>
      </c>
      <c r="E8" s="4" t="s">
        <v>133</v>
      </c>
      <c r="F8" s="4" t="s">
        <v>134</v>
      </c>
      <c r="G8" s="4" t="s">
        <v>135</v>
      </c>
    </row>
    <row r="9" customFormat="false" ht="43.5" hidden="false" customHeight="true" outlineLevel="0" collapsed="false">
      <c r="B9" s="45" t="s">
        <v>136</v>
      </c>
      <c r="C9" s="4" t="s">
        <v>137</v>
      </c>
      <c r="D9" s="46" t="n">
        <v>0.1</v>
      </c>
      <c r="E9" s="4" t="s">
        <v>138</v>
      </c>
      <c r="F9" s="4" t="s">
        <v>139</v>
      </c>
      <c r="G9" s="4" t="s">
        <v>140</v>
      </c>
    </row>
    <row r="10" customFormat="false" ht="43.5" hidden="false" customHeight="true" outlineLevel="0" collapsed="false">
      <c r="B10" s="45" t="s">
        <v>141</v>
      </c>
      <c r="C10" s="4" t="s">
        <v>142</v>
      </c>
      <c r="D10" s="46" t="n">
        <v>0.1</v>
      </c>
      <c r="E10" s="4" t="s">
        <v>143</v>
      </c>
      <c r="F10" s="4" t="s">
        <v>144</v>
      </c>
      <c r="G10" s="4" t="s">
        <v>145</v>
      </c>
    </row>
    <row r="11" customFormat="false" ht="15" hidden="false" customHeight="false" outlineLevel="0" collapsed="false">
      <c r="B11" s="43" t="s">
        <v>146</v>
      </c>
      <c r="D11" s="47" t="n">
        <f aca="false">SUM(D5:D10)</f>
        <v>1</v>
      </c>
      <c r="E11" s="37" t="str">
        <f aca="false">IF(ROUND(D11,4)=1,"Weights add up to 100 percent.","Check the weights: they must add up to 100 percent.")</f>
        <v>Weights add up to 100 percent.</v>
      </c>
    </row>
    <row r="13" customFormat="false" ht="15" hidden="false" customHeight="false" outlineLevel="0" collapsed="false">
      <c r="B13" s="41" t="s">
        <v>147</v>
      </c>
    </row>
    <row r="14" customFormat="false" ht="15" hidden="false" customHeight="false" outlineLevel="0" collapsed="false">
      <c r="B14" s="41" t="s">
        <v>148</v>
      </c>
    </row>
  </sheetData>
  <conditionalFormatting sqref="E11">
    <cfRule type="expression" priority="2" aboveAverage="0" equalAverage="0" bottom="0" percent="0" rank="0" text="" dxfId="10">
      <formula>ROUND($D$11,4)&lt;&gt;1</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Sample data. All names, organizations, and figures are fictional.</oddFooter>
  </headerFooter>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5204F"/>
    <pageSetUpPr fitToPage="true"/>
  </sheetPr>
  <dimension ref="A1:X6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32"/>
    <col collapsed="false" customWidth="true" hidden="false" outlineLevel="0" max="3" min="3" style="0" width="19"/>
    <col collapsed="false" customWidth="true" hidden="false" outlineLevel="0" max="4" min="4" style="0" width="14"/>
    <col collapsed="false" customWidth="true" hidden="false" outlineLevel="0" max="5" min="5" style="0" width="15"/>
    <col collapsed="false" customWidth="true" hidden="false" outlineLevel="0" max="6" min="6" style="0" width="13"/>
    <col collapsed="false" customWidth="true" hidden="false" outlineLevel="0" max="7" min="7" style="0" width="11"/>
    <col collapsed="false" customWidth="true" hidden="false" outlineLevel="0" max="8" min="8" style="0" width="13"/>
    <col collapsed="false" customWidth="true" hidden="false" outlineLevel="0" max="11" min="9" style="0" width="15"/>
    <col collapsed="false" customWidth="true" hidden="false" outlineLevel="0" max="13" min="12" style="0" width="11"/>
    <col collapsed="false" customWidth="true" hidden="false" outlineLevel="0" max="14" min="14" style="0" width="9"/>
    <col collapsed="false" customWidth="true" hidden="false" outlineLevel="0" max="15" min="15" style="0" width="10"/>
    <col collapsed="false" customWidth="true" hidden="false" outlineLevel="0" max="16" min="16" style="0" width="11"/>
    <col collapsed="false" customWidth="true" hidden="false" outlineLevel="0" max="17" min="17" style="0" width="10"/>
    <col collapsed="false" customWidth="true" hidden="false" outlineLevel="0" max="18" min="18" style="0" width="17"/>
    <col collapsed="false" customWidth="true" hidden="false" outlineLevel="0" max="19" min="19" style="0" width="10"/>
    <col collapsed="false" customWidth="true" hidden="false" outlineLevel="0" max="20" min="20" style="0" width="14"/>
    <col collapsed="false" customWidth="true" hidden="false" outlineLevel="0" max="21" min="21" style="0" width="15"/>
    <col collapsed="false" customWidth="true" hidden="false" outlineLevel="0" max="22" min="22" style="0" width="14"/>
    <col collapsed="false" customWidth="true" hidden="false" outlineLevel="0" max="23" min="23" style="0" width="12"/>
    <col collapsed="false" customWidth="true" hidden="false" outlineLevel="0" max="24" min="24" style="0" width="10"/>
  </cols>
  <sheetData>
    <row r="1" customFormat="false" ht="19.7" hidden="false" customHeight="false" outlineLevel="0" collapsed="false">
      <c r="A1" s="1" t="s">
        <v>149</v>
      </c>
    </row>
    <row r="2" customFormat="false" ht="15" hidden="false" customHeight="false" outlineLevel="0" collapsed="false">
      <c r="A2" s="2" t="s">
        <v>150</v>
      </c>
    </row>
    <row r="4" customFormat="false" ht="30" hidden="false" customHeight="true" outlineLevel="0" collapsed="false">
      <c r="A4" s="33" t="s">
        <v>151</v>
      </c>
      <c r="B4" s="33" t="s">
        <v>152</v>
      </c>
      <c r="C4" s="33" t="s">
        <v>53</v>
      </c>
      <c r="D4" s="33" t="s">
        <v>153</v>
      </c>
      <c r="E4" s="33" t="s">
        <v>154</v>
      </c>
      <c r="F4" s="33" t="s">
        <v>155</v>
      </c>
      <c r="G4" s="33" t="s">
        <v>156</v>
      </c>
      <c r="H4" s="33" t="s">
        <v>92</v>
      </c>
      <c r="I4" s="33" t="s">
        <v>157</v>
      </c>
      <c r="J4" s="33" t="s">
        <v>158</v>
      </c>
      <c r="K4" s="33" t="s">
        <v>159</v>
      </c>
      <c r="L4" s="33" t="s">
        <v>160</v>
      </c>
      <c r="M4" s="33" t="s">
        <v>161</v>
      </c>
      <c r="N4" s="33" t="s">
        <v>162</v>
      </c>
      <c r="O4" s="33" t="s">
        <v>163</v>
      </c>
      <c r="P4" s="33" t="s">
        <v>164</v>
      </c>
      <c r="Q4" s="33" t="s">
        <v>165</v>
      </c>
      <c r="R4" s="33" t="s">
        <v>166</v>
      </c>
      <c r="S4" s="33" t="s">
        <v>167</v>
      </c>
      <c r="T4" s="33" t="s">
        <v>56</v>
      </c>
      <c r="U4" s="33" t="s">
        <v>168</v>
      </c>
      <c r="V4" s="33" t="s">
        <v>169</v>
      </c>
      <c r="W4" s="33" t="s">
        <v>170</v>
      </c>
      <c r="X4" s="33" t="s">
        <v>171</v>
      </c>
    </row>
    <row r="5" customFormat="false" ht="15" hidden="false" customHeight="false" outlineLevel="0" collapsed="false">
      <c r="A5" s="35" t="s">
        <v>172</v>
      </c>
      <c r="B5" s="35" t="s">
        <v>173</v>
      </c>
      <c r="C5" s="35" t="s">
        <v>104</v>
      </c>
      <c r="D5" s="35" t="s">
        <v>174</v>
      </c>
      <c r="E5" s="35" t="s">
        <v>175</v>
      </c>
      <c r="F5" s="42" t="n">
        <v>98500</v>
      </c>
      <c r="G5" s="36" t="n">
        <v>45916</v>
      </c>
      <c r="H5" s="35" t="s">
        <v>54</v>
      </c>
      <c r="I5" s="35" t="s">
        <v>88</v>
      </c>
      <c r="J5" s="35" t="s">
        <v>78</v>
      </c>
      <c r="K5" s="35"/>
      <c r="L5" s="48" t="n">
        <f aca="false">IFERROR(AVERAGEIFS('Score Entry'!$M$5:$M$1276,'Score Entry'!$B$5:$B$1276,A5,'Score Entry'!$E$5:$E$1276,"Primary"),"")</f>
        <v>60</v>
      </c>
      <c r="M5" s="48" t="n">
        <f aca="false">IFERROR(AVERAGEIFS('Score Entry'!$M$5:$M$1276,'Score Entry'!$B$5:$B$1276,A5,'Score Entry'!$E$5:$E$1276,"Secondary"),"")</f>
        <v>66</v>
      </c>
      <c r="N5" s="48" t="n">
        <f aca="false">IF(COUNT(L5:M5)=2,ABS(L5-M5),"")</f>
        <v>6</v>
      </c>
      <c r="O5" s="37" t="str">
        <f aca="false">IF(N5="","",IF(N5&gt;=Threshold,"Yes","No"))</f>
        <v>No</v>
      </c>
      <c r="P5" s="48" t="str">
        <f aca="false">IFERROR(AVERAGEIFS('Score Entry'!$M$5:$M$1276,'Score Entry'!$B$5:$B$1276,A5,'Score Entry'!$E$5:$E$1276,"Third"),"")</f>
        <v/>
      </c>
      <c r="Q5" s="48" t="n">
        <f aca="false">IF(H5&lt;&gt;"Eligible","",IF(O5="Yes",IF(ISNUMBER(P5),ROUND(AVERAGE(L5,M5,P5),1),""),IF(O5="No",ROUND(AVERAGE(L5:M5),1),"")))</f>
        <v>63</v>
      </c>
      <c r="R5" s="37" t="str">
        <f aca="false">IF(H5&lt;&gt;"Eligible","Screened out",IF(COUNT(L5:M5)=0,"Not started",IF(COUNT(L5:M5)=1,"One read done",IF(O5="Yes",IF(ISNUMBER(P5),"Complete","Needs third read"),"Complete"))))</f>
        <v>Complete</v>
      </c>
      <c r="S5" s="37" t="n">
        <f aca="false">IF(Q5="","",COUNTIFS($C$5:$C$600,C5,$Q$5:$Q$600,"&gt;"&amp;Q5)+1)</f>
        <v>65</v>
      </c>
      <c r="T5" s="37" t="str">
        <f aca="false">IF(Q5="","",IF(Q5&gt;=Cutoff,"Yes","No"))</f>
        <v>No</v>
      </c>
      <c r="U5" s="49" t="n">
        <f aca="false">IF(T5="Yes",MIN(F5,INDEX(Settings!$G:$G,MATCH(C5,Settings!$E:$E,0))),0)</f>
        <v>0</v>
      </c>
      <c r="V5" s="49" t="str">
        <f aca="false">IF(T5="Yes",SUMIFS($U$5:$U$600,$C$5:$C$600,C5,$Q$5:$Q$600,"&gt;"&amp;Q5)+U5,"")</f>
        <v/>
      </c>
      <c r="W5" s="37" t="str">
        <f aca="false">IF(T5="Yes",IF(V5&lt;=INDEX(PoolList,MATCH(C5,ProgramList,0)),"Within pool","Over pool"),"")</f>
        <v/>
      </c>
      <c r="X5" s="37" t="str">
        <f aca="false">IF(O5="Yes",COUNTIF($O$5:O5,"Yes"),"")</f>
        <v/>
      </c>
    </row>
    <row r="6" customFormat="false" ht="15" hidden="false" customHeight="false" outlineLevel="0" collapsed="false">
      <c r="A6" s="35" t="s">
        <v>176</v>
      </c>
      <c r="B6" s="35" t="s">
        <v>177</v>
      </c>
      <c r="C6" s="35" t="s">
        <v>105</v>
      </c>
      <c r="D6" s="35" t="s">
        <v>174</v>
      </c>
      <c r="E6" s="35" t="s">
        <v>175</v>
      </c>
      <c r="F6" s="42" t="n">
        <v>114000</v>
      </c>
      <c r="G6" s="36" t="n">
        <v>45920</v>
      </c>
      <c r="H6" s="35" t="s">
        <v>54</v>
      </c>
      <c r="I6" s="35" t="s">
        <v>85</v>
      </c>
      <c r="J6" s="35" t="s">
        <v>82</v>
      </c>
      <c r="K6" s="35"/>
      <c r="L6" s="48" t="n">
        <f aca="false">IFERROR(AVERAGEIFS('Score Entry'!$M$5:$M$1276,'Score Entry'!$B$5:$B$1276,A6,'Score Entry'!$E$5:$E$1276,"Primary"),"")</f>
        <v>39</v>
      </c>
      <c r="M6" s="48" t="n">
        <f aca="false">IFERROR(AVERAGEIFS('Score Entry'!$M$5:$M$1276,'Score Entry'!$B$5:$B$1276,A6,'Score Entry'!$E$5:$E$1276,"Secondary"),"")</f>
        <v>42</v>
      </c>
      <c r="N6" s="48" t="n">
        <f aca="false">IF(COUNT(L6:M6)=2,ABS(L6-M6),"")</f>
        <v>3</v>
      </c>
      <c r="O6" s="37" t="str">
        <f aca="false">IF(N6="","",IF(N6&gt;=Threshold,"Yes","No"))</f>
        <v>No</v>
      </c>
      <c r="P6" s="48" t="str">
        <f aca="false">IFERROR(AVERAGEIFS('Score Entry'!$M$5:$M$1276,'Score Entry'!$B$5:$B$1276,A6,'Score Entry'!$E$5:$E$1276,"Third"),"")</f>
        <v/>
      </c>
      <c r="Q6" s="48" t="n">
        <f aca="false">IF(H6&lt;&gt;"Eligible","",IF(O6="Yes",IF(ISNUMBER(P6),ROUND(AVERAGE(L6,M6,P6),1),""),IF(O6="No",ROUND(AVERAGE(L6:M6),1),"")))</f>
        <v>40.5</v>
      </c>
      <c r="R6" s="37" t="str">
        <f aca="false">IF(H6&lt;&gt;"Eligible","Screened out",IF(COUNT(L6:M6)=0,"Not started",IF(COUNT(L6:M6)=1,"One read done",IF(O6="Yes",IF(ISNUMBER(P6),"Complete","Needs third read"),"Complete"))))</f>
        <v>Complete</v>
      </c>
      <c r="S6" s="37" t="n">
        <f aca="false">IF(Q6="","",COUNTIFS($C$5:$C$600,C6,$Q$5:$Q$600,"&gt;"&amp;Q6)+1)</f>
        <v>100</v>
      </c>
      <c r="T6" s="37" t="str">
        <f aca="false">IF(Q6="","",IF(Q6&gt;=Cutoff,"Yes","No"))</f>
        <v>No</v>
      </c>
      <c r="U6" s="49" t="n">
        <f aca="false">IF(T6="Yes",MIN(F6,INDEX(Settings!$G:$G,MATCH(C6,Settings!$E:$E,0))),0)</f>
        <v>0</v>
      </c>
      <c r="V6" s="49" t="str">
        <f aca="false">IF(T6="Yes",SUMIFS($U$5:$U$600,$C$5:$C$600,C6,$Q$5:$Q$600,"&gt;"&amp;Q6)+U6,"")</f>
        <v/>
      </c>
      <c r="W6" s="37" t="str">
        <f aca="false">IF(T6="Yes",IF(V6&lt;=INDEX(PoolList,MATCH(C6,ProgramList,0)),"Within pool","Over pool"),"")</f>
        <v/>
      </c>
      <c r="X6" s="37" t="str">
        <f aca="false">IF(O6="Yes",COUNTIF($O$5:O6,"Yes"),"")</f>
        <v/>
      </c>
    </row>
    <row r="7" customFormat="false" ht="15" hidden="false" customHeight="false" outlineLevel="0" collapsed="false">
      <c r="A7" s="35" t="s">
        <v>178</v>
      </c>
      <c r="B7" s="35" t="s">
        <v>179</v>
      </c>
      <c r="C7" s="35" t="s">
        <v>106</v>
      </c>
      <c r="D7" s="35" t="s">
        <v>180</v>
      </c>
      <c r="E7" s="35" t="s">
        <v>181</v>
      </c>
      <c r="F7" s="42" t="n">
        <v>84000</v>
      </c>
      <c r="G7" s="36" t="n">
        <v>45927</v>
      </c>
      <c r="H7" s="35" t="s">
        <v>54</v>
      </c>
      <c r="I7" s="35" t="s">
        <v>94</v>
      </c>
      <c r="J7" s="35" t="s">
        <v>85</v>
      </c>
      <c r="K7" s="35"/>
      <c r="L7" s="48" t="n">
        <f aca="false">IFERROR(AVERAGEIFS('Score Entry'!$M$5:$M$1276,'Score Entry'!$B$5:$B$1276,A7,'Score Entry'!$E$5:$E$1276,"Primary"),"")</f>
        <v>68</v>
      </c>
      <c r="M7" s="48" t="n">
        <f aca="false">IFERROR(AVERAGEIFS('Score Entry'!$M$5:$M$1276,'Score Entry'!$B$5:$B$1276,A7,'Score Entry'!$E$5:$E$1276,"Secondary"),"")</f>
        <v>70</v>
      </c>
      <c r="N7" s="48" t="n">
        <f aca="false">IF(COUNT(L7:M7)=2,ABS(L7-M7),"")</f>
        <v>2</v>
      </c>
      <c r="O7" s="37" t="str">
        <f aca="false">IF(N7="","",IF(N7&gt;=Threshold,"Yes","No"))</f>
        <v>No</v>
      </c>
      <c r="P7" s="48" t="str">
        <f aca="false">IFERROR(AVERAGEIFS('Score Entry'!$M$5:$M$1276,'Score Entry'!$B$5:$B$1276,A7,'Score Entry'!$E$5:$E$1276,"Third"),"")</f>
        <v/>
      </c>
      <c r="Q7" s="48" t="n">
        <f aca="false">IF(H7&lt;&gt;"Eligible","",IF(O7="Yes",IF(ISNUMBER(P7),ROUND(AVERAGE(L7,M7,P7),1),""),IF(O7="No",ROUND(AVERAGE(L7:M7),1),"")))</f>
        <v>69</v>
      </c>
      <c r="R7" s="37" t="str">
        <f aca="false">IF(H7&lt;&gt;"Eligible","Screened out",IF(COUNT(L7:M7)=0,"Not started",IF(COUNT(L7:M7)=1,"One read done",IF(O7="Yes",IF(ISNUMBER(P7),"Complete","Needs third read"),"Complete"))))</f>
        <v>Complete</v>
      </c>
      <c r="S7" s="37" t="n">
        <f aca="false">IF(Q7="","",COUNTIFS($C$5:$C$600,C7,$Q$5:$Q$600,"&gt;"&amp;Q7)+1)</f>
        <v>56</v>
      </c>
      <c r="T7" s="37" t="str">
        <f aca="false">IF(Q7="","",IF(Q7&gt;=Cutoff,"Yes","No"))</f>
        <v>No</v>
      </c>
      <c r="U7" s="49" t="n">
        <f aca="false">IF(T7="Yes",MIN(F7,INDEX(Settings!$G:$G,MATCH(C7,Settings!$E:$E,0))),0)</f>
        <v>0</v>
      </c>
      <c r="V7" s="49" t="str">
        <f aca="false">IF(T7="Yes",SUMIFS($U$5:$U$600,$C$5:$C$600,C7,$Q$5:$Q$600,"&gt;"&amp;Q7)+U7,"")</f>
        <v/>
      </c>
      <c r="W7" s="37" t="str">
        <f aca="false">IF(T7="Yes",IF(V7&lt;=INDEX(PoolList,MATCH(C7,ProgramList,0)),"Within pool","Over pool"),"")</f>
        <v/>
      </c>
      <c r="X7" s="37" t="str">
        <f aca="false">IF(O7="Yes",COUNTIF($O$5:O7,"Yes"),"")</f>
        <v/>
      </c>
    </row>
    <row r="8" customFormat="false" ht="15" hidden="false" customHeight="false" outlineLevel="0" collapsed="false">
      <c r="A8" s="35" t="s">
        <v>182</v>
      </c>
      <c r="B8" s="35" t="s">
        <v>183</v>
      </c>
      <c r="C8" s="35" t="s">
        <v>105</v>
      </c>
      <c r="D8" s="35" t="s">
        <v>174</v>
      </c>
      <c r="E8" s="35" t="s">
        <v>175</v>
      </c>
      <c r="F8" s="42" t="n">
        <v>90500</v>
      </c>
      <c r="G8" s="36" t="n">
        <v>45919</v>
      </c>
      <c r="H8" s="35" t="s">
        <v>54</v>
      </c>
      <c r="I8" s="35" t="s">
        <v>91</v>
      </c>
      <c r="J8" s="35" t="s">
        <v>78</v>
      </c>
      <c r="K8" s="35"/>
      <c r="L8" s="48" t="n">
        <f aca="false">IFERROR(AVERAGEIFS('Score Entry'!$M$5:$M$1276,'Score Entry'!$B$5:$B$1276,A8,'Score Entry'!$E$5:$E$1276,"Primary"),"")</f>
        <v>78</v>
      </c>
      <c r="M8" s="48" t="n">
        <f aca="false">IFERROR(AVERAGEIFS('Score Entry'!$M$5:$M$1276,'Score Entry'!$B$5:$B$1276,A8,'Score Entry'!$E$5:$E$1276,"Secondary"),"")</f>
        <v>80</v>
      </c>
      <c r="N8" s="48" t="n">
        <f aca="false">IF(COUNT(L8:M8)=2,ABS(L8-M8),"")</f>
        <v>2</v>
      </c>
      <c r="O8" s="37" t="str">
        <f aca="false">IF(N8="","",IF(N8&gt;=Threshold,"Yes","No"))</f>
        <v>No</v>
      </c>
      <c r="P8" s="48" t="str">
        <f aca="false">IFERROR(AVERAGEIFS('Score Entry'!$M$5:$M$1276,'Score Entry'!$B$5:$B$1276,A8,'Score Entry'!$E$5:$E$1276,"Third"),"")</f>
        <v/>
      </c>
      <c r="Q8" s="48" t="n">
        <f aca="false">IF(H8&lt;&gt;"Eligible","",IF(O8="Yes",IF(ISNUMBER(P8),ROUND(AVERAGE(L8,M8,P8),1),""),IF(O8="No",ROUND(AVERAGE(L8:M8),1),"")))</f>
        <v>79</v>
      </c>
      <c r="R8" s="37" t="str">
        <f aca="false">IF(H8&lt;&gt;"Eligible","Screened out",IF(COUNT(L8:M8)=0,"Not started",IF(COUNT(L8:M8)=1,"One read done",IF(O8="Yes",IF(ISNUMBER(P8),"Complete","Needs third read"),"Complete"))))</f>
        <v>Complete</v>
      </c>
      <c r="S8" s="37" t="n">
        <f aca="false">IF(Q8="","",COUNTIFS($C$5:$C$600,C8,$Q$5:$Q$600,"&gt;"&amp;Q8)+1)</f>
        <v>19</v>
      </c>
      <c r="T8" s="37" t="str">
        <f aca="false">IF(Q8="","",IF(Q8&gt;=Cutoff,"Yes","No"))</f>
        <v>No</v>
      </c>
      <c r="U8" s="49" t="n">
        <f aca="false">IF(T8="Yes",MIN(F8,INDEX(Settings!$G:$G,MATCH(C8,Settings!$E:$E,0))),0)</f>
        <v>0</v>
      </c>
      <c r="V8" s="49" t="str">
        <f aca="false">IF(T8="Yes",SUMIFS($U$5:$U$600,$C$5:$C$600,C8,$Q$5:$Q$600,"&gt;"&amp;Q8)+U8,"")</f>
        <v/>
      </c>
      <c r="W8" s="37" t="str">
        <f aca="false">IF(T8="Yes",IF(V8&lt;=INDEX(PoolList,MATCH(C8,ProgramList,0)),"Within pool","Over pool"),"")</f>
        <v/>
      </c>
      <c r="X8" s="37" t="str">
        <f aca="false">IF(O8="Yes",COUNTIF($O$5:O8,"Yes"),"")</f>
        <v/>
      </c>
    </row>
    <row r="9" customFormat="false" ht="15" hidden="false" customHeight="false" outlineLevel="0" collapsed="false">
      <c r="A9" s="35" t="s">
        <v>184</v>
      </c>
      <c r="B9" s="35" t="s">
        <v>185</v>
      </c>
      <c r="C9" s="35" t="s">
        <v>106</v>
      </c>
      <c r="D9" s="35" t="s">
        <v>174</v>
      </c>
      <c r="E9" s="35" t="s">
        <v>175</v>
      </c>
      <c r="F9" s="42" t="n">
        <v>222000</v>
      </c>
      <c r="G9" s="36" t="n">
        <v>45922</v>
      </c>
      <c r="H9" s="35" t="s">
        <v>54</v>
      </c>
      <c r="I9" s="35" t="s">
        <v>91</v>
      </c>
      <c r="J9" s="35" t="s">
        <v>88</v>
      </c>
      <c r="K9" s="35"/>
      <c r="L9" s="48" t="n">
        <f aca="false">IFERROR(AVERAGEIFS('Score Entry'!$M$5:$M$1276,'Score Entry'!$B$5:$B$1276,A9,'Score Entry'!$E$5:$E$1276,"Primary"),"")</f>
        <v>40</v>
      </c>
      <c r="M9" s="48" t="n">
        <f aca="false">IFERROR(AVERAGEIFS('Score Entry'!$M$5:$M$1276,'Score Entry'!$B$5:$B$1276,A9,'Score Entry'!$E$5:$E$1276,"Secondary"),"")</f>
        <v>46</v>
      </c>
      <c r="N9" s="48" t="n">
        <f aca="false">IF(COUNT(L9:M9)=2,ABS(L9-M9),"")</f>
        <v>6</v>
      </c>
      <c r="O9" s="37" t="str">
        <f aca="false">IF(N9="","",IF(N9&gt;=Threshold,"Yes","No"))</f>
        <v>No</v>
      </c>
      <c r="P9" s="48" t="str">
        <f aca="false">IFERROR(AVERAGEIFS('Score Entry'!$M$5:$M$1276,'Score Entry'!$B$5:$B$1276,A9,'Score Entry'!$E$5:$E$1276,"Third"),"")</f>
        <v/>
      </c>
      <c r="Q9" s="48" t="n">
        <f aca="false">IF(H9&lt;&gt;"Eligible","",IF(O9="Yes",IF(ISNUMBER(P9),ROUND(AVERAGE(L9,M9,P9),1),""),IF(O9="No",ROUND(AVERAGE(L9:M9),1),"")))</f>
        <v>43</v>
      </c>
      <c r="R9" s="37" t="str">
        <f aca="false">IF(H9&lt;&gt;"Eligible","Screened out",IF(COUNT(L9:M9)=0,"Not started",IF(COUNT(L9:M9)=1,"One read done",IF(O9="Yes",IF(ISNUMBER(P9),"Complete","Needs third read"),"Complete"))))</f>
        <v>Complete</v>
      </c>
      <c r="S9" s="37" t="n">
        <f aca="false">IF(Q9="","",COUNTIFS($C$5:$C$600,C9,$Q$5:$Q$600,"&gt;"&amp;Q9)+1)</f>
        <v>115</v>
      </c>
      <c r="T9" s="37" t="str">
        <f aca="false">IF(Q9="","",IF(Q9&gt;=Cutoff,"Yes","No"))</f>
        <v>No</v>
      </c>
      <c r="U9" s="49" t="n">
        <f aca="false">IF(T9="Yes",MIN(F9,INDEX(Settings!$G:$G,MATCH(C9,Settings!$E:$E,0))),0)</f>
        <v>0</v>
      </c>
      <c r="V9" s="49" t="str">
        <f aca="false">IF(T9="Yes",SUMIFS($U$5:$U$600,$C$5:$C$600,C9,$Q$5:$Q$600,"&gt;"&amp;Q9)+U9,"")</f>
        <v/>
      </c>
      <c r="W9" s="37" t="str">
        <f aca="false">IF(T9="Yes",IF(V9&lt;=INDEX(PoolList,MATCH(C9,ProgramList,0)),"Within pool","Over pool"),"")</f>
        <v/>
      </c>
      <c r="X9" s="37" t="str">
        <f aca="false">IF(O9="Yes",COUNTIF($O$5:O9,"Yes"),"")</f>
        <v/>
      </c>
    </row>
    <row r="10" customFormat="false" ht="15" hidden="false" customHeight="false" outlineLevel="0" collapsed="false">
      <c r="A10" s="35" t="s">
        <v>186</v>
      </c>
      <c r="B10" s="35" t="s">
        <v>187</v>
      </c>
      <c r="C10" s="35" t="s">
        <v>105</v>
      </c>
      <c r="D10" s="35" t="s">
        <v>174</v>
      </c>
      <c r="E10" s="35" t="s">
        <v>175</v>
      </c>
      <c r="F10" s="42" t="n">
        <v>80500</v>
      </c>
      <c r="G10" s="36" t="n">
        <v>45918</v>
      </c>
      <c r="H10" s="35" t="s">
        <v>54</v>
      </c>
      <c r="I10" s="35" t="s">
        <v>82</v>
      </c>
      <c r="J10" s="35" t="s">
        <v>94</v>
      </c>
      <c r="K10" s="35"/>
      <c r="L10" s="48" t="n">
        <f aca="false">IFERROR(AVERAGEIFS('Score Entry'!$M$5:$M$1276,'Score Entry'!$B$5:$B$1276,A10,'Score Entry'!$E$5:$E$1276,"Primary"),"")</f>
        <v>72</v>
      </c>
      <c r="M10" s="48" t="n">
        <f aca="false">IFERROR(AVERAGEIFS('Score Entry'!$M$5:$M$1276,'Score Entry'!$B$5:$B$1276,A10,'Score Entry'!$E$5:$E$1276,"Secondary"),"")</f>
        <v>69</v>
      </c>
      <c r="N10" s="48" t="n">
        <f aca="false">IF(COUNT(L10:M10)=2,ABS(L10-M10),"")</f>
        <v>3</v>
      </c>
      <c r="O10" s="37" t="str">
        <f aca="false">IF(N10="","",IF(N10&gt;=Threshold,"Yes","No"))</f>
        <v>No</v>
      </c>
      <c r="P10" s="48" t="str">
        <f aca="false">IFERROR(AVERAGEIFS('Score Entry'!$M$5:$M$1276,'Score Entry'!$B$5:$B$1276,A10,'Score Entry'!$E$5:$E$1276,"Third"),"")</f>
        <v/>
      </c>
      <c r="Q10" s="48" t="n">
        <f aca="false">IF(H10&lt;&gt;"Eligible","",IF(O10="Yes",IF(ISNUMBER(P10),ROUND(AVERAGE(L10,M10,P10),1),""),IF(O10="No",ROUND(AVERAGE(L10:M10),1),"")))</f>
        <v>70.5</v>
      </c>
      <c r="R10" s="37" t="str">
        <f aca="false">IF(H10&lt;&gt;"Eligible","Screened out",IF(COUNT(L10:M10)=0,"Not started",IF(COUNT(L10:M10)=1,"One read done",IF(O10="Yes",IF(ISNUMBER(P10),"Complete","Needs third read"),"Complete"))))</f>
        <v>Complete</v>
      </c>
      <c r="S10" s="37" t="n">
        <f aca="false">IF(Q10="","",COUNTIFS($C$5:$C$600,C10,$Q$5:$Q$600,"&gt;"&amp;Q10)+1)</f>
        <v>38</v>
      </c>
      <c r="T10" s="37" t="str">
        <f aca="false">IF(Q10="","",IF(Q10&gt;=Cutoff,"Yes","No"))</f>
        <v>No</v>
      </c>
      <c r="U10" s="49" t="n">
        <f aca="false">IF(T10="Yes",MIN(F10,INDEX(Settings!$G:$G,MATCH(C10,Settings!$E:$E,0))),0)</f>
        <v>0</v>
      </c>
      <c r="V10" s="49" t="str">
        <f aca="false">IF(T10="Yes",SUMIFS($U$5:$U$600,$C$5:$C$600,C10,$Q$5:$Q$600,"&gt;"&amp;Q10)+U10,"")</f>
        <v/>
      </c>
      <c r="W10" s="37" t="str">
        <f aca="false">IF(T10="Yes",IF(V10&lt;=INDEX(PoolList,MATCH(C10,ProgramList,0)),"Within pool","Over pool"),"")</f>
        <v/>
      </c>
      <c r="X10" s="37" t="str">
        <f aca="false">IF(O10="Yes",COUNTIF($O$5:O10,"Yes"),"")</f>
        <v/>
      </c>
    </row>
    <row r="11" customFormat="false" ht="15" hidden="false" customHeight="false" outlineLevel="0" collapsed="false">
      <c r="A11" s="35" t="s">
        <v>188</v>
      </c>
      <c r="B11" s="35" t="s">
        <v>189</v>
      </c>
      <c r="C11" s="35" t="s">
        <v>106</v>
      </c>
      <c r="D11" s="35" t="s">
        <v>190</v>
      </c>
      <c r="E11" s="35" t="s">
        <v>191</v>
      </c>
      <c r="F11" s="42" t="n">
        <v>29000</v>
      </c>
      <c r="G11" s="36" t="n">
        <v>45915</v>
      </c>
      <c r="H11" s="35" t="s">
        <v>54</v>
      </c>
      <c r="I11" s="35" t="s">
        <v>85</v>
      </c>
      <c r="J11" s="35" t="s">
        <v>88</v>
      </c>
      <c r="K11" s="35"/>
      <c r="L11" s="48" t="n">
        <f aca="false">IFERROR(AVERAGEIFS('Score Entry'!$M$5:$M$1276,'Score Entry'!$B$5:$B$1276,A11,'Score Entry'!$E$5:$E$1276,"Primary"),"")</f>
        <v>81</v>
      </c>
      <c r="M11" s="48" t="n">
        <f aca="false">IFERROR(AVERAGEIFS('Score Entry'!$M$5:$M$1276,'Score Entry'!$B$5:$B$1276,A11,'Score Entry'!$E$5:$E$1276,"Secondary"),"")</f>
        <v>80</v>
      </c>
      <c r="N11" s="48" t="n">
        <f aca="false">IF(COUNT(L11:M11)=2,ABS(L11-M11),"")</f>
        <v>1</v>
      </c>
      <c r="O11" s="37" t="str">
        <f aca="false">IF(N11="","",IF(N11&gt;=Threshold,"Yes","No"))</f>
        <v>No</v>
      </c>
      <c r="P11" s="48" t="str">
        <f aca="false">IFERROR(AVERAGEIFS('Score Entry'!$M$5:$M$1276,'Score Entry'!$B$5:$B$1276,A11,'Score Entry'!$E$5:$E$1276,"Third"),"")</f>
        <v/>
      </c>
      <c r="Q11" s="48" t="n">
        <f aca="false">IF(H11&lt;&gt;"Eligible","",IF(O11="Yes",IF(ISNUMBER(P11),ROUND(AVERAGE(L11,M11,P11),1),""),IF(O11="No",ROUND(AVERAGE(L11:M11),1),"")))</f>
        <v>80.5</v>
      </c>
      <c r="R11" s="37" t="str">
        <f aca="false">IF(H11&lt;&gt;"Eligible","Screened out",IF(COUNT(L11:M11)=0,"Not started",IF(COUNT(L11:M11)=1,"One read done",IF(O11="Yes",IF(ISNUMBER(P11),"Complete","Needs third read"),"Complete"))))</f>
        <v>Complete</v>
      </c>
      <c r="S11" s="37" t="n">
        <f aca="false">IF(Q11="","",COUNTIFS($C$5:$C$600,C11,$Q$5:$Q$600,"&gt;"&amp;Q11)+1)</f>
        <v>19</v>
      </c>
      <c r="T11" s="37" t="str">
        <f aca="false">IF(Q11="","",IF(Q11&gt;=Cutoff,"Yes","No"))</f>
        <v>No</v>
      </c>
      <c r="U11" s="49" t="n">
        <f aca="false">IF(T11="Yes",MIN(F11,INDEX(Settings!$G:$G,MATCH(C11,Settings!$E:$E,0))),0)</f>
        <v>0</v>
      </c>
      <c r="V11" s="49" t="str">
        <f aca="false">IF(T11="Yes",SUMIFS($U$5:$U$600,$C$5:$C$600,C11,$Q$5:$Q$600,"&gt;"&amp;Q11)+U11,"")</f>
        <v/>
      </c>
      <c r="W11" s="37" t="str">
        <f aca="false">IF(T11="Yes",IF(V11&lt;=INDEX(PoolList,MATCH(C11,ProgramList,0)),"Within pool","Over pool"),"")</f>
        <v/>
      </c>
      <c r="X11" s="37" t="str">
        <f aca="false">IF(O11="Yes",COUNTIF($O$5:O11,"Yes"),"")</f>
        <v/>
      </c>
    </row>
    <row r="12" customFormat="false" ht="15" hidden="false" customHeight="false" outlineLevel="0" collapsed="false">
      <c r="A12" s="35" t="s">
        <v>192</v>
      </c>
      <c r="B12" s="35" t="s">
        <v>193</v>
      </c>
      <c r="C12" s="35" t="s">
        <v>105</v>
      </c>
      <c r="D12" s="35" t="s">
        <v>174</v>
      </c>
      <c r="E12" s="35" t="s">
        <v>175</v>
      </c>
      <c r="F12" s="42" t="n">
        <v>89000</v>
      </c>
      <c r="G12" s="36" t="n">
        <v>45915</v>
      </c>
      <c r="H12" s="35" t="s">
        <v>54</v>
      </c>
      <c r="I12" s="35" t="s">
        <v>82</v>
      </c>
      <c r="J12" s="35" t="s">
        <v>91</v>
      </c>
      <c r="K12" s="35"/>
      <c r="L12" s="48" t="n">
        <f aca="false">IFERROR(AVERAGEIFS('Score Entry'!$M$5:$M$1276,'Score Entry'!$B$5:$B$1276,A12,'Score Entry'!$E$5:$E$1276,"Primary"),"")</f>
        <v>55</v>
      </c>
      <c r="M12" s="48" t="n">
        <f aca="false">IFERROR(AVERAGEIFS('Score Entry'!$M$5:$M$1276,'Score Entry'!$B$5:$B$1276,A12,'Score Entry'!$E$5:$E$1276,"Secondary"),"")</f>
        <v>62</v>
      </c>
      <c r="N12" s="48" t="n">
        <f aca="false">IF(COUNT(L12:M12)=2,ABS(L12-M12),"")</f>
        <v>7</v>
      </c>
      <c r="O12" s="37" t="str">
        <f aca="false">IF(N12="","",IF(N12&gt;=Threshold,"Yes","No"))</f>
        <v>No</v>
      </c>
      <c r="P12" s="48" t="str">
        <f aca="false">IFERROR(AVERAGEIFS('Score Entry'!$M$5:$M$1276,'Score Entry'!$B$5:$B$1276,A12,'Score Entry'!$E$5:$E$1276,"Third"),"")</f>
        <v/>
      </c>
      <c r="Q12" s="48" t="n">
        <f aca="false">IF(H12&lt;&gt;"Eligible","",IF(O12="Yes",IF(ISNUMBER(P12),ROUND(AVERAGE(L12,M12,P12),1),""),IF(O12="No",ROUND(AVERAGE(L12:M12),1),"")))</f>
        <v>58.5</v>
      </c>
      <c r="R12" s="37" t="str">
        <f aca="false">IF(H12&lt;&gt;"Eligible","Screened out",IF(COUNT(L12:M12)=0,"Not started",IF(COUNT(L12:M12)=1,"One read done",IF(O12="Yes",IF(ISNUMBER(P12),"Complete","Needs third read"),"Complete"))))</f>
        <v>Complete</v>
      </c>
      <c r="S12" s="37" t="n">
        <f aca="false">IF(Q12="","",COUNTIFS($C$5:$C$600,C12,$Q$5:$Q$600,"&gt;"&amp;Q12)+1)</f>
        <v>76</v>
      </c>
      <c r="T12" s="37" t="str">
        <f aca="false">IF(Q12="","",IF(Q12&gt;=Cutoff,"Yes","No"))</f>
        <v>No</v>
      </c>
      <c r="U12" s="49" t="n">
        <f aca="false">IF(T12="Yes",MIN(F12,INDEX(Settings!$G:$G,MATCH(C12,Settings!$E:$E,0))),0)</f>
        <v>0</v>
      </c>
      <c r="V12" s="49" t="str">
        <f aca="false">IF(T12="Yes",SUMIFS($U$5:$U$600,$C$5:$C$600,C12,$Q$5:$Q$600,"&gt;"&amp;Q12)+U12,"")</f>
        <v/>
      </c>
      <c r="W12" s="37" t="str">
        <f aca="false">IF(T12="Yes",IF(V12&lt;=INDEX(PoolList,MATCH(C12,ProgramList,0)),"Within pool","Over pool"),"")</f>
        <v/>
      </c>
      <c r="X12" s="37" t="str">
        <f aca="false">IF(O12="Yes",COUNTIF($O$5:O12,"Yes"),"")</f>
        <v/>
      </c>
    </row>
    <row r="13" customFormat="false" ht="15" hidden="false" customHeight="false" outlineLevel="0" collapsed="false">
      <c r="A13" s="35" t="s">
        <v>194</v>
      </c>
      <c r="B13" s="35" t="s">
        <v>195</v>
      </c>
      <c r="C13" s="35" t="s">
        <v>103</v>
      </c>
      <c r="D13" s="35" t="s">
        <v>174</v>
      </c>
      <c r="E13" s="35" t="s">
        <v>175</v>
      </c>
      <c r="F13" s="42" t="n">
        <v>81500</v>
      </c>
      <c r="G13" s="36" t="n">
        <v>45919</v>
      </c>
      <c r="H13" s="35" t="s">
        <v>54</v>
      </c>
      <c r="I13" s="35" t="s">
        <v>78</v>
      </c>
      <c r="J13" s="35" t="s">
        <v>85</v>
      </c>
      <c r="K13" s="35"/>
      <c r="L13" s="48" t="n">
        <f aca="false">IFERROR(AVERAGEIFS('Score Entry'!$M$5:$M$1276,'Score Entry'!$B$5:$B$1276,A13,'Score Entry'!$E$5:$E$1276,"Primary"),"")</f>
        <v>58</v>
      </c>
      <c r="M13" s="48" t="n">
        <f aca="false">IFERROR(AVERAGEIFS('Score Entry'!$M$5:$M$1276,'Score Entry'!$B$5:$B$1276,A13,'Score Entry'!$E$5:$E$1276,"Secondary"),"")</f>
        <v>74</v>
      </c>
      <c r="N13" s="48" t="n">
        <f aca="false">IF(COUNT(L13:M13)=2,ABS(L13-M13),"")</f>
        <v>16</v>
      </c>
      <c r="O13" s="37" t="str">
        <f aca="false">IF(N13="","",IF(N13&gt;=Threshold,"Yes","No"))</f>
        <v>No</v>
      </c>
      <c r="P13" s="48" t="str">
        <f aca="false">IFERROR(AVERAGEIFS('Score Entry'!$M$5:$M$1276,'Score Entry'!$B$5:$B$1276,A13,'Score Entry'!$E$5:$E$1276,"Third"),"")</f>
        <v/>
      </c>
      <c r="Q13" s="48" t="n">
        <f aca="false">IF(H13&lt;&gt;"Eligible","",IF(O13="Yes",IF(ISNUMBER(P13),ROUND(AVERAGE(L13,M13,P13),1),""),IF(O13="No",ROUND(AVERAGE(L13:M13),1),"")))</f>
        <v>66</v>
      </c>
      <c r="R13" s="37" t="str">
        <f aca="false">IF(H13&lt;&gt;"Eligible","Screened out",IF(COUNT(L13:M13)=0,"Not started",IF(COUNT(L13:M13)=1,"One read done",IF(O13="Yes",IF(ISNUMBER(P13),"Complete","Needs third read"),"Complete"))))</f>
        <v>Complete</v>
      </c>
      <c r="S13" s="37" t="n">
        <f aca="false">IF(Q13="","",COUNTIFS($C$5:$C$600,C13,$Q$5:$Q$600,"&gt;"&amp;Q13)+1)</f>
        <v>84</v>
      </c>
      <c r="T13" s="37" t="str">
        <f aca="false">IF(Q13="","",IF(Q13&gt;=Cutoff,"Yes","No"))</f>
        <v>No</v>
      </c>
      <c r="U13" s="49" t="n">
        <f aca="false">IF(T13="Yes",MIN(F13,INDEX(Settings!$G:$G,MATCH(C13,Settings!$E:$E,0))),0)</f>
        <v>0</v>
      </c>
      <c r="V13" s="49" t="str">
        <f aca="false">IF(T13="Yes",SUMIFS($U$5:$U$600,$C$5:$C$600,C13,$Q$5:$Q$600,"&gt;"&amp;Q13)+U13,"")</f>
        <v/>
      </c>
      <c r="W13" s="37" t="str">
        <f aca="false">IF(T13="Yes",IF(V13&lt;=INDEX(PoolList,MATCH(C13,ProgramList,0)),"Within pool","Over pool"),"")</f>
        <v/>
      </c>
      <c r="X13" s="37" t="str">
        <f aca="false">IF(O13="Yes",COUNTIF($O$5:O13,"Yes"),"")</f>
        <v/>
      </c>
    </row>
    <row r="14" customFormat="false" ht="15" hidden="false" customHeight="false" outlineLevel="0" collapsed="false">
      <c r="A14" s="35" t="s">
        <v>196</v>
      </c>
      <c r="B14" s="35" t="s">
        <v>197</v>
      </c>
      <c r="C14" s="35" t="s">
        <v>105</v>
      </c>
      <c r="D14" s="35" t="s">
        <v>174</v>
      </c>
      <c r="E14" s="35" t="s">
        <v>175</v>
      </c>
      <c r="F14" s="42" t="n">
        <v>75000</v>
      </c>
      <c r="G14" s="36" t="n">
        <v>45918</v>
      </c>
      <c r="H14" s="35" t="s">
        <v>54</v>
      </c>
      <c r="I14" s="35" t="s">
        <v>91</v>
      </c>
      <c r="J14" s="35" t="s">
        <v>82</v>
      </c>
      <c r="K14" s="35"/>
      <c r="L14" s="48" t="str">
        <f aca="false">IFERROR(AVERAGEIFS('Score Entry'!$M$5:$M$1276,'Score Entry'!$B$5:$B$1276,A14,'Score Entry'!$E$5:$E$1276,"Primary"),"")</f>
        <v/>
      </c>
      <c r="M14" s="48" t="n">
        <f aca="false">IFERROR(AVERAGEIFS('Score Entry'!$M$5:$M$1276,'Score Entry'!$B$5:$B$1276,A14,'Score Entry'!$E$5:$E$1276,"Secondary"),"")</f>
        <v>73</v>
      </c>
      <c r="N14" s="48" t="str">
        <f aca="false">IF(COUNT(L14:M14)=2,ABS(L14-M14),"")</f>
        <v/>
      </c>
      <c r="O14" s="37" t="str">
        <f aca="false">IF(N14="","",IF(N14&gt;=Threshold,"Yes","No"))</f>
        <v/>
      </c>
      <c r="P14" s="48" t="str">
        <f aca="false">IFERROR(AVERAGEIFS('Score Entry'!$M$5:$M$1276,'Score Entry'!$B$5:$B$1276,A14,'Score Entry'!$E$5:$E$1276,"Third"),"")</f>
        <v/>
      </c>
      <c r="Q14" s="48" t="str">
        <f aca="false">IF(H14&lt;&gt;"Eligible","",IF(O14="Yes",IF(ISNUMBER(P14),ROUND(AVERAGE(L14,M14,P14),1),""),IF(O14="No",ROUND(AVERAGE(L14:M14),1),"")))</f>
        <v/>
      </c>
      <c r="R14" s="37" t="str">
        <f aca="false">IF(H14&lt;&gt;"Eligible","Screened out",IF(COUNT(L14:M14)=0,"Not started",IF(COUNT(L14:M14)=1,"One read done",IF(O14="Yes",IF(ISNUMBER(P14),"Complete","Needs third read"),"Complete"))))</f>
        <v>One read done</v>
      </c>
      <c r="S14" s="37" t="str">
        <f aca="false">IF(Q14="","",COUNTIFS($C$5:$C$600,C14,$Q$5:$Q$600,"&gt;"&amp;Q14)+1)</f>
        <v/>
      </c>
      <c r="T14" s="37" t="str">
        <f aca="false">IF(Q14="","",IF(Q14&gt;=Cutoff,"Yes","No"))</f>
        <v/>
      </c>
      <c r="U14" s="49" t="n">
        <f aca="false">IF(T14="Yes",MIN(F14,INDEX(Settings!$G:$G,MATCH(C14,Settings!$E:$E,0))),0)</f>
        <v>0</v>
      </c>
      <c r="V14" s="49" t="str">
        <f aca="false">IF(T14="Yes",SUMIFS($U$5:$U$600,$C$5:$C$600,C14,$Q$5:$Q$600,"&gt;"&amp;Q14)+U14,"")</f>
        <v/>
      </c>
      <c r="W14" s="37" t="str">
        <f aca="false">IF(T14="Yes",IF(V14&lt;=INDEX(PoolList,MATCH(C14,ProgramList,0)),"Within pool","Over pool"),"")</f>
        <v/>
      </c>
      <c r="X14" s="37" t="str">
        <f aca="false">IF(O14="Yes",COUNTIF($O$5:O14,"Yes"),"")</f>
        <v/>
      </c>
    </row>
    <row r="15" customFormat="false" ht="15" hidden="false" customHeight="false" outlineLevel="0" collapsed="false">
      <c r="A15" s="35" t="s">
        <v>198</v>
      </c>
      <c r="B15" s="35" t="s">
        <v>199</v>
      </c>
      <c r="C15" s="35" t="s">
        <v>105</v>
      </c>
      <c r="D15" s="35" t="s">
        <v>174</v>
      </c>
      <c r="E15" s="35" t="s">
        <v>175</v>
      </c>
      <c r="F15" s="42" t="n">
        <v>144000</v>
      </c>
      <c r="G15" s="36" t="n">
        <v>45918</v>
      </c>
      <c r="H15" s="35" t="s">
        <v>54</v>
      </c>
      <c r="I15" s="35" t="s">
        <v>78</v>
      </c>
      <c r="J15" s="35" t="s">
        <v>94</v>
      </c>
      <c r="K15" s="35"/>
      <c r="L15" s="48" t="n">
        <f aca="false">IFERROR(AVERAGEIFS('Score Entry'!$M$5:$M$1276,'Score Entry'!$B$5:$B$1276,A15,'Score Entry'!$E$5:$E$1276,"Primary"),"")</f>
        <v>76</v>
      </c>
      <c r="M15" s="48" t="n">
        <f aca="false">IFERROR(AVERAGEIFS('Score Entry'!$M$5:$M$1276,'Score Entry'!$B$5:$B$1276,A15,'Score Entry'!$E$5:$E$1276,"Secondary"),"")</f>
        <v>70</v>
      </c>
      <c r="N15" s="48" t="n">
        <f aca="false">IF(COUNT(L15:M15)=2,ABS(L15-M15),"")</f>
        <v>6</v>
      </c>
      <c r="O15" s="37" t="str">
        <f aca="false">IF(N15="","",IF(N15&gt;=Threshold,"Yes","No"))</f>
        <v>No</v>
      </c>
      <c r="P15" s="48" t="str">
        <f aca="false">IFERROR(AVERAGEIFS('Score Entry'!$M$5:$M$1276,'Score Entry'!$B$5:$B$1276,A15,'Score Entry'!$E$5:$E$1276,"Third"),"")</f>
        <v/>
      </c>
      <c r="Q15" s="48" t="n">
        <f aca="false">IF(H15&lt;&gt;"Eligible","",IF(O15="Yes",IF(ISNUMBER(P15),ROUND(AVERAGE(L15,M15,P15),1),""),IF(O15="No",ROUND(AVERAGE(L15:M15),1),"")))</f>
        <v>73</v>
      </c>
      <c r="R15" s="37" t="str">
        <f aca="false">IF(H15&lt;&gt;"Eligible","Screened out",IF(COUNT(L15:M15)=0,"Not started",IF(COUNT(L15:M15)=1,"One read done",IF(O15="Yes",IF(ISNUMBER(P15),"Complete","Needs third read"),"Complete"))))</f>
        <v>Complete</v>
      </c>
      <c r="S15" s="37" t="n">
        <f aca="false">IF(Q15="","",COUNTIFS($C$5:$C$600,C15,$Q$5:$Q$600,"&gt;"&amp;Q15)+1)</f>
        <v>31</v>
      </c>
      <c r="T15" s="37" t="str">
        <f aca="false">IF(Q15="","",IF(Q15&gt;=Cutoff,"Yes","No"))</f>
        <v>No</v>
      </c>
      <c r="U15" s="49" t="n">
        <f aca="false">IF(T15="Yes",MIN(F15,INDEX(Settings!$G:$G,MATCH(C15,Settings!$E:$E,0))),0)</f>
        <v>0</v>
      </c>
      <c r="V15" s="49" t="str">
        <f aca="false">IF(T15="Yes",SUMIFS($U$5:$U$600,$C$5:$C$600,C15,$Q$5:$Q$600,"&gt;"&amp;Q15)+U15,"")</f>
        <v/>
      </c>
      <c r="W15" s="37" t="str">
        <f aca="false">IF(T15="Yes",IF(V15&lt;=INDEX(PoolList,MATCH(C15,ProgramList,0)),"Within pool","Over pool"),"")</f>
        <v/>
      </c>
      <c r="X15" s="37" t="str">
        <f aca="false">IF(O15="Yes",COUNTIF($O$5:O15,"Yes"),"")</f>
        <v/>
      </c>
    </row>
    <row r="16" customFormat="false" ht="15" hidden="false" customHeight="false" outlineLevel="0" collapsed="false">
      <c r="A16" s="35" t="s">
        <v>200</v>
      </c>
      <c r="B16" s="35" t="s">
        <v>201</v>
      </c>
      <c r="C16" s="35" t="s">
        <v>106</v>
      </c>
      <c r="D16" s="35" t="s">
        <v>174</v>
      </c>
      <c r="E16" s="35" t="s">
        <v>175</v>
      </c>
      <c r="F16" s="42" t="n">
        <v>162000</v>
      </c>
      <c r="G16" s="36" t="n">
        <v>45920</v>
      </c>
      <c r="H16" s="35" t="s">
        <v>54</v>
      </c>
      <c r="I16" s="35" t="s">
        <v>88</v>
      </c>
      <c r="J16" s="35" t="s">
        <v>85</v>
      </c>
      <c r="K16" s="35"/>
      <c r="L16" s="48" t="n">
        <f aca="false">IFERROR(AVERAGEIFS('Score Entry'!$M$5:$M$1276,'Score Entry'!$B$5:$B$1276,A16,'Score Entry'!$E$5:$E$1276,"Primary"),"")</f>
        <v>77</v>
      </c>
      <c r="M16" s="48" t="n">
        <f aca="false">IFERROR(AVERAGEIFS('Score Entry'!$M$5:$M$1276,'Score Entry'!$B$5:$B$1276,A16,'Score Entry'!$E$5:$E$1276,"Secondary"),"")</f>
        <v>75</v>
      </c>
      <c r="N16" s="48" t="n">
        <f aca="false">IF(COUNT(L16:M16)=2,ABS(L16-M16),"")</f>
        <v>2</v>
      </c>
      <c r="O16" s="37" t="str">
        <f aca="false">IF(N16="","",IF(N16&gt;=Threshold,"Yes","No"))</f>
        <v>No</v>
      </c>
      <c r="P16" s="48" t="str">
        <f aca="false">IFERROR(AVERAGEIFS('Score Entry'!$M$5:$M$1276,'Score Entry'!$B$5:$B$1276,A16,'Score Entry'!$E$5:$E$1276,"Third"),"")</f>
        <v/>
      </c>
      <c r="Q16" s="48" t="n">
        <f aca="false">IF(H16&lt;&gt;"Eligible","",IF(O16="Yes",IF(ISNUMBER(P16),ROUND(AVERAGE(L16,M16,P16),1),""),IF(O16="No",ROUND(AVERAGE(L16:M16),1),"")))</f>
        <v>76</v>
      </c>
      <c r="R16" s="37" t="str">
        <f aca="false">IF(H16&lt;&gt;"Eligible","Screened out",IF(COUNT(L16:M16)=0,"Not started",IF(COUNT(L16:M16)=1,"One read done",IF(O16="Yes",IF(ISNUMBER(P16),"Complete","Needs third read"),"Complete"))))</f>
        <v>Complete</v>
      </c>
      <c r="S16" s="37" t="n">
        <f aca="false">IF(Q16="","",COUNTIFS($C$5:$C$600,C16,$Q$5:$Q$600,"&gt;"&amp;Q16)+1)</f>
        <v>34</v>
      </c>
      <c r="T16" s="37" t="str">
        <f aca="false">IF(Q16="","",IF(Q16&gt;=Cutoff,"Yes","No"))</f>
        <v>No</v>
      </c>
      <c r="U16" s="49" t="n">
        <f aca="false">IF(T16="Yes",MIN(F16,INDEX(Settings!$G:$G,MATCH(C16,Settings!$E:$E,0))),0)</f>
        <v>0</v>
      </c>
      <c r="V16" s="49" t="str">
        <f aca="false">IF(T16="Yes",SUMIFS($U$5:$U$600,$C$5:$C$600,C16,$Q$5:$Q$600,"&gt;"&amp;Q16)+U16,"")</f>
        <v/>
      </c>
      <c r="W16" s="37" t="str">
        <f aca="false">IF(T16="Yes",IF(V16&lt;=INDEX(PoolList,MATCH(C16,ProgramList,0)),"Within pool","Over pool"),"")</f>
        <v/>
      </c>
      <c r="X16" s="37" t="str">
        <f aca="false">IF(O16="Yes",COUNTIF($O$5:O16,"Yes"),"")</f>
        <v/>
      </c>
    </row>
    <row r="17" customFormat="false" ht="15" hidden="false" customHeight="false" outlineLevel="0" collapsed="false">
      <c r="A17" s="35" t="s">
        <v>202</v>
      </c>
      <c r="B17" s="35" t="s">
        <v>203</v>
      </c>
      <c r="C17" s="35" t="s">
        <v>105</v>
      </c>
      <c r="D17" s="35" t="s">
        <v>174</v>
      </c>
      <c r="E17" s="35" t="s">
        <v>175</v>
      </c>
      <c r="F17" s="42" t="n">
        <v>157000</v>
      </c>
      <c r="G17" s="36" t="n">
        <v>45920</v>
      </c>
      <c r="H17" s="35" t="s">
        <v>54</v>
      </c>
      <c r="I17" s="35" t="s">
        <v>82</v>
      </c>
      <c r="J17" s="35" t="s">
        <v>85</v>
      </c>
      <c r="K17" s="35"/>
      <c r="L17" s="48" t="n">
        <f aca="false">IFERROR(AVERAGEIFS('Score Entry'!$M$5:$M$1276,'Score Entry'!$B$5:$B$1276,A17,'Score Entry'!$E$5:$E$1276,"Primary"),"")</f>
        <v>63</v>
      </c>
      <c r="M17" s="48" t="n">
        <f aca="false">IFERROR(AVERAGEIFS('Score Entry'!$M$5:$M$1276,'Score Entry'!$B$5:$B$1276,A17,'Score Entry'!$E$5:$E$1276,"Secondary"),"")</f>
        <v>60</v>
      </c>
      <c r="N17" s="48" t="n">
        <f aca="false">IF(COUNT(L17:M17)=2,ABS(L17-M17),"")</f>
        <v>3</v>
      </c>
      <c r="O17" s="37" t="str">
        <f aca="false">IF(N17="","",IF(N17&gt;=Threshold,"Yes","No"))</f>
        <v>No</v>
      </c>
      <c r="P17" s="48" t="str">
        <f aca="false">IFERROR(AVERAGEIFS('Score Entry'!$M$5:$M$1276,'Score Entry'!$B$5:$B$1276,A17,'Score Entry'!$E$5:$E$1276,"Third"),"")</f>
        <v/>
      </c>
      <c r="Q17" s="48" t="n">
        <f aca="false">IF(H17&lt;&gt;"Eligible","",IF(O17="Yes",IF(ISNUMBER(P17),ROUND(AVERAGE(L17,M17,P17),1),""),IF(O17="No",ROUND(AVERAGE(L17:M17),1),"")))</f>
        <v>61.5</v>
      </c>
      <c r="R17" s="37" t="str">
        <f aca="false">IF(H17&lt;&gt;"Eligible","Screened out",IF(COUNT(L17:M17)=0,"Not started",IF(COUNT(L17:M17)=1,"One read done",IF(O17="Yes",IF(ISNUMBER(P17),"Complete","Needs third read"),"Complete"))))</f>
        <v>Complete</v>
      </c>
      <c r="S17" s="37" t="n">
        <f aca="false">IF(Q17="","",COUNTIFS($C$5:$C$600,C17,$Q$5:$Q$600,"&gt;"&amp;Q17)+1)</f>
        <v>67</v>
      </c>
      <c r="T17" s="37" t="str">
        <f aca="false">IF(Q17="","",IF(Q17&gt;=Cutoff,"Yes","No"))</f>
        <v>No</v>
      </c>
      <c r="U17" s="49" t="n">
        <f aca="false">IF(T17="Yes",MIN(F17,INDEX(Settings!$G:$G,MATCH(C17,Settings!$E:$E,0))),0)</f>
        <v>0</v>
      </c>
      <c r="V17" s="49" t="str">
        <f aca="false">IF(T17="Yes",SUMIFS($U$5:$U$600,$C$5:$C$600,C17,$Q$5:$Q$600,"&gt;"&amp;Q17)+U17,"")</f>
        <v/>
      </c>
      <c r="W17" s="37" t="str">
        <f aca="false">IF(T17="Yes",IF(V17&lt;=INDEX(PoolList,MATCH(C17,ProgramList,0)),"Within pool","Over pool"),"")</f>
        <v/>
      </c>
      <c r="X17" s="37" t="str">
        <f aca="false">IF(O17="Yes",COUNTIF($O$5:O17,"Yes"),"")</f>
        <v/>
      </c>
    </row>
    <row r="18" customFormat="false" ht="15" hidden="false" customHeight="false" outlineLevel="0" collapsed="false">
      <c r="A18" s="35" t="s">
        <v>204</v>
      </c>
      <c r="B18" s="35" t="s">
        <v>205</v>
      </c>
      <c r="C18" s="35" t="s">
        <v>106</v>
      </c>
      <c r="D18" s="35" t="s">
        <v>174</v>
      </c>
      <c r="E18" s="35" t="s">
        <v>175</v>
      </c>
      <c r="F18" s="42" t="n">
        <v>47000</v>
      </c>
      <c r="G18" s="36" t="n">
        <v>45923</v>
      </c>
      <c r="H18" s="35" t="s">
        <v>54</v>
      </c>
      <c r="I18" s="35" t="s">
        <v>78</v>
      </c>
      <c r="J18" s="35" t="s">
        <v>94</v>
      </c>
      <c r="K18" s="35"/>
      <c r="L18" s="48" t="n">
        <f aca="false">IFERROR(AVERAGEIFS('Score Entry'!$M$5:$M$1276,'Score Entry'!$B$5:$B$1276,A18,'Score Entry'!$E$5:$E$1276,"Primary"),"")</f>
        <v>89</v>
      </c>
      <c r="M18" s="48" t="n">
        <f aca="false">IFERROR(AVERAGEIFS('Score Entry'!$M$5:$M$1276,'Score Entry'!$B$5:$B$1276,A18,'Score Entry'!$E$5:$E$1276,"Secondary"),"")</f>
        <v>78</v>
      </c>
      <c r="N18" s="48" t="n">
        <f aca="false">IF(COUNT(L18:M18)=2,ABS(L18-M18),"")</f>
        <v>11</v>
      </c>
      <c r="O18" s="37" t="str">
        <f aca="false">IF(N18="","",IF(N18&gt;=Threshold,"Yes","No"))</f>
        <v>No</v>
      </c>
      <c r="P18" s="48" t="str">
        <f aca="false">IFERROR(AVERAGEIFS('Score Entry'!$M$5:$M$1276,'Score Entry'!$B$5:$B$1276,A18,'Score Entry'!$E$5:$E$1276,"Third"),"")</f>
        <v/>
      </c>
      <c r="Q18" s="48" t="n">
        <f aca="false">IF(H18&lt;&gt;"Eligible","",IF(O18="Yes",IF(ISNUMBER(P18),ROUND(AVERAGE(L18,M18,P18),1),""),IF(O18="No",ROUND(AVERAGE(L18:M18),1),"")))</f>
        <v>83.5</v>
      </c>
      <c r="R18" s="37" t="str">
        <f aca="false">IF(H18&lt;&gt;"Eligible","Screened out",IF(COUNT(L18:M18)=0,"Not started",IF(COUNT(L18:M18)=1,"One read done",IF(O18="Yes",IF(ISNUMBER(P18),"Complete","Needs third read"),"Complete"))))</f>
        <v>Complete</v>
      </c>
      <c r="S18" s="37" t="n">
        <f aca="false">IF(Q18="","",COUNTIFS($C$5:$C$600,C18,$Q$5:$Q$600,"&gt;"&amp;Q18)+1)</f>
        <v>12</v>
      </c>
      <c r="T18" s="37" t="str">
        <f aca="false">IF(Q18="","",IF(Q18&gt;=Cutoff,"Yes","No"))</f>
        <v>No</v>
      </c>
      <c r="U18" s="49" t="n">
        <f aca="false">IF(T18="Yes",MIN(F18,INDEX(Settings!$G:$G,MATCH(C18,Settings!$E:$E,0))),0)</f>
        <v>0</v>
      </c>
      <c r="V18" s="49" t="str">
        <f aca="false">IF(T18="Yes",SUMIFS($U$5:$U$600,$C$5:$C$600,C18,$Q$5:$Q$600,"&gt;"&amp;Q18)+U18,"")</f>
        <v/>
      </c>
      <c r="W18" s="37" t="str">
        <f aca="false">IF(T18="Yes",IF(V18&lt;=INDEX(PoolList,MATCH(C18,ProgramList,0)),"Within pool","Over pool"),"")</f>
        <v/>
      </c>
      <c r="X18" s="37" t="str">
        <f aca="false">IF(O18="Yes",COUNTIF($O$5:O18,"Yes"),"")</f>
        <v/>
      </c>
    </row>
    <row r="19" customFormat="false" ht="15" hidden="false" customHeight="false" outlineLevel="0" collapsed="false">
      <c r="A19" s="35" t="s">
        <v>206</v>
      </c>
      <c r="B19" s="35" t="s">
        <v>207</v>
      </c>
      <c r="C19" s="35" t="s">
        <v>106</v>
      </c>
      <c r="D19" s="35" t="s">
        <v>180</v>
      </c>
      <c r="E19" s="35" t="s">
        <v>181</v>
      </c>
      <c r="F19" s="42" t="n">
        <v>49000</v>
      </c>
      <c r="G19" s="36" t="n">
        <v>45913</v>
      </c>
      <c r="H19" s="35" t="s">
        <v>54</v>
      </c>
      <c r="I19" s="35" t="s">
        <v>91</v>
      </c>
      <c r="J19" s="35" t="s">
        <v>88</v>
      </c>
      <c r="K19" s="35"/>
      <c r="L19" s="48" t="n">
        <f aca="false">IFERROR(AVERAGEIFS('Score Entry'!$M$5:$M$1276,'Score Entry'!$B$5:$B$1276,A19,'Score Entry'!$E$5:$E$1276,"Primary"),"")</f>
        <v>67</v>
      </c>
      <c r="M19" s="48" t="n">
        <f aca="false">IFERROR(AVERAGEIFS('Score Entry'!$M$5:$M$1276,'Score Entry'!$B$5:$B$1276,A19,'Score Entry'!$E$5:$E$1276,"Secondary"),"")</f>
        <v>78</v>
      </c>
      <c r="N19" s="48" t="n">
        <f aca="false">IF(COUNT(L19:M19)=2,ABS(L19-M19),"")</f>
        <v>11</v>
      </c>
      <c r="O19" s="37" t="str">
        <f aca="false">IF(N19="","",IF(N19&gt;=Threshold,"Yes","No"))</f>
        <v>No</v>
      </c>
      <c r="P19" s="48" t="str">
        <f aca="false">IFERROR(AVERAGEIFS('Score Entry'!$M$5:$M$1276,'Score Entry'!$B$5:$B$1276,A19,'Score Entry'!$E$5:$E$1276,"Third"),"")</f>
        <v/>
      </c>
      <c r="Q19" s="48" t="n">
        <f aca="false">IF(H19&lt;&gt;"Eligible","",IF(O19="Yes",IF(ISNUMBER(P19),ROUND(AVERAGE(L19,M19,P19),1),""),IF(O19="No",ROUND(AVERAGE(L19:M19),1),"")))</f>
        <v>72.5</v>
      </c>
      <c r="R19" s="37" t="str">
        <f aca="false">IF(H19&lt;&gt;"Eligible","Screened out",IF(COUNT(L19:M19)=0,"Not started",IF(COUNT(L19:M19)=1,"One read done",IF(O19="Yes",IF(ISNUMBER(P19),"Complete","Needs third read"),"Complete"))))</f>
        <v>Complete</v>
      </c>
      <c r="S19" s="37" t="n">
        <f aca="false">IF(Q19="","",COUNTIFS($C$5:$C$600,C19,$Q$5:$Q$600,"&gt;"&amp;Q19)+1)</f>
        <v>44</v>
      </c>
      <c r="T19" s="37" t="str">
        <f aca="false">IF(Q19="","",IF(Q19&gt;=Cutoff,"Yes","No"))</f>
        <v>No</v>
      </c>
      <c r="U19" s="49" t="n">
        <f aca="false">IF(T19="Yes",MIN(F19,INDEX(Settings!$G:$G,MATCH(C19,Settings!$E:$E,0))),0)</f>
        <v>0</v>
      </c>
      <c r="V19" s="49" t="str">
        <f aca="false">IF(T19="Yes",SUMIFS($U$5:$U$600,$C$5:$C$600,C19,$Q$5:$Q$600,"&gt;"&amp;Q19)+U19,"")</f>
        <v/>
      </c>
      <c r="W19" s="37" t="str">
        <f aca="false">IF(T19="Yes",IF(V19&lt;=INDEX(PoolList,MATCH(C19,ProgramList,0)),"Within pool","Over pool"),"")</f>
        <v/>
      </c>
      <c r="X19" s="37" t="str">
        <f aca="false">IF(O19="Yes",COUNTIF($O$5:O19,"Yes"),"")</f>
        <v/>
      </c>
    </row>
    <row r="20" customFormat="false" ht="15" hidden="false" customHeight="false" outlineLevel="0" collapsed="false">
      <c r="A20" s="35" t="s">
        <v>208</v>
      </c>
      <c r="B20" s="35" t="s">
        <v>209</v>
      </c>
      <c r="C20" s="35" t="s">
        <v>105</v>
      </c>
      <c r="D20" s="35" t="s">
        <v>174</v>
      </c>
      <c r="E20" s="35" t="s">
        <v>175</v>
      </c>
      <c r="F20" s="42" t="n">
        <v>140500</v>
      </c>
      <c r="G20" s="36" t="n">
        <v>45909</v>
      </c>
      <c r="H20" s="35" t="s">
        <v>54</v>
      </c>
      <c r="I20" s="35" t="s">
        <v>91</v>
      </c>
      <c r="J20" s="35" t="s">
        <v>88</v>
      </c>
      <c r="K20" s="35" t="s">
        <v>85</v>
      </c>
      <c r="L20" s="48" t="n">
        <f aca="false">IFERROR(AVERAGEIFS('Score Entry'!$M$5:$M$1276,'Score Entry'!$B$5:$B$1276,A20,'Score Entry'!$E$5:$E$1276,"Primary"),"")</f>
        <v>100</v>
      </c>
      <c r="M20" s="48" t="n">
        <f aca="false">IFERROR(AVERAGEIFS('Score Entry'!$M$5:$M$1276,'Score Entry'!$B$5:$B$1276,A20,'Score Entry'!$E$5:$E$1276,"Secondary"),"")</f>
        <v>71</v>
      </c>
      <c r="N20" s="48" t="n">
        <f aca="false">IF(COUNT(L20:M20)=2,ABS(L20-M20),"")</f>
        <v>29</v>
      </c>
      <c r="O20" s="37" t="str">
        <f aca="false">IF(N20="","",IF(N20&gt;=Threshold,"Yes","No"))</f>
        <v>Yes</v>
      </c>
      <c r="P20" s="48" t="str">
        <f aca="false">IFERROR(AVERAGEIFS('Score Entry'!$M$5:$M$1276,'Score Entry'!$B$5:$B$1276,A20,'Score Entry'!$E$5:$E$1276,"Third"),"")</f>
        <v/>
      </c>
      <c r="Q20" s="48" t="str">
        <f aca="false">IF(H20&lt;&gt;"Eligible","",IF(O20="Yes",IF(ISNUMBER(P20),ROUND(AVERAGE(L20,M20,P20),1),""),IF(O20="No",ROUND(AVERAGE(L20:M20),1),"")))</f>
        <v/>
      </c>
      <c r="R20" s="37" t="str">
        <f aca="false">IF(H20&lt;&gt;"Eligible","Screened out",IF(COUNT(L20:M20)=0,"Not started",IF(COUNT(L20:M20)=1,"One read done",IF(O20="Yes",IF(ISNUMBER(P20),"Complete","Needs third read"),"Complete"))))</f>
        <v>Needs third read</v>
      </c>
      <c r="S20" s="37" t="str">
        <f aca="false">IF(Q20="","",COUNTIFS($C$5:$C$600,C20,$Q$5:$Q$600,"&gt;"&amp;Q20)+1)</f>
        <v/>
      </c>
      <c r="T20" s="37" t="str">
        <f aca="false">IF(Q20="","",IF(Q20&gt;=Cutoff,"Yes","No"))</f>
        <v/>
      </c>
      <c r="U20" s="49" t="n">
        <f aca="false">IF(T20="Yes",MIN(F20,INDEX(Settings!$G:$G,MATCH(C20,Settings!$E:$E,0))),0)</f>
        <v>0</v>
      </c>
      <c r="V20" s="49" t="str">
        <f aca="false">IF(T20="Yes",SUMIFS($U$5:$U$600,$C$5:$C$600,C20,$Q$5:$Q$600,"&gt;"&amp;Q20)+U20,"")</f>
        <v/>
      </c>
      <c r="W20" s="37" t="str">
        <f aca="false">IF(T20="Yes",IF(V20&lt;=INDEX(PoolList,MATCH(C20,ProgramList,0)),"Within pool","Over pool"),"")</f>
        <v/>
      </c>
      <c r="X20" s="37" t="n">
        <f aca="false">IF(O20="Yes",COUNTIF($O$5:O20,"Yes"),"")</f>
        <v>1</v>
      </c>
    </row>
    <row r="21" customFormat="false" ht="15" hidden="false" customHeight="false" outlineLevel="0" collapsed="false">
      <c r="A21" s="35" t="s">
        <v>210</v>
      </c>
      <c r="B21" s="35" t="s">
        <v>211</v>
      </c>
      <c r="C21" s="35" t="s">
        <v>103</v>
      </c>
      <c r="D21" s="35" t="s">
        <v>174</v>
      </c>
      <c r="E21" s="35" t="s">
        <v>175</v>
      </c>
      <c r="F21" s="42" t="n">
        <v>68500</v>
      </c>
      <c r="G21" s="36" t="n">
        <v>45909</v>
      </c>
      <c r="H21" s="35" t="s">
        <v>54</v>
      </c>
      <c r="I21" s="35" t="s">
        <v>94</v>
      </c>
      <c r="J21" s="35" t="s">
        <v>82</v>
      </c>
      <c r="K21" s="35"/>
      <c r="L21" s="48" t="n">
        <f aca="false">IFERROR(AVERAGEIFS('Score Entry'!$M$5:$M$1276,'Score Entry'!$B$5:$B$1276,A21,'Score Entry'!$E$5:$E$1276,"Primary"),"")</f>
        <v>60</v>
      </c>
      <c r="M21" s="48" t="n">
        <f aca="false">IFERROR(AVERAGEIFS('Score Entry'!$M$5:$M$1276,'Score Entry'!$B$5:$B$1276,A21,'Score Entry'!$E$5:$E$1276,"Secondary"),"")</f>
        <v>58</v>
      </c>
      <c r="N21" s="48" t="n">
        <f aca="false">IF(COUNT(L21:M21)=2,ABS(L21-M21),"")</f>
        <v>2</v>
      </c>
      <c r="O21" s="37" t="str">
        <f aca="false">IF(N21="","",IF(N21&gt;=Threshold,"Yes","No"))</f>
        <v>No</v>
      </c>
      <c r="P21" s="48" t="str">
        <f aca="false">IFERROR(AVERAGEIFS('Score Entry'!$M$5:$M$1276,'Score Entry'!$B$5:$B$1276,A21,'Score Entry'!$E$5:$E$1276,"Third"),"")</f>
        <v/>
      </c>
      <c r="Q21" s="48" t="n">
        <f aca="false">IF(H21&lt;&gt;"Eligible","",IF(O21="Yes",IF(ISNUMBER(P21),ROUND(AVERAGE(L21,M21,P21),1),""),IF(O21="No",ROUND(AVERAGE(L21:M21),1),"")))</f>
        <v>59</v>
      </c>
      <c r="R21" s="37" t="str">
        <f aca="false">IF(H21&lt;&gt;"Eligible","Screened out",IF(COUNT(L21:M21)=0,"Not started",IF(COUNT(L21:M21)=1,"One read done",IF(O21="Yes",IF(ISNUMBER(P21),"Complete","Needs third read"),"Complete"))))</f>
        <v>Complete</v>
      </c>
      <c r="S21" s="37" t="n">
        <f aca="false">IF(Q21="","",COUNTIFS($C$5:$C$600,C21,$Q$5:$Q$600,"&gt;"&amp;Q21)+1)</f>
        <v>117</v>
      </c>
      <c r="T21" s="37" t="str">
        <f aca="false">IF(Q21="","",IF(Q21&gt;=Cutoff,"Yes","No"))</f>
        <v>No</v>
      </c>
      <c r="U21" s="49" t="n">
        <f aca="false">IF(T21="Yes",MIN(F21,INDEX(Settings!$G:$G,MATCH(C21,Settings!$E:$E,0))),0)</f>
        <v>0</v>
      </c>
      <c r="V21" s="49" t="str">
        <f aca="false">IF(T21="Yes",SUMIFS($U$5:$U$600,$C$5:$C$600,C21,$Q$5:$Q$600,"&gt;"&amp;Q21)+U21,"")</f>
        <v/>
      </c>
      <c r="W21" s="37" t="str">
        <f aca="false">IF(T21="Yes",IF(V21&lt;=INDEX(PoolList,MATCH(C21,ProgramList,0)),"Within pool","Over pool"),"")</f>
        <v/>
      </c>
      <c r="X21" s="37" t="str">
        <f aca="false">IF(O21="Yes",COUNTIF($O$5:O21,"Yes"),"")</f>
        <v/>
      </c>
    </row>
    <row r="22" customFormat="false" ht="15" hidden="false" customHeight="false" outlineLevel="0" collapsed="false">
      <c r="A22" s="35" t="s">
        <v>212</v>
      </c>
      <c r="B22" s="35" t="s">
        <v>213</v>
      </c>
      <c r="C22" s="35" t="s">
        <v>103</v>
      </c>
      <c r="D22" s="35" t="s">
        <v>174</v>
      </c>
      <c r="E22" s="35" t="s">
        <v>175</v>
      </c>
      <c r="F22" s="42" t="n">
        <v>170000</v>
      </c>
      <c r="G22" s="36" t="n">
        <v>45910</v>
      </c>
      <c r="H22" s="35" t="s">
        <v>54</v>
      </c>
      <c r="I22" s="35" t="s">
        <v>85</v>
      </c>
      <c r="J22" s="35" t="s">
        <v>78</v>
      </c>
      <c r="K22" s="35"/>
      <c r="L22" s="48" t="n">
        <f aca="false">IFERROR(AVERAGEIFS('Score Entry'!$M$5:$M$1276,'Score Entry'!$B$5:$B$1276,A22,'Score Entry'!$E$5:$E$1276,"Primary"),"")</f>
        <v>76</v>
      </c>
      <c r="M22" s="48" t="n">
        <f aca="false">IFERROR(AVERAGEIFS('Score Entry'!$M$5:$M$1276,'Score Entry'!$B$5:$B$1276,A22,'Score Entry'!$E$5:$E$1276,"Secondary"),"")</f>
        <v>80</v>
      </c>
      <c r="N22" s="48" t="n">
        <f aca="false">IF(COUNT(L22:M22)=2,ABS(L22-M22),"")</f>
        <v>4</v>
      </c>
      <c r="O22" s="37" t="str">
        <f aca="false">IF(N22="","",IF(N22&gt;=Threshold,"Yes","No"))</f>
        <v>No</v>
      </c>
      <c r="P22" s="48" t="str">
        <f aca="false">IFERROR(AVERAGEIFS('Score Entry'!$M$5:$M$1276,'Score Entry'!$B$5:$B$1276,A22,'Score Entry'!$E$5:$E$1276,"Third"),"")</f>
        <v/>
      </c>
      <c r="Q22" s="48" t="n">
        <f aca="false">IF(H22&lt;&gt;"Eligible","",IF(O22="Yes",IF(ISNUMBER(P22),ROUND(AVERAGE(L22,M22,P22),1),""),IF(O22="No",ROUND(AVERAGE(L22:M22),1),"")))</f>
        <v>78</v>
      </c>
      <c r="R22" s="37" t="str">
        <f aca="false">IF(H22&lt;&gt;"Eligible","Screened out",IF(COUNT(L22:M22)=0,"Not started",IF(COUNT(L22:M22)=1,"One read done",IF(O22="Yes",IF(ISNUMBER(P22),"Complete","Needs third read"),"Complete"))))</f>
        <v>Complete</v>
      </c>
      <c r="S22" s="37" t="n">
        <f aca="false">IF(Q22="","",COUNTIFS($C$5:$C$600,C22,$Q$5:$Q$600,"&gt;"&amp;Q22)+1)</f>
        <v>27</v>
      </c>
      <c r="T22" s="37" t="str">
        <f aca="false">IF(Q22="","",IF(Q22&gt;=Cutoff,"Yes","No"))</f>
        <v>No</v>
      </c>
      <c r="U22" s="49" t="n">
        <f aca="false">IF(T22="Yes",MIN(F22,INDEX(Settings!$G:$G,MATCH(C22,Settings!$E:$E,0))),0)</f>
        <v>0</v>
      </c>
      <c r="V22" s="49" t="str">
        <f aca="false">IF(T22="Yes",SUMIFS($U$5:$U$600,$C$5:$C$600,C22,$Q$5:$Q$600,"&gt;"&amp;Q22)+U22,"")</f>
        <v/>
      </c>
      <c r="W22" s="37" t="str">
        <f aca="false">IF(T22="Yes",IF(V22&lt;=INDEX(PoolList,MATCH(C22,ProgramList,0)),"Within pool","Over pool"),"")</f>
        <v/>
      </c>
      <c r="X22" s="37" t="str">
        <f aca="false">IF(O22="Yes",COUNTIF($O$5:O22,"Yes"),"")</f>
        <v/>
      </c>
    </row>
    <row r="23" customFormat="false" ht="15" hidden="false" customHeight="false" outlineLevel="0" collapsed="false">
      <c r="A23" s="35" t="s">
        <v>214</v>
      </c>
      <c r="B23" s="35" t="s">
        <v>215</v>
      </c>
      <c r="C23" s="35" t="s">
        <v>104</v>
      </c>
      <c r="D23" s="35" t="s">
        <v>174</v>
      </c>
      <c r="E23" s="35" t="s">
        <v>175</v>
      </c>
      <c r="F23" s="42" t="n">
        <v>102000</v>
      </c>
      <c r="G23" s="36" t="n">
        <v>45919</v>
      </c>
      <c r="H23" s="35" t="s">
        <v>96</v>
      </c>
      <c r="I23" s="35"/>
      <c r="J23" s="35"/>
      <c r="K23" s="35"/>
      <c r="L23" s="48" t="str">
        <f aca="false">IFERROR(AVERAGEIFS('Score Entry'!$M$5:$M$1276,'Score Entry'!$B$5:$B$1276,A23,'Score Entry'!$E$5:$E$1276,"Primary"),"")</f>
        <v/>
      </c>
      <c r="M23" s="48" t="str">
        <f aca="false">IFERROR(AVERAGEIFS('Score Entry'!$M$5:$M$1276,'Score Entry'!$B$5:$B$1276,A23,'Score Entry'!$E$5:$E$1276,"Secondary"),"")</f>
        <v/>
      </c>
      <c r="N23" s="48" t="str">
        <f aca="false">IF(COUNT(L23:M23)=2,ABS(L23-M23),"")</f>
        <v/>
      </c>
      <c r="O23" s="37" t="str">
        <f aca="false">IF(N23="","",IF(N23&gt;=Threshold,"Yes","No"))</f>
        <v/>
      </c>
      <c r="P23" s="48" t="str">
        <f aca="false">IFERROR(AVERAGEIFS('Score Entry'!$M$5:$M$1276,'Score Entry'!$B$5:$B$1276,A23,'Score Entry'!$E$5:$E$1276,"Third"),"")</f>
        <v/>
      </c>
      <c r="Q23" s="48" t="str">
        <f aca="false">IF(H23&lt;&gt;"Eligible","",IF(O23="Yes",IF(ISNUMBER(P23),ROUND(AVERAGE(L23,M23,P23),1),""),IF(O23="No",ROUND(AVERAGE(L23:M23),1),"")))</f>
        <v/>
      </c>
      <c r="R23" s="37" t="str">
        <f aca="false">IF(H23&lt;&gt;"Eligible","Screened out",IF(COUNT(L23:M23)=0,"Not started",IF(COUNT(L23:M23)=1,"One read done",IF(O23="Yes",IF(ISNUMBER(P23),"Complete","Needs third read"),"Complete"))))</f>
        <v>Screened out</v>
      </c>
      <c r="S23" s="37" t="str">
        <f aca="false">IF(Q23="","",COUNTIFS($C$5:$C$600,C23,$Q$5:$Q$600,"&gt;"&amp;Q23)+1)</f>
        <v/>
      </c>
      <c r="T23" s="37" t="str">
        <f aca="false">IF(Q23="","",IF(Q23&gt;=Cutoff,"Yes","No"))</f>
        <v/>
      </c>
      <c r="U23" s="49" t="n">
        <f aca="false">IF(T23="Yes",MIN(F23,INDEX(Settings!$G:$G,MATCH(C23,Settings!$E:$E,0))),0)</f>
        <v>0</v>
      </c>
      <c r="V23" s="49" t="str">
        <f aca="false">IF(T23="Yes",SUMIFS($U$5:$U$600,$C$5:$C$600,C23,$Q$5:$Q$600,"&gt;"&amp;Q23)+U23,"")</f>
        <v/>
      </c>
      <c r="W23" s="37" t="str">
        <f aca="false">IF(T23="Yes",IF(V23&lt;=INDEX(PoolList,MATCH(C23,ProgramList,0)),"Within pool","Over pool"),"")</f>
        <v/>
      </c>
      <c r="X23" s="37" t="str">
        <f aca="false">IF(O23="Yes",COUNTIF($O$5:O23,"Yes"),"")</f>
        <v/>
      </c>
    </row>
    <row r="24" customFormat="false" ht="15" hidden="false" customHeight="false" outlineLevel="0" collapsed="false">
      <c r="A24" s="35" t="s">
        <v>216</v>
      </c>
      <c r="B24" s="35" t="s">
        <v>217</v>
      </c>
      <c r="C24" s="35" t="s">
        <v>106</v>
      </c>
      <c r="D24" s="35" t="s">
        <v>180</v>
      </c>
      <c r="E24" s="35" t="s">
        <v>218</v>
      </c>
      <c r="F24" s="42" t="n">
        <v>96500</v>
      </c>
      <c r="G24" s="36" t="n">
        <v>45916</v>
      </c>
      <c r="H24" s="35" t="s">
        <v>54</v>
      </c>
      <c r="I24" s="35" t="s">
        <v>82</v>
      </c>
      <c r="J24" s="35" t="s">
        <v>85</v>
      </c>
      <c r="K24" s="35"/>
      <c r="L24" s="48" t="n">
        <f aca="false">IFERROR(AVERAGEIFS('Score Entry'!$M$5:$M$1276,'Score Entry'!$B$5:$B$1276,A24,'Score Entry'!$E$5:$E$1276,"Primary"),"")</f>
        <v>50</v>
      </c>
      <c r="M24" s="48" t="n">
        <f aca="false">IFERROR(AVERAGEIFS('Score Entry'!$M$5:$M$1276,'Score Entry'!$B$5:$B$1276,A24,'Score Entry'!$E$5:$E$1276,"Secondary"),"")</f>
        <v>40</v>
      </c>
      <c r="N24" s="48" t="n">
        <f aca="false">IF(COUNT(L24:M24)=2,ABS(L24-M24),"")</f>
        <v>10</v>
      </c>
      <c r="O24" s="37" t="str">
        <f aca="false">IF(N24="","",IF(N24&gt;=Threshold,"Yes","No"))</f>
        <v>No</v>
      </c>
      <c r="P24" s="48" t="str">
        <f aca="false">IFERROR(AVERAGEIFS('Score Entry'!$M$5:$M$1276,'Score Entry'!$B$5:$B$1276,A24,'Score Entry'!$E$5:$E$1276,"Third"),"")</f>
        <v/>
      </c>
      <c r="Q24" s="48" t="n">
        <f aca="false">IF(H24&lt;&gt;"Eligible","",IF(O24="Yes",IF(ISNUMBER(P24),ROUND(AVERAGE(L24,M24,P24),1),""),IF(O24="No",ROUND(AVERAGE(L24:M24),1),"")))</f>
        <v>45</v>
      </c>
      <c r="R24" s="37" t="str">
        <f aca="false">IF(H24&lt;&gt;"Eligible","Screened out",IF(COUNT(L24:M24)=0,"Not started",IF(COUNT(L24:M24)=1,"One read done",IF(O24="Yes",IF(ISNUMBER(P24),"Complete","Needs third read"),"Complete"))))</f>
        <v>Complete</v>
      </c>
      <c r="S24" s="37" t="n">
        <f aca="false">IF(Q24="","",COUNTIFS($C$5:$C$600,C24,$Q$5:$Q$600,"&gt;"&amp;Q24)+1)</f>
        <v>113</v>
      </c>
      <c r="T24" s="37" t="str">
        <f aca="false">IF(Q24="","",IF(Q24&gt;=Cutoff,"Yes","No"))</f>
        <v>No</v>
      </c>
      <c r="U24" s="49" t="n">
        <f aca="false">IF(T24="Yes",MIN(F24,INDEX(Settings!$G:$G,MATCH(C24,Settings!$E:$E,0))),0)</f>
        <v>0</v>
      </c>
      <c r="V24" s="49" t="str">
        <f aca="false">IF(T24="Yes",SUMIFS($U$5:$U$600,$C$5:$C$600,C24,$Q$5:$Q$600,"&gt;"&amp;Q24)+U24,"")</f>
        <v/>
      </c>
      <c r="W24" s="37" t="str">
        <f aca="false">IF(T24="Yes",IF(V24&lt;=INDEX(PoolList,MATCH(C24,ProgramList,0)),"Within pool","Over pool"),"")</f>
        <v/>
      </c>
      <c r="X24" s="37" t="str">
        <f aca="false">IF(O24="Yes",COUNTIF($O$5:O24,"Yes"),"")</f>
        <v/>
      </c>
    </row>
    <row r="25" customFormat="false" ht="15" hidden="false" customHeight="false" outlineLevel="0" collapsed="false">
      <c r="A25" s="35" t="s">
        <v>219</v>
      </c>
      <c r="B25" s="35" t="s">
        <v>220</v>
      </c>
      <c r="C25" s="35" t="s">
        <v>105</v>
      </c>
      <c r="D25" s="35" t="s">
        <v>221</v>
      </c>
      <c r="E25" s="35" t="s">
        <v>222</v>
      </c>
      <c r="F25" s="42" t="n">
        <v>181000</v>
      </c>
      <c r="G25" s="36" t="n">
        <v>45927</v>
      </c>
      <c r="H25" s="35" t="s">
        <v>54</v>
      </c>
      <c r="I25" s="35" t="s">
        <v>78</v>
      </c>
      <c r="J25" s="35" t="s">
        <v>88</v>
      </c>
      <c r="K25" s="35"/>
      <c r="L25" s="48" t="n">
        <f aca="false">IFERROR(AVERAGEIFS('Score Entry'!$M$5:$M$1276,'Score Entry'!$B$5:$B$1276,A25,'Score Entry'!$E$5:$E$1276,"Primary"),"")</f>
        <v>89</v>
      </c>
      <c r="M25" s="48" t="n">
        <f aca="false">IFERROR(AVERAGEIFS('Score Entry'!$M$5:$M$1276,'Score Entry'!$B$5:$B$1276,A25,'Score Entry'!$E$5:$E$1276,"Secondary"),"")</f>
        <v>80</v>
      </c>
      <c r="N25" s="48" t="n">
        <f aca="false">IF(COUNT(L25:M25)=2,ABS(L25-M25),"")</f>
        <v>9</v>
      </c>
      <c r="O25" s="37" t="str">
        <f aca="false">IF(N25="","",IF(N25&gt;=Threshold,"Yes","No"))</f>
        <v>No</v>
      </c>
      <c r="P25" s="48" t="str">
        <f aca="false">IFERROR(AVERAGEIFS('Score Entry'!$M$5:$M$1276,'Score Entry'!$B$5:$B$1276,A25,'Score Entry'!$E$5:$E$1276,"Third"),"")</f>
        <v/>
      </c>
      <c r="Q25" s="48" t="n">
        <f aca="false">IF(H25&lt;&gt;"Eligible","",IF(O25="Yes",IF(ISNUMBER(P25),ROUND(AVERAGE(L25,M25,P25),1),""),IF(O25="No",ROUND(AVERAGE(L25:M25),1),"")))</f>
        <v>84.5</v>
      </c>
      <c r="R25" s="37" t="str">
        <f aca="false">IF(H25&lt;&gt;"Eligible","Screened out",IF(COUNT(L25:M25)=0,"Not started",IF(COUNT(L25:M25)=1,"One read done",IF(O25="Yes",IF(ISNUMBER(P25),"Complete","Needs third read"),"Complete"))))</f>
        <v>Complete</v>
      </c>
      <c r="S25" s="37" t="n">
        <f aca="false">IF(Q25="","",COUNTIFS($C$5:$C$600,C25,$Q$5:$Q$600,"&gt;"&amp;Q25)+1)</f>
        <v>10</v>
      </c>
      <c r="T25" s="37" t="str">
        <f aca="false">IF(Q25="","",IF(Q25&gt;=Cutoff,"Yes","No"))</f>
        <v>No</v>
      </c>
      <c r="U25" s="49" t="n">
        <f aca="false">IF(T25="Yes",MIN(F25,INDEX(Settings!$G:$G,MATCH(C25,Settings!$E:$E,0))),0)</f>
        <v>0</v>
      </c>
      <c r="V25" s="49" t="str">
        <f aca="false">IF(T25="Yes",SUMIFS($U$5:$U$600,$C$5:$C$600,C25,$Q$5:$Q$600,"&gt;"&amp;Q25)+U25,"")</f>
        <v/>
      </c>
      <c r="W25" s="37" t="str">
        <f aca="false">IF(T25="Yes",IF(V25&lt;=INDEX(PoolList,MATCH(C25,ProgramList,0)),"Within pool","Over pool"),"")</f>
        <v/>
      </c>
      <c r="X25" s="37" t="str">
        <f aca="false">IF(O25="Yes",COUNTIF($O$5:O25,"Yes"),"")</f>
        <v/>
      </c>
    </row>
    <row r="26" customFormat="false" ht="15" hidden="false" customHeight="false" outlineLevel="0" collapsed="false">
      <c r="A26" s="35" t="s">
        <v>223</v>
      </c>
      <c r="B26" s="35" t="s">
        <v>224</v>
      </c>
      <c r="C26" s="35" t="s">
        <v>104</v>
      </c>
      <c r="D26" s="35" t="s">
        <v>180</v>
      </c>
      <c r="E26" s="35" t="s">
        <v>181</v>
      </c>
      <c r="F26" s="42" t="n">
        <v>88000</v>
      </c>
      <c r="G26" s="36" t="n">
        <v>45910</v>
      </c>
      <c r="H26" s="35" t="s">
        <v>54</v>
      </c>
      <c r="I26" s="35" t="s">
        <v>91</v>
      </c>
      <c r="J26" s="35" t="s">
        <v>85</v>
      </c>
      <c r="K26" s="35" t="s">
        <v>78</v>
      </c>
      <c r="L26" s="48" t="n">
        <f aca="false">IFERROR(AVERAGEIFS('Score Entry'!$M$5:$M$1276,'Score Entry'!$B$5:$B$1276,A26,'Score Entry'!$E$5:$E$1276,"Primary"),"")</f>
        <v>80</v>
      </c>
      <c r="M26" s="48" t="n">
        <f aca="false">IFERROR(AVERAGEIFS('Score Entry'!$M$5:$M$1276,'Score Entry'!$B$5:$B$1276,A26,'Score Entry'!$E$5:$E$1276,"Secondary"),"")</f>
        <v>60</v>
      </c>
      <c r="N26" s="48" t="n">
        <f aca="false">IF(COUNT(L26:M26)=2,ABS(L26-M26),"")</f>
        <v>20</v>
      </c>
      <c r="O26" s="37" t="str">
        <f aca="false">IF(N26="","",IF(N26&gt;=Threshold,"Yes","No"))</f>
        <v>Yes</v>
      </c>
      <c r="P26" s="48" t="n">
        <f aca="false">IFERROR(AVERAGEIFS('Score Entry'!$M$5:$M$1276,'Score Entry'!$B$5:$B$1276,A26,'Score Entry'!$E$5:$E$1276,"Third"),"")</f>
        <v>56</v>
      </c>
      <c r="Q26" s="48" t="n">
        <f aca="false">IF(H26&lt;&gt;"Eligible","",IF(O26="Yes",IF(ISNUMBER(P26),ROUND(AVERAGE(L26,M26,P26),1),""),IF(O26="No",ROUND(AVERAGE(L26:M26),1),"")))</f>
        <v>65.3</v>
      </c>
      <c r="R26" s="37" t="str">
        <f aca="false">IF(H26&lt;&gt;"Eligible","Screened out",IF(COUNT(L26:M26)=0,"Not started",IF(COUNT(L26:M26)=1,"One read done",IF(O26="Yes",IF(ISNUMBER(P26),"Complete","Needs third read"),"Complete"))))</f>
        <v>Complete</v>
      </c>
      <c r="S26" s="37" t="n">
        <f aca="false">IF(Q26="","",COUNTIFS($C$5:$C$600,C26,$Q$5:$Q$600,"&gt;"&amp;Q26)+1)</f>
        <v>59</v>
      </c>
      <c r="T26" s="37" t="str">
        <f aca="false">IF(Q26="","",IF(Q26&gt;=Cutoff,"Yes","No"))</f>
        <v>No</v>
      </c>
      <c r="U26" s="49" t="n">
        <f aca="false">IF(T26="Yes",MIN(F26,INDEX(Settings!$G:$G,MATCH(C26,Settings!$E:$E,0))),0)</f>
        <v>0</v>
      </c>
      <c r="V26" s="49" t="str">
        <f aca="false">IF(T26="Yes",SUMIFS($U$5:$U$600,$C$5:$C$600,C26,$Q$5:$Q$600,"&gt;"&amp;Q26)+U26,"")</f>
        <v/>
      </c>
      <c r="W26" s="37" t="str">
        <f aca="false">IF(T26="Yes",IF(V26&lt;=INDEX(PoolList,MATCH(C26,ProgramList,0)),"Within pool","Over pool"),"")</f>
        <v/>
      </c>
      <c r="X26" s="37" t="n">
        <f aca="false">IF(O26="Yes",COUNTIF($O$5:O26,"Yes"),"")</f>
        <v>2</v>
      </c>
    </row>
    <row r="27" customFormat="false" ht="15" hidden="false" customHeight="false" outlineLevel="0" collapsed="false">
      <c r="A27" s="35" t="s">
        <v>225</v>
      </c>
      <c r="B27" s="35" t="s">
        <v>226</v>
      </c>
      <c r="C27" s="35" t="s">
        <v>104</v>
      </c>
      <c r="D27" s="35" t="s">
        <v>221</v>
      </c>
      <c r="E27" s="35" t="s">
        <v>227</v>
      </c>
      <c r="F27" s="42" t="n">
        <v>105500</v>
      </c>
      <c r="G27" s="36" t="n">
        <v>45927</v>
      </c>
      <c r="H27" s="35" t="s">
        <v>54</v>
      </c>
      <c r="I27" s="35" t="s">
        <v>82</v>
      </c>
      <c r="J27" s="35" t="s">
        <v>78</v>
      </c>
      <c r="K27" s="35"/>
      <c r="L27" s="48" t="n">
        <f aca="false">IFERROR(AVERAGEIFS('Score Entry'!$M$5:$M$1276,'Score Entry'!$B$5:$B$1276,A27,'Score Entry'!$E$5:$E$1276,"Primary"),"")</f>
        <v>68</v>
      </c>
      <c r="M27" s="48" t="n">
        <f aca="false">IFERROR(AVERAGEIFS('Score Entry'!$M$5:$M$1276,'Score Entry'!$B$5:$B$1276,A27,'Score Entry'!$E$5:$E$1276,"Secondary"),"")</f>
        <v>64</v>
      </c>
      <c r="N27" s="48" t="n">
        <f aca="false">IF(COUNT(L27:M27)=2,ABS(L27-M27),"")</f>
        <v>4</v>
      </c>
      <c r="O27" s="37" t="str">
        <f aca="false">IF(N27="","",IF(N27&gt;=Threshold,"Yes","No"))</f>
        <v>No</v>
      </c>
      <c r="P27" s="48" t="str">
        <f aca="false">IFERROR(AVERAGEIFS('Score Entry'!$M$5:$M$1276,'Score Entry'!$B$5:$B$1276,A27,'Score Entry'!$E$5:$E$1276,"Third"),"")</f>
        <v/>
      </c>
      <c r="Q27" s="48" t="n">
        <f aca="false">IF(H27&lt;&gt;"Eligible","",IF(O27="Yes",IF(ISNUMBER(P27),ROUND(AVERAGE(L27,M27,P27),1),""),IF(O27="No",ROUND(AVERAGE(L27:M27),1),"")))</f>
        <v>66</v>
      </c>
      <c r="R27" s="37" t="str">
        <f aca="false">IF(H27&lt;&gt;"Eligible","Screened out",IF(COUNT(L27:M27)=0,"Not started",IF(COUNT(L27:M27)=1,"One read done",IF(O27="Yes",IF(ISNUMBER(P27),"Complete","Needs third read"),"Complete"))))</f>
        <v>Complete</v>
      </c>
      <c r="S27" s="37" t="n">
        <f aca="false">IF(Q27="","",COUNTIFS($C$5:$C$600,C27,$Q$5:$Q$600,"&gt;"&amp;Q27)+1)</f>
        <v>54</v>
      </c>
      <c r="T27" s="37" t="str">
        <f aca="false">IF(Q27="","",IF(Q27&gt;=Cutoff,"Yes","No"))</f>
        <v>No</v>
      </c>
      <c r="U27" s="49" t="n">
        <f aca="false">IF(T27="Yes",MIN(F27,INDEX(Settings!$G:$G,MATCH(C27,Settings!$E:$E,0))),0)</f>
        <v>0</v>
      </c>
      <c r="V27" s="49" t="str">
        <f aca="false">IF(T27="Yes",SUMIFS($U$5:$U$600,$C$5:$C$600,C27,$Q$5:$Q$600,"&gt;"&amp;Q27)+U27,"")</f>
        <v/>
      </c>
      <c r="W27" s="37" t="str">
        <f aca="false">IF(T27="Yes",IF(V27&lt;=INDEX(PoolList,MATCH(C27,ProgramList,0)),"Within pool","Over pool"),"")</f>
        <v/>
      </c>
      <c r="X27" s="37" t="str">
        <f aca="false">IF(O27="Yes",COUNTIF($O$5:O27,"Yes"),"")</f>
        <v/>
      </c>
    </row>
    <row r="28" customFormat="false" ht="15" hidden="false" customHeight="false" outlineLevel="0" collapsed="false">
      <c r="A28" s="35" t="s">
        <v>228</v>
      </c>
      <c r="B28" s="35" t="s">
        <v>229</v>
      </c>
      <c r="C28" s="35" t="s">
        <v>104</v>
      </c>
      <c r="D28" s="35" t="s">
        <v>180</v>
      </c>
      <c r="E28" s="35" t="s">
        <v>181</v>
      </c>
      <c r="F28" s="42" t="n">
        <v>118500</v>
      </c>
      <c r="G28" s="36" t="n">
        <v>45927</v>
      </c>
      <c r="H28" s="35" t="s">
        <v>54</v>
      </c>
      <c r="I28" s="35" t="s">
        <v>88</v>
      </c>
      <c r="J28" s="35" t="s">
        <v>91</v>
      </c>
      <c r="K28" s="35" t="s">
        <v>82</v>
      </c>
      <c r="L28" s="48" t="n">
        <f aca="false">IFERROR(AVERAGEIFS('Score Entry'!$M$5:$M$1276,'Score Entry'!$B$5:$B$1276,A28,'Score Entry'!$E$5:$E$1276,"Primary"),"")</f>
        <v>60</v>
      </c>
      <c r="M28" s="48" t="n">
        <f aca="false">IFERROR(AVERAGEIFS('Score Entry'!$M$5:$M$1276,'Score Entry'!$B$5:$B$1276,A28,'Score Entry'!$E$5:$E$1276,"Secondary"),"")</f>
        <v>84</v>
      </c>
      <c r="N28" s="48" t="n">
        <f aca="false">IF(COUNT(L28:M28)=2,ABS(L28-M28),"")</f>
        <v>24</v>
      </c>
      <c r="O28" s="37" t="str">
        <f aca="false">IF(N28="","",IF(N28&gt;=Threshold,"Yes","No"))</f>
        <v>Yes</v>
      </c>
      <c r="P28" s="48" t="str">
        <f aca="false">IFERROR(AVERAGEIFS('Score Entry'!$M$5:$M$1276,'Score Entry'!$B$5:$B$1276,A28,'Score Entry'!$E$5:$E$1276,"Third"),"")</f>
        <v/>
      </c>
      <c r="Q28" s="48" t="str">
        <f aca="false">IF(H28&lt;&gt;"Eligible","",IF(O28="Yes",IF(ISNUMBER(P28),ROUND(AVERAGE(L28,M28,P28),1),""),IF(O28="No",ROUND(AVERAGE(L28:M28),1),"")))</f>
        <v/>
      </c>
      <c r="R28" s="37" t="str">
        <f aca="false">IF(H28&lt;&gt;"Eligible","Screened out",IF(COUNT(L28:M28)=0,"Not started",IF(COUNT(L28:M28)=1,"One read done",IF(O28="Yes",IF(ISNUMBER(P28),"Complete","Needs third read"),"Complete"))))</f>
        <v>Needs third read</v>
      </c>
      <c r="S28" s="37" t="str">
        <f aca="false">IF(Q28="","",COUNTIFS($C$5:$C$600,C28,$Q$5:$Q$600,"&gt;"&amp;Q28)+1)</f>
        <v/>
      </c>
      <c r="T28" s="37" t="str">
        <f aca="false">IF(Q28="","",IF(Q28&gt;=Cutoff,"Yes","No"))</f>
        <v/>
      </c>
      <c r="U28" s="49" t="n">
        <f aca="false">IF(T28="Yes",MIN(F28,INDEX(Settings!$G:$G,MATCH(C28,Settings!$E:$E,0))),0)</f>
        <v>0</v>
      </c>
      <c r="V28" s="49" t="str">
        <f aca="false">IF(T28="Yes",SUMIFS($U$5:$U$600,$C$5:$C$600,C28,$Q$5:$Q$600,"&gt;"&amp;Q28)+U28,"")</f>
        <v/>
      </c>
      <c r="W28" s="37" t="str">
        <f aca="false">IF(T28="Yes",IF(V28&lt;=INDEX(PoolList,MATCH(C28,ProgramList,0)),"Within pool","Over pool"),"")</f>
        <v/>
      </c>
      <c r="X28" s="37" t="n">
        <f aca="false">IF(O28="Yes",COUNTIF($O$5:O28,"Yes"),"")</f>
        <v>3</v>
      </c>
    </row>
    <row r="29" customFormat="false" ht="15" hidden="false" customHeight="false" outlineLevel="0" collapsed="false">
      <c r="A29" s="35" t="s">
        <v>230</v>
      </c>
      <c r="B29" s="35" t="s">
        <v>231</v>
      </c>
      <c r="C29" s="35" t="s">
        <v>105</v>
      </c>
      <c r="D29" s="35" t="s">
        <v>174</v>
      </c>
      <c r="E29" s="35" t="s">
        <v>232</v>
      </c>
      <c r="F29" s="42" t="n">
        <v>111000</v>
      </c>
      <c r="G29" s="36" t="n">
        <v>45927</v>
      </c>
      <c r="H29" s="35" t="s">
        <v>54</v>
      </c>
      <c r="I29" s="35" t="s">
        <v>94</v>
      </c>
      <c r="J29" s="35" t="s">
        <v>78</v>
      </c>
      <c r="K29" s="35"/>
      <c r="L29" s="48" t="n">
        <f aca="false">IFERROR(AVERAGEIFS('Score Entry'!$M$5:$M$1276,'Score Entry'!$B$5:$B$1276,A29,'Score Entry'!$E$5:$E$1276,"Primary"),"")</f>
        <v>92</v>
      </c>
      <c r="M29" s="48" t="n">
        <f aca="false">IFERROR(AVERAGEIFS('Score Entry'!$M$5:$M$1276,'Score Entry'!$B$5:$B$1276,A29,'Score Entry'!$E$5:$E$1276,"Secondary"),"")</f>
        <v>75</v>
      </c>
      <c r="N29" s="48" t="n">
        <f aca="false">IF(COUNT(L29:M29)=2,ABS(L29-M29),"")</f>
        <v>17</v>
      </c>
      <c r="O29" s="37" t="str">
        <f aca="false">IF(N29="","",IF(N29&gt;=Threshold,"Yes","No"))</f>
        <v>No</v>
      </c>
      <c r="P29" s="48" t="str">
        <f aca="false">IFERROR(AVERAGEIFS('Score Entry'!$M$5:$M$1276,'Score Entry'!$B$5:$B$1276,A29,'Score Entry'!$E$5:$E$1276,"Third"),"")</f>
        <v/>
      </c>
      <c r="Q29" s="48" t="n">
        <f aca="false">IF(H29&lt;&gt;"Eligible","",IF(O29="Yes",IF(ISNUMBER(P29),ROUND(AVERAGE(L29,M29,P29),1),""),IF(O29="No",ROUND(AVERAGE(L29:M29),1),"")))</f>
        <v>83.5</v>
      </c>
      <c r="R29" s="37" t="str">
        <f aca="false">IF(H29&lt;&gt;"Eligible","Screened out",IF(COUNT(L29:M29)=0,"Not started",IF(COUNT(L29:M29)=1,"One read done",IF(O29="Yes",IF(ISNUMBER(P29),"Complete","Needs third read"),"Complete"))))</f>
        <v>Complete</v>
      </c>
      <c r="S29" s="37" t="n">
        <f aca="false">IF(Q29="","",COUNTIFS($C$5:$C$600,C29,$Q$5:$Q$600,"&gt;"&amp;Q29)+1)</f>
        <v>13</v>
      </c>
      <c r="T29" s="37" t="str">
        <f aca="false">IF(Q29="","",IF(Q29&gt;=Cutoff,"Yes","No"))</f>
        <v>No</v>
      </c>
      <c r="U29" s="49" t="n">
        <f aca="false">IF(T29="Yes",MIN(F29,INDEX(Settings!$G:$G,MATCH(C29,Settings!$E:$E,0))),0)</f>
        <v>0</v>
      </c>
      <c r="V29" s="49" t="str">
        <f aca="false">IF(T29="Yes",SUMIFS($U$5:$U$600,$C$5:$C$600,C29,$Q$5:$Q$600,"&gt;"&amp;Q29)+U29,"")</f>
        <v/>
      </c>
      <c r="W29" s="37" t="str">
        <f aca="false">IF(T29="Yes",IF(V29&lt;=INDEX(PoolList,MATCH(C29,ProgramList,0)),"Within pool","Over pool"),"")</f>
        <v/>
      </c>
      <c r="X29" s="37" t="str">
        <f aca="false">IF(O29="Yes",COUNTIF($O$5:O29,"Yes"),"")</f>
        <v/>
      </c>
    </row>
    <row r="30" customFormat="false" ht="15" hidden="false" customHeight="false" outlineLevel="0" collapsed="false">
      <c r="A30" s="35" t="s">
        <v>233</v>
      </c>
      <c r="B30" s="35" t="s">
        <v>234</v>
      </c>
      <c r="C30" s="35" t="s">
        <v>106</v>
      </c>
      <c r="D30" s="35" t="s">
        <v>174</v>
      </c>
      <c r="E30" s="35" t="s">
        <v>175</v>
      </c>
      <c r="F30" s="42" t="n">
        <v>66000</v>
      </c>
      <c r="G30" s="36" t="n">
        <v>45915</v>
      </c>
      <c r="H30" s="35" t="s">
        <v>54</v>
      </c>
      <c r="I30" s="35" t="s">
        <v>88</v>
      </c>
      <c r="J30" s="35" t="s">
        <v>85</v>
      </c>
      <c r="K30" s="35"/>
      <c r="L30" s="48" t="n">
        <f aca="false">IFERROR(AVERAGEIFS('Score Entry'!$M$5:$M$1276,'Score Entry'!$B$5:$B$1276,A30,'Score Entry'!$E$5:$E$1276,"Primary"),"")</f>
        <v>95</v>
      </c>
      <c r="M30" s="48" t="n">
        <f aca="false">IFERROR(AVERAGEIFS('Score Entry'!$M$5:$M$1276,'Score Entry'!$B$5:$B$1276,A30,'Score Entry'!$E$5:$E$1276,"Secondary"),"")</f>
        <v>93</v>
      </c>
      <c r="N30" s="48" t="n">
        <f aca="false">IF(COUNT(L30:M30)=2,ABS(L30-M30),"")</f>
        <v>2</v>
      </c>
      <c r="O30" s="37" t="str">
        <f aca="false">IF(N30="","",IF(N30&gt;=Threshold,"Yes","No"))</f>
        <v>No</v>
      </c>
      <c r="P30" s="48" t="str">
        <f aca="false">IFERROR(AVERAGEIFS('Score Entry'!$M$5:$M$1276,'Score Entry'!$B$5:$B$1276,A30,'Score Entry'!$E$5:$E$1276,"Third"),"")</f>
        <v/>
      </c>
      <c r="Q30" s="48" t="n">
        <f aca="false">IF(H30&lt;&gt;"Eligible","",IF(O30="Yes",IF(ISNUMBER(P30),ROUND(AVERAGE(L30,M30,P30),1),""),IF(O30="No",ROUND(AVERAGE(L30:M30),1),"")))</f>
        <v>94</v>
      </c>
      <c r="R30" s="37" t="str">
        <f aca="false">IF(H30&lt;&gt;"Eligible","Screened out",IF(COUNT(L30:M30)=0,"Not started",IF(COUNT(L30:M30)=1,"One read done",IF(O30="Yes",IF(ISNUMBER(P30),"Complete","Needs third read"),"Complete"))))</f>
        <v>Complete</v>
      </c>
      <c r="S30" s="37" t="n">
        <f aca="false">IF(Q30="","",COUNTIFS($C$5:$C$600,C30,$Q$5:$Q$600,"&gt;"&amp;Q30)+1)</f>
        <v>3</v>
      </c>
      <c r="T30" s="37" t="str">
        <f aca="false">IF(Q30="","",IF(Q30&gt;=Cutoff,"Yes","No"))</f>
        <v>Yes</v>
      </c>
      <c r="U30" s="49" t="n">
        <f aca="false">IF(T30="Yes",MIN(F30,INDEX(Settings!$G:$G,MATCH(C30,Settings!$E:$E,0))),0)</f>
        <v>66000</v>
      </c>
      <c r="V30" s="49" t="n">
        <f aca="false">IF(T30="Yes",SUMIFS($U$5:$U$600,$C$5:$C$600,C30,$Q$5:$Q$600,"&gt;"&amp;Q30)+U30,"")</f>
        <v>162500</v>
      </c>
      <c r="W30" s="37" t="str">
        <f aca="false">IF(T30="Yes",IF(V30&lt;=INDEX(PoolList,MATCH(C30,ProgramList,0)),"Within pool","Over pool"),"")</f>
        <v>Within pool</v>
      </c>
      <c r="X30" s="37" t="str">
        <f aca="false">IF(O30="Yes",COUNTIF($O$5:O30,"Yes"),"")</f>
        <v/>
      </c>
    </row>
    <row r="31" customFormat="false" ht="15" hidden="false" customHeight="false" outlineLevel="0" collapsed="false">
      <c r="A31" s="35" t="s">
        <v>235</v>
      </c>
      <c r="B31" s="35" t="s">
        <v>236</v>
      </c>
      <c r="C31" s="35" t="s">
        <v>106</v>
      </c>
      <c r="D31" s="35" t="s">
        <v>174</v>
      </c>
      <c r="E31" s="35" t="s">
        <v>175</v>
      </c>
      <c r="F31" s="42" t="n">
        <v>94000</v>
      </c>
      <c r="G31" s="36" t="n">
        <v>45920</v>
      </c>
      <c r="H31" s="35" t="s">
        <v>54</v>
      </c>
      <c r="I31" s="35" t="s">
        <v>88</v>
      </c>
      <c r="J31" s="35" t="s">
        <v>85</v>
      </c>
      <c r="K31" s="35"/>
      <c r="L31" s="48" t="n">
        <f aca="false">IFERROR(AVERAGEIFS('Score Entry'!$M$5:$M$1276,'Score Entry'!$B$5:$B$1276,A31,'Score Entry'!$E$5:$E$1276,"Primary"),"")</f>
        <v>60</v>
      </c>
      <c r="M31" s="48" t="n">
        <f aca="false">IFERROR(AVERAGEIFS('Score Entry'!$M$5:$M$1276,'Score Entry'!$B$5:$B$1276,A31,'Score Entry'!$E$5:$E$1276,"Secondary"),"")</f>
        <v>66</v>
      </c>
      <c r="N31" s="48" t="n">
        <f aca="false">IF(COUNT(L31:M31)=2,ABS(L31-M31),"")</f>
        <v>6</v>
      </c>
      <c r="O31" s="37" t="str">
        <f aca="false">IF(N31="","",IF(N31&gt;=Threshold,"Yes","No"))</f>
        <v>No</v>
      </c>
      <c r="P31" s="48" t="str">
        <f aca="false">IFERROR(AVERAGEIFS('Score Entry'!$M$5:$M$1276,'Score Entry'!$B$5:$B$1276,A31,'Score Entry'!$E$5:$E$1276,"Third"),"")</f>
        <v/>
      </c>
      <c r="Q31" s="48" t="n">
        <f aca="false">IF(H31&lt;&gt;"Eligible","",IF(O31="Yes",IF(ISNUMBER(P31),ROUND(AVERAGE(L31,M31,P31),1),""),IF(O31="No",ROUND(AVERAGE(L31:M31),1),"")))</f>
        <v>63</v>
      </c>
      <c r="R31" s="37" t="str">
        <f aca="false">IF(H31&lt;&gt;"Eligible","Screened out",IF(COUNT(L31:M31)=0,"Not started",IF(COUNT(L31:M31)=1,"One read done",IF(O31="Yes",IF(ISNUMBER(P31),"Complete","Needs third read"),"Complete"))))</f>
        <v>Complete</v>
      </c>
      <c r="S31" s="37" t="n">
        <f aca="false">IF(Q31="","",COUNTIFS($C$5:$C$600,C31,$Q$5:$Q$600,"&gt;"&amp;Q31)+1)</f>
        <v>76</v>
      </c>
      <c r="T31" s="37" t="str">
        <f aca="false">IF(Q31="","",IF(Q31&gt;=Cutoff,"Yes","No"))</f>
        <v>No</v>
      </c>
      <c r="U31" s="49" t="n">
        <f aca="false">IF(T31="Yes",MIN(F31,INDEX(Settings!$G:$G,MATCH(C31,Settings!$E:$E,0))),0)</f>
        <v>0</v>
      </c>
      <c r="V31" s="49" t="str">
        <f aca="false">IF(T31="Yes",SUMIFS($U$5:$U$600,$C$5:$C$600,C31,$Q$5:$Q$600,"&gt;"&amp;Q31)+U31,"")</f>
        <v/>
      </c>
      <c r="W31" s="37" t="str">
        <f aca="false">IF(T31="Yes",IF(V31&lt;=INDEX(PoolList,MATCH(C31,ProgramList,0)),"Within pool","Over pool"),"")</f>
        <v/>
      </c>
      <c r="X31" s="37" t="str">
        <f aca="false">IF(O31="Yes",COUNTIF($O$5:O31,"Yes"),"")</f>
        <v/>
      </c>
    </row>
    <row r="32" customFormat="false" ht="15" hidden="false" customHeight="false" outlineLevel="0" collapsed="false">
      <c r="A32" s="35" t="s">
        <v>237</v>
      </c>
      <c r="B32" s="35" t="s">
        <v>238</v>
      </c>
      <c r="C32" s="35" t="s">
        <v>106</v>
      </c>
      <c r="D32" s="35" t="s">
        <v>239</v>
      </c>
      <c r="E32" s="35" t="s">
        <v>240</v>
      </c>
      <c r="F32" s="42" t="n">
        <v>103500</v>
      </c>
      <c r="G32" s="36" t="n">
        <v>45911</v>
      </c>
      <c r="H32" s="35" t="s">
        <v>54</v>
      </c>
      <c r="I32" s="35" t="s">
        <v>91</v>
      </c>
      <c r="J32" s="35" t="s">
        <v>94</v>
      </c>
      <c r="K32" s="35"/>
      <c r="L32" s="48" t="n">
        <f aca="false">IFERROR(AVERAGEIFS('Score Entry'!$M$5:$M$1276,'Score Entry'!$B$5:$B$1276,A32,'Score Entry'!$E$5:$E$1276,"Primary"),"")</f>
        <v>74</v>
      </c>
      <c r="M32" s="48" t="n">
        <f aca="false">IFERROR(AVERAGEIFS('Score Entry'!$M$5:$M$1276,'Score Entry'!$B$5:$B$1276,A32,'Score Entry'!$E$5:$E$1276,"Secondary"),"")</f>
        <v>64</v>
      </c>
      <c r="N32" s="48" t="n">
        <f aca="false">IF(COUNT(L32:M32)=2,ABS(L32-M32),"")</f>
        <v>10</v>
      </c>
      <c r="O32" s="37" t="str">
        <f aca="false">IF(N32="","",IF(N32&gt;=Threshold,"Yes","No"))</f>
        <v>No</v>
      </c>
      <c r="P32" s="48" t="str">
        <f aca="false">IFERROR(AVERAGEIFS('Score Entry'!$M$5:$M$1276,'Score Entry'!$B$5:$B$1276,A32,'Score Entry'!$E$5:$E$1276,"Third"),"")</f>
        <v/>
      </c>
      <c r="Q32" s="48" t="n">
        <f aca="false">IF(H32&lt;&gt;"Eligible","",IF(O32="Yes",IF(ISNUMBER(P32),ROUND(AVERAGE(L32,M32,P32),1),""),IF(O32="No",ROUND(AVERAGE(L32:M32),1),"")))</f>
        <v>69</v>
      </c>
      <c r="R32" s="37" t="str">
        <f aca="false">IF(H32&lt;&gt;"Eligible","Screened out",IF(COUNT(L32:M32)=0,"Not started",IF(COUNT(L32:M32)=1,"One read done",IF(O32="Yes",IF(ISNUMBER(P32),"Complete","Needs third read"),"Complete"))))</f>
        <v>Complete</v>
      </c>
      <c r="S32" s="37" t="n">
        <f aca="false">IF(Q32="","",COUNTIFS($C$5:$C$600,C32,$Q$5:$Q$600,"&gt;"&amp;Q32)+1)</f>
        <v>56</v>
      </c>
      <c r="T32" s="37" t="str">
        <f aca="false">IF(Q32="","",IF(Q32&gt;=Cutoff,"Yes","No"))</f>
        <v>No</v>
      </c>
      <c r="U32" s="49" t="n">
        <f aca="false">IF(T32="Yes",MIN(F32,INDEX(Settings!$G:$G,MATCH(C32,Settings!$E:$E,0))),0)</f>
        <v>0</v>
      </c>
      <c r="V32" s="49" t="str">
        <f aca="false">IF(T32="Yes",SUMIFS($U$5:$U$600,$C$5:$C$600,C32,$Q$5:$Q$600,"&gt;"&amp;Q32)+U32,"")</f>
        <v/>
      </c>
      <c r="W32" s="37" t="str">
        <f aca="false">IF(T32="Yes",IF(V32&lt;=INDEX(PoolList,MATCH(C32,ProgramList,0)),"Within pool","Over pool"),"")</f>
        <v/>
      </c>
      <c r="X32" s="37" t="str">
        <f aca="false">IF(O32="Yes",COUNTIF($O$5:O32,"Yes"),"")</f>
        <v/>
      </c>
    </row>
    <row r="33" customFormat="false" ht="15" hidden="false" customHeight="false" outlineLevel="0" collapsed="false">
      <c r="A33" s="35" t="s">
        <v>241</v>
      </c>
      <c r="B33" s="35" t="s">
        <v>242</v>
      </c>
      <c r="C33" s="35" t="s">
        <v>104</v>
      </c>
      <c r="D33" s="35" t="s">
        <v>221</v>
      </c>
      <c r="E33" s="35" t="s">
        <v>222</v>
      </c>
      <c r="F33" s="42" t="n">
        <v>86000</v>
      </c>
      <c r="G33" s="36" t="n">
        <v>45926</v>
      </c>
      <c r="H33" s="35" t="s">
        <v>54</v>
      </c>
      <c r="I33" s="35" t="s">
        <v>82</v>
      </c>
      <c r="J33" s="35" t="s">
        <v>78</v>
      </c>
      <c r="K33" s="35"/>
      <c r="L33" s="48" t="n">
        <f aca="false">IFERROR(AVERAGEIFS('Score Entry'!$M$5:$M$1276,'Score Entry'!$B$5:$B$1276,A33,'Score Entry'!$E$5:$E$1276,"Primary"),"")</f>
        <v>49</v>
      </c>
      <c r="M33" s="48" t="n">
        <f aca="false">IFERROR(AVERAGEIFS('Score Entry'!$M$5:$M$1276,'Score Entry'!$B$5:$B$1276,A33,'Score Entry'!$E$5:$E$1276,"Secondary"),"")</f>
        <v>64</v>
      </c>
      <c r="N33" s="48" t="n">
        <f aca="false">IF(COUNT(L33:M33)=2,ABS(L33-M33),"")</f>
        <v>15</v>
      </c>
      <c r="O33" s="37" t="str">
        <f aca="false">IF(N33="","",IF(N33&gt;=Threshold,"Yes","No"))</f>
        <v>No</v>
      </c>
      <c r="P33" s="48" t="str">
        <f aca="false">IFERROR(AVERAGEIFS('Score Entry'!$M$5:$M$1276,'Score Entry'!$B$5:$B$1276,A33,'Score Entry'!$E$5:$E$1276,"Third"),"")</f>
        <v/>
      </c>
      <c r="Q33" s="48" t="n">
        <f aca="false">IF(H33&lt;&gt;"Eligible","",IF(O33="Yes",IF(ISNUMBER(P33),ROUND(AVERAGE(L33,M33,P33),1),""),IF(O33="No",ROUND(AVERAGE(L33:M33),1),"")))</f>
        <v>56.5</v>
      </c>
      <c r="R33" s="37" t="str">
        <f aca="false">IF(H33&lt;&gt;"Eligible","Screened out",IF(COUNT(L33:M33)=0,"Not started",IF(COUNT(L33:M33)=1,"One read done",IF(O33="Yes",IF(ISNUMBER(P33),"Complete","Needs third read"),"Complete"))))</f>
        <v>Complete</v>
      </c>
      <c r="S33" s="37" t="n">
        <f aca="false">IF(Q33="","",COUNTIFS($C$5:$C$600,C33,$Q$5:$Q$600,"&gt;"&amp;Q33)+1)</f>
        <v>87</v>
      </c>
      <c r="T33" s="37" t="str">
        <f aca="false">IF(Q33="","",IF(Q33&gt;=Cutoff,"Yes","No"))</f>
        <v>No</v>
      </c>
      <c r="U33" s="49" t="n">
        <f aca="false">IF(T33="Yes",MIN(F33,INDEX(Settings!$G:$G,MATCH(C33,Settings!$E:$E,0))),0)</f>
        <v>0</v>
      </c>
      <c r="V33" s="49" t="str">
        <f aca="false">IF(T33="Yes",SUMIFS($U$5:$U$600,$C$5:$C$600,C33,$Q$5:$Q$600,"&gt;"&amp;Q33)+U33,"")</f>
        <v/>
      </c>
      <c r="W33" s="37" t="str">
        <f aca="false">IF(T33="Yes",IF(V33&lt;=INDEX(PoolList,MATCH(C33,ProgramList,0)),"Within pool","Over pool"),"")</f>
        <v/>
      </c>
      <c r="X33" s="37" t="str">
        <f aca="false">IF(O33="Yes",COUNTIF($O$5:O33,"Yes"),"")</f>
        <v/>
      </c>
    </row>
    <row r="34" customFormat="false" ht="15" hidden="false" customHeight="false" outlineLevel="0" collapsed="false">
      <c r="A34" s="35" t="s">
        <v>243</v>
      </c>
      <c r="B34" s="35" t="s">
        <v>244</v>
      </c>
      <c r="C34" s="35" t="s">
        <v>105</v>
      </c>
      <c r="D34" s="35" t="s">
        <v>174</v>
      </c>
      <c r="E34" s="35" t="s">
        <v>175</v>
      </c>
      <c r="F34" s="42" t="n">
        <v>66000</v>
      </c>
      <c r="G34" s="36" t="n">
        <v>45918</v>
      </c>
      <c r="H34" s="35" t="s">
        <v>54</v>
      </c>
      <c r="I34" s="35" t="s">
        <v>82</v>
      </c>
      <c r="J34" s="35" t="s">
        <v>85</v>
      </c>
      <c r="K34" s="35"/>
      <c r="L34" s="48" t="n">
        <f aca="false">IFERROR(AVERAGEIFS('Score Entry'!$M$5:$M$1276,'Score Entry'!$B$5:$B$1276,A34,'Score Entry'!$E$5:$E$1276,"Primary"),"")</f>
        <v>70</v>
      </c>
      <c r="M34" s="48" t="n">
        <f aca="false">IFERROR(AVERAGEIFS('Score Entry'!$M$5:$M$1276,'Score Entry'!$B$5:$B$1276,A34,'Score Entry'!$E$5:$E$1276,"Secondary"),"")</f>
        <v>64</v>
      </c>
      <c r="N34" s="48" t="n">
        <f aca="false">IF(COUNT(L34:M34)=2,ABS(L34-M34),"")</f>
        <v>6</v>
      </c>
      <c r="O34" s="37" t="str">
        <f aca="false">IF(N34="","",IF(N34&gt;=Threshold,"Yes","No"))</f>
        <v>No</v>
      </c>
      <c r="P34" s="48" t="str">
        <f aca="false">IFERROR(AVERAGEIFS('Score Entry'!$M$5:$M$1276,'Score Entry'!$B$5:$B$1276,A34,'Score Entry'!$E$5:$E$1276,"Third"),"")</f>
        <v/>
      </c>
      <c r="Q34" s="48" t="n">
        <f aca="false">IF(H34&lt;&gt;"Eligible","",IF(O34="Yes",IF(ISNUMBER(P34),ROUND(AVERAGE(L34,M34,P34),1),""),IF(O34="No",ROUND(AVERAGE(L34:M34),1),"")))</f>
        <v>67</v>
      </c>
      <c r="R34" s="37" t="str">
        <f aca="false">IF(H34&lt;&gt;"Eligible","Screened out",IF(COUNT(L34:M34)=0,"Not started",IF(COUNT(L34:M34)=1,"One read done",IF(O34="Yes",IF(ISNUMBER(P34),"Complete","Needs third read"),"Complete"))))</f>
        <v>Complete</v>
      </c>
      <c r="S34" s="37" t="n">
        <f aca="false">IF(Q34="","",COUNTIFS($C$5:$C$600,C34,$Q$5:$Q$600,"&gt;"&amp;Q34)+1)</f>
        <v>53</v>
      </c>
      <c r="T34" s="37" t="str">
        <f aca="false">IF(Q34="","",IF(Q34&gt;=Cutoff,"Yes","No"))</f>
        <v>No</v>
      </c>
      <c r="U34" s="49" t="n">
        <f aca="false">IF(T34="Yes",MIN(F34,INDEX(Settings!$G:$G,MATCH(C34,Settings!$E:$E,0))),0)</f>
        <v>0</v>
      </c>
      <c r="V34" s="49" t="str">
        <f aca="false">IF(T34="Yes",SUMIFS($U$5:$U$600,$C$5:$C$600,C34,$Q$5:$Q$600,"&gt;"&amp;Q34)+U34,"")</f>
        <v/>
      </c>
      <c r="W34" s="37" t="str">
        <f aca="false">IF(T34="Yes",IF(V34&lt;=INDEX(PoolList,MATCH(C34,ProgramList,0)),"Within pool","Over pool"),"")</f>
        <v/>
      </c>
      <c r="X34" s="37" t="str">
        <f aca="false">IF(O34="Yes",COUNTIF($O$5:O34,"Yes"),"")</f>
        <v/>
      </c>
    </row>
    <row r="35" customFormat="false" ht="15" hidden="false" customHeight="false" outlineLevel="0" collapsed="false">
      <c r="A35" s="35" t="s">
        <v>245</v>
      </c>
      <c r="B35" s="35" t="s">
        <v>246</v>
      </c>
      <c r="C35" s="35" t="s">
        <v>105</v>
      </c>
      <c r="D35" s="35" t="s">
        <v>239</v>
      </c>
      <c r="E35" s="35" t="s">
        <v>247</v>
      </c>
      <c r="F35" s="42" t="n">
        <v>202500</v>
      </c>
      <c r="G35" s="36" t="n">
        <v>45920</v>
      </c>
      <c r="H35" s="35" t="s">
        <v>54</v>
      </c>
      <c r="I35" s="35" t="s">
        <v>91</v>
      </c>
      <c r="J35" s="35" t="s">
        <v>85</v>
      </c>
      <c r="K35" s="35"/>
      <c r="L35" s="48" t="n">
        <f aca="false">IFERROR(AVERAGEIFS('Score Entry'!$M$5:$M$1276,'Score Entry'!$B$5:$B$1276,A35,'Score Entry'!$E$5:$E$1276,"Primary"),"")</f>
        <v>68</v>
      </c>
      <c r="M35" s="48" t="n">
        <f aca="false">IFERROR(AVERAGEIFS('Score Entry'!$M$5:$M$1276,'Score Entry'!$B$5:$B$1276,A35,'Score Entry'!$E$5:$E$1276,"Secondary"),"")</f>
        <v>65</v>
      </c>
      <c r="N35" s="48" t="n">
        <f aca="false">IF(COUNT(L35:M35)=2,ABS(L35-M35),"")</f>
        <v>3</v>
      </c>
      <c r="O35" s="37" t="str">
        <f aca="false">IF(N35="","",IF(N35&gt;=Threshold,"Yes","No"))</f>
        <v>No</v>
      </c>
      <c r="P35" s="48" t="str">
        <f aca="false">IFERROR(AVERAGEIFS('Score Entry'!$M$5:$M$1276,'Score Entry'!$B$5:$B$1276,A35,'Score Entry'!$E$5:$E$1276,"Third"),"")</f>
        <v/>
      </c>
      <c r="Q35" s="48" t="n">
        <f aca="false">IF(H35&lt;&gt;"Eligible","",IF(O35="Yes",IF(ISNUMBER(P35),ROUND(AVERAGE(L35,M35,P35),1),""),IF(O35="No",ROUND(AVERAGE(L35:M35),1),"")))</f>
        <v>66.5</v>
      </c>
      <c r="R35" s="37" t="str">
        <f aca="false">IF(H35&lt;&gt;"Eligible","Screened out",IF(COUNT(L35:M35)=0,"Not started",IF(COUNT(L35:M35)=1,"One read done",IF(O35="Yes",IF(ISNUMBER(P35),"Complete","Needs third read"),"Complete"))))</f>
        <v>Complete</v>
      </c>
      <c r="S35" s="37" t="n">
        <f aca="false">IF(Q35="","",COUNTIFS($C$5:$C$600,C35,$Q$5:$Q$600,"&gt;"&amp;Q35)+1)</f>
        <v>55</v>
      </c>
      <c r="T35" s="37" t="str">
        <f aca="false">IF(Q35="","",IF(Q35&gt;=Cutoff,"Yes","No"))</f>
        <v>No</v>
      </c>
      <c r="U35" s="49" t="n">
        <f aca="false">IF(T35="Yes",MIN(F35,INDEX(Settings!$G:$G,MATCH(C35,Settings!$E:$E,0))),0)</f>
        <v>0</v>
      </c>
      <c r="V35" s="49" t="str">
        <f aca="false">IF(T35="Yes",SUMIFS($U$5:$U$600,$C$5:$C$600,C35,$Q$5:$Q$600,"&gt;"&amp;Q35)+U35,"")</f>
        <v/>
      </c>
      <c r="W35" s="37" t="str">
        <f aca="false">IF(T35="Yes",IF(V35&lt;=INDEX(PoolList,MATCH(C35,ProgramList,0)),"Within pool","Over pool"),"")</f>
        <v/>
      </c>
      <c r="X35" s="37" t="str">
        <f aca="false">IF(O35="Yes",COUNTIF($O$5:O35,"Yes"),"")</f>
        <v/>
      </c>
    </row>
    <row r="36" customFormat="false" ht="15" hidden="false" customHeight="false" outlineLevel="0" collapsed="false">
      <c r="A36" s="35" t="s">
        <v>248</v>
      </c>
      <c r="B36" s="35" t="s">
        <v>249</v>
      </c>
      <c r="C36" s="35" t="s">
        <v>103</v>
      </c>
      <c r="D36" s="35" t="s">
        <v>174</v>
      </c>
      <c r="E36" s="35" t="s">
        <v>175</v>
      </c>
      <c r="F36" s="42" t="n">
        <v>72500</v>
      </c>
      <c r="G36" s="36" t="n">
        <v>45926</v>
      </c>
      <c r="H36" s="35" t="s">
        <v>54</v>
      </c>
      <c r="I36" s="35" t="s">
        <v>88</v>
      </c>
      <c r="J36" s="35" t="s">
        <v>94</v>
      </c>
      <c r="K36" s="35"/>
      <c r="L36" s="48" t="n">
        <f aca="false">IFERROR(AVERAGEIFS('Score Entry'!$M$5:$M$1276,'Score Entry'!$B$5:$B$1276,A36,'Score Entry'!$E$5:$E$1276,"Primary"),"")</f>
        <v>54</v>
      </c>
      <c r="M36" s="48" t="n">
        <f aca="false">IFERROR(AVERAGEIFS('Score Entry'!$M$5:$M$1276,'Score Entry'!$B$5:$B$1276,A36,'Score Entry'!$E$5:$E$1276,"Secondary"),"")</f>
        <v>55</v>
      </c>
      <c r="N36" s="48" t="n">
        <f aca="false">IF(COUNT(L36:M36)=2,ABS(L36-M36),"")</f>
        <v>1</v>
      </c>
      <c r="O36" s="37" t="str">
        <f aca="false">IF(N36="","",IF(N36&gt;=Threshold,"Yes","No"))</f>
        <v>No</v>
      </c>
      <c r="P36" s="48" t="str">
        <f aca="false">IFERROR(AVERAGEIFS('Score Entry'!$M$5:$M$1276,'Score Entry'!$B$5:$B$1276,A36,'Score Entry'!$E$5:$E$1276,"Third"),"")</f>
        <v/>
      </c>
      <c r="Q36" s="48" t="n">
        <f aca="false">IF(H36&lt;&gt;"Eligible","",IF(O36="Yes",IF(ISNUMBER(P36),ROUND(AVERAGE(L36,M36,P36),1),""),IF(O36="No",ROUND(AVERAGE(L36:M36),1),"")))</f>
        <v>54.5</v>
      </c>
      <c r="R36" s="37" t="str">
        <f aca="false">IF(H36&lt;&gt;"Eligible","Screened out",IF(COUNT(L36:M36)=0,"Not started",IF(COUNT(L36:M36)=1,"One read done",IF(O36="Yes",IF(ISNUMBER(P36),"Complete","Needs third read"),"Complete"))))</f>
        <v>Complete</v>
      </c>
      <c r="S36" s="37" t="n">
        <f aca="false">IF(Q36="","",COUNTIFS($C$5:$C$600,C36,$Q$5:$Q$600,"&gt;"&amp;Q36)+1)</f>
        <v>136</v>
      </c>
      <c r="T36" s="37" t="str">
        <f aca="false">IF(Q36="","",IF(Q36&gt;=Cutoff,"Yes","No"))</f>
        <v>No</v>
      </c>
      <c r="U36" s="49" t="n">
        <f aca="false">IF(T36="Yes",MIN(F36,INDEX(Settings!$G:$G,MATCH(C36,Settings!$E:$E,0))),0)</f>
        <v>0</v>
      </c>
      <c r="V36" s="49" t="str">
        <f aca="false">IF(T36="Yes",SUMIFS($U$5:$U$600,$C$5:$C$600,C36,$Q$5:$Q$600,"&gt;"&amp;Q36)+U36,"")</f>
        <v/>
      </c>
      <c r="W36" s="37" t="str">
        <f aca="false">IF(T36="Yes",IF(V36&lt;=INDEX(PoolList,MATCH(C36,ProgramList,0)),"Within pool","Over pool"),"")</f>
        <v/>
      </c>
      <c r="X36" s="37" t="str">
        <f aca="false">IF(O36="Yes",COUNTIF($O$5:O36,"Yes"),"")</f>
        <v/>
      </c>
    </row>
    <row r="37" customFormat="false" ht="15" hidden="false" customHeight="false" outlineLevel="0" collapsed="false">
      <c r="A37" s="35" t="s">
        <v>250</v>
      </c>
      <c r="B37" s="35" t="s">
        <v>251</v>
      </c>
      <c r="C37" s="35" t="s">
        <v>105</v>
      </c>
      <c r="D37" s="35" t="s">
        <v>180</v>
      </c>
      <c r="E37" s="35" t="s">
        <v>252</v>
      </c>
      <c r="F37" s="42" t="n">
        <v>101500</v>
      </c>
      <c r="G37" s="36" t="n">
        <v>45927</v>
      </c>
      <c r="H37" s="35" t="s">
        <v>54</v>
      </c>
      <c r="I37" s="35" t="s">
        <v>78</v>
      </c>
      <c r="J37" s="35" t="s">
        <v>91</v>
      </c>
      <c r="K37" s="35"/>
      <c r="L37" s="48" t="n">
        <f aca="false">IFERROR(AVERAGEIFS('Score Entry'!$M$5:$M$1276,'Score Entry'!$B$5:$B$1276,A37,'Score Entry'!$E$5:$E$1276,"Primary"),"")</f>
        <v>86</v>
      </c>
      <c r="M37" s="48" t="n">
        <f aca="false">IFERROR(AVERAGEIFS('Score Entry'!$M$5:$M$1276,'Score Entry'!$B$5:$B$1276,A37,'Score Entry'!$E$5:$E$1276,"Secondary"),"")</f>
        <v>91</v>
      </c>
      <c r="N37" s="48" t="n">
        <f aca="false">IF(COUNT(L37:M37)=2,ABS(L37-M37),"")</f>
        <v>5</v>
      </c>
      <c r="O37" s="37" t="str">
        <f aca="false">IF(N37="","",IF(N37&gt;=Threshold,"Yes","No"))</f>
        <v>No</v>
      </c>
      <c r="P37" s="48" t="str">
        <f aca="false">IFERROR(AVERAGEIFS('Score Entry'!$M$5:$M$1276,'Score Entry'!$B$5:$B$1276,A37,'Score Entry'!$E$5:$E$1276,"Third"),"")</f>
        <v/>
      </c>
      <c r="Q37" s="48" t="n">
        <f aca="false">IF(H37&lt;&gt;"Eligible","",IF(O37="Yes",IF(ISNUMBER(P37),ROUND(AVERAGE(L37,M37,P37),1),""),IF(O37="No",ROUND(AVERAGE(L37:M37),1),"")))</f>
        <v>88.5</v>
      </c>
      <c r="R37" s="37" t="str">
        <f aca="false">IF(H37&lt;&gt;"Eligible","Screened out",IF(COUNT(L37:M37)=0,"Not started",IF(COUNT(L37:M37)=1,"One read done",IF(O37="Yes",IF(ISNUMBER(P37),"Complete","Needs third read"),"Complete"))))</f>
        <v>Complete</v>
      </c>
      <c r="S37" s="37" t="n">
        <f aca="false">IF(Q37="","",COUNTIFS($C$5:$C$600,C37,$Q$5:$Q$600,"&gt;"&amp;Q37)+1)</f>
        <v>5</v>
      </c>
      <c r="T37" s="37" t="str">
        <f aca="false">IF(Q37="","",IF(Q37&gt;=Cutoff,"Yes","No"))</f>
        <v>Yes</v>
      </c>
      <c r="U37" s="49" t="n">
        <f aca="false">IF(T37="Yes",MIN(F37,INDEX(Settings!$G:$G,MATCH(C37,Settings!$E:$E,0))),0)</f>
        <v>101500</v>
      </c>
      <c r="V37" s="49" t="n">
        <f aca="false">IF(T37="Yes",SUMIFS($U$5:$U$600,$C$5:$C$600,C37,$Q$5:$Q$600,"&gt;"&amp;Q37)+U37,"")</f>
        <v>347500</v>
      </c>
      <c r="W37" s="37" t="str">
        <f aca="false">IF(T37="Yes",IF(V37&lt;=INDEX(PoolList,MATCH(C37,ProgramList,0)),"Within pool","Over pool"),"")</f>
        <v>Within pool</v>
      </c>
      <c r="X37" s="37" t="str">
        <f aca="false">IF(O37="Yes",COUNTIF($O$5:O37,"Yes"),"")</f>
        <v/>
      </c>
    </row>
    <row r="38" customFormat="false" ht="15" hidden="false" customHeight="false" outlineLevel="0" collapsed="false">
      <c r="A38" s="35" t="s">
        <v>253</v>
      </c>
      <c r="B38" s="35" t="s">
        <v>254</v>
      </c>
      <c r="C38" s="35" t="s">
        <v>103</v>
      </c>
      <c r="D38" s="35" t="s">
        <v>239</v>
      </c>
      <c r="E38" s="35" t="s">
        <v>255</v>
      </c>
      <c r="F38" s="42" t="n">
        <v>208000</v>
      </c>
      <c r="G38" s="36" t="n">
        <v>45916</v>
      </c>
      <c r="H38" s="35" t="s">
        <v>54</v>
      </c>
      <c r="I38" s="35" t="s">
        <v>82</v>
      </c>
      <c r="J38" s="35" t="s">
        <v>88</v>
      </c>
      <c r="K38" s="35"/>
      <c r="L38" s="48" t="n">
        <f aca="false">IFERROR(AVERAGEIFS('Score Entry'!$M$5:$M$1276,'Score Entry'!$B$5:$B$1276,A38,'Score Entry'!$E$5:$E$1276,"Primary"),"")</f>
        <v>57</v>
      </c>
      <c r="M38" s="48" t="n">
        <f aca="false">IFERROR(AVERAGEIFS('Score Entry'!$M$5:$M$1276,'Score Entry'!$B$5:$B$1276,A38,'Score Entry'!$E$5:$E$1276,"Secondary"),"")</f>
        <v>55</v>
      </c>
      <c r="N38" s="48" t="n">
        <f aca="false">IF(COUNT(L38:M38)=2,ABS(L38-M38),"")</f>
        <v>2</v>
      </c>
      <c r="O38" s="37" t="str">
        <f aca="false">IF(N38="","",IF(N38&gt;=Threshold,"Yes","No"))</f>
        <v>No</v>
      </c>
      <c r="P38" s="48" t="str">
        <f aca="false">IFERROR(AVERAGEIFS('Score Entry'!$M$5:$M$1276,'Score Entry'!$B$5:$B$1276,A38,'Score Entry'!$E$5:$E$1276,"Third"),"")</f>
        <v/>
      </c>
      <c r="Q38" s="48" t="n">
        <f aca="false">IF(H38&lt;&gt;"Eligible","",IF(O38="Yes",IF(ISNUMBER(P38),ROUND(AVERAGE(L38,M38,P38),1),""),IF(O38="No",ROUND(AVERAGE(L38:M38),1),"")))</f>
        <v>56</v>
      </c>
      <c r="R38" s="37" t="str">
        <f aca="false">IF(H38&lt;&gt;"Eligible","Screened out",IF(COUNT(L38:M38)=0,"Not started",IF(COUNT(L38:M38)=1,"One read done",IF(O38="Yes",IF(ISNUMBER(P38),"Complete","Needs third read"),"Complete"))))</f>
        <v>Complete</v>
      </c>
      <c r="S38" s="37" t="n">
        <f aca="false">IF(Q38="","",COUNTIFS($C$5:$C$600,C38,$Q$5:$Q$600,"&gt;"&amp;Q38)+1)</f>
        <v>126</v>
      </c>
      <c r="T38" s="37" t="str">
        <f aca="false">IF(Q38="","",IF(Q38&gt;=Cutoff,"Yes","No"))</f>
        <v>No</v>
      </c>
      <c r="U38" s="49" t="n">
        <f aca="false">IF(T38="Yes",MIN(F38,INDEX(Settings!$G:$G,MATCH(C38,Settings!$E:$E,0))),0)</f>
        <v>0</v>
      </c>
      <c r="V38" s="49" t="str">
        <f aca="false">IF(T38="Yes",SUMIFS($U$5:$U$600,$C$5:$C$600,C38,$Q$5:$Q$600,"&gt;"&amp;Q38)+U38,"")</f>
        <v/>
      </c>
      <c r="W38" s="37" t="str">
        <f aca="false">IF(T38="Yes",IF(V38&lt;=INDEX(PoolList,MATCH(C38,ProgramList,0)),"Within pool","Over pool"),"")</f>
        <v/>
      </c>
      <c r="X38" s="37" t="str">
        <f aca="false">IF(O38="Yes",COUNTIF($O$5:O38,"Yes"),"")</f>
        <v/>
      </c>
    </row>
    <row r="39" customFormat="false" ht="15" hidden="false" customHeight="false" outlineLevel="0" collapsed="false">
      <c r="A39" s="35" t="s">
        <v>256</v>
      </c>
      <c r="B39" s="35" t="s">
        <v>257</v>
      </c>
      <c r="C39" s="35" t="s">
        <v>103</v>
      </c>
      <c r="D39" s="35" t="s">
        <v>221</v>
      </c>
      <c r="E39" s="35" t="s">
        <v>258</v>
      </c>
      <c r="F39" s="42" t="n">
        <v>94500</v>
      </c>
      <c r="G39" s="36" t="n">
        <v>45927</v>
      </c>
      <c r="H39" s="35" t="s">
        <v>54</v>
      </c>
      <c r="I39" s="35" t="s">
        <v>82</v>
      </c>
      <c r="J39" s="35" t="s">
        <v>78</v>
      </c>
      <c r="K39" s="35"/>
      <c r="L39" s="48" t="n">
        <f aca="false">IFERROR(AVERAGEIFS('Score Entry'!$M$5:$M$1276,'Score Entry'!$B$5:$B$1276,A39,'Score Entry'!$E$5:$E$1276,"Primary"),"")</f>
        <v>75</v>
      </c>
      <c r="M39" s="48" t="n">
        <f aca="false">IFERROR(AVERAGEIFS('Score Entry'!$M$5:$M$1276,'Score Entry'!$B$5:$B$1276,A39,'Score Entry'!$E$5:$E$1276,"Secondary"),"")</f>
        <v>68</v>
      </c>
      <c r="N39" s="48" t="n">
        <f aca="false">IF(COUNT(L39:M39)=2,ABS(L39-M39),"")</f>
        <v>7</v>
      </c>
      <c r="O39" s="37" t="str">
        <f aca="false">IF(N39="","",IF(N39&gt;=Threshold,"Yes","No"))</f>
        <v>No</v>
      </c>
      <c r="P39" s="48" t="str">
        <f aca="false">IFERROR(AVERAGEIFS('Score Entry'!$M$5:$M$1276,'Score Entry'!$B$5:$B$1276,A39,'Score Entry'!$E$5:$E$1276,"Third"),"")</f>
        <v/>
      </c>
      <c r="Q39" s="48" t="n">
        <f aca="false">IF(H39&lt;&gt;"Eligible","",IF(O39="Yes",IF(ISNUMBER(P39),ROUND(AVERAGE(L39,M39,P39),1),""),IF(O39="No",ROUND(AVERAGE(L39:M39),1),"")))</f>
        <v>71.5</v>
      </c>
      <c r="R39" s="37" t="str">
        <f aca="false">IF(H39&lt;&gt;"Eligible","Screened out",IF(COUNT(L39:M39)=0,"Not started",IF(COUNT(L39:M39)=1,"One read done",IF(O39="Yes",IF(ISNUMBER(P39),"Complete","Needs third read"),"Complete"))))</f>
        <v>Complete</v>
      </c>
      <c r="S39" s="37" t="n">
        <f aca="false">IF(Q39="","",COUNTIFS($C$5:$C$600,C39,$Q$5:$Q$600,"&gt;"&amp;Q39)+1)</f>
        <v>56</v>
      </c>
      <c r="T39" s="37" t="str">
        <f aca="false">IF(Q39="","",IF(Q39&gt;=Cutoff,"Yes","No"))</f>
        <v>No</v>
      </c>
      <c r="U39" s="49" t="n">
        <f aca="false">IF(T39="Yes",MIN(F39,INDEX(Settings!$G:$G,MATCH(C39,Settings!$E:$E,0))),0)</f>
        <v>0</v>
      </c>
      <c r="V39" s="49" t="str">
        <f aca="false">IF(T39="Yes",SUMIFS($U$5:$U$600,$C$5:$C$600,C39,$Q$5:$Q$600,"&gt;"&amp;Q39)+U39,"")</f>
        <v/>
      </c>
      <c r="W39" s="37" t="str">
        <f aca="false">IF(T39="Yes",IF(V39&lt;=INDEX(PoolList,MATCH(C39,ProgramList,0)),"Within pool","Over pool"),"")</f>
        <v/>
      </c>
      <c r="X39" s="37" t="str">
        <f aca="false">IF(O39="Yes",COUNTIF($O$5:O39,"Yes"),"")</f>
        <v/>
      </c>
    </row>
    <row r="40" customFormat="false" ht="15" hidden="false" customHeight="false" outlineLevel="0" collapsed="false">
      <c r="A40" s="35" t="s">
        <v>259</v>
      </c>
      <c r="B40" s="35" t="s">
        <v>260</v>
      </c>
      <c r="C40" s="35" t="s">
        <v>106</v>
      </c>
      <c r="D40" s="35" t="s">
        <v>190</v>
      </c>
      <c r="E40" s="35" t="s">
        <v>191</v>
      </c>
      <c r="F40" s="42" t="n">
        <v>34500</v>
      </c>
      <c r="G40" s="36" t="n">
        <v>45927</v>
      </c>
      <c r="H40" s="35" t="s">
        <v>54</v>
      </c>
      <c r="I40" s="35" t="s">
        <v>85</v>
      </c>
      <c r="J40" s="35" t="s">
        <v>82</v>
      </c>
      <c r="K40" s="35"/>
      <c r="L40" s="48" t="n">
        <f aca="false">IFERROR(AVERAGEIFS('Score Entry'!$M$5:$M$1276,'Score Entry'!$B$5:$B$1276,A40,'Score Entry'!$E$5:$E$1276,"Primary"),"")</f>
        <v>97</v>
      </c>
      <c r="M40" s="48" t="n">
        <f aca="false">IFERROR(AVERAGEIFS('Score Entry'!$M$5:$M$1276,'Score Entry'!$B$5:$B$1276,A40,'Score Entry'!$E$5:$E$1276,"Secondary"),"")</f>
        <v>97</v>
      </c>
      <c r="N40" s="48" t="n">
        <f aca="false">IF(COUNT(L40:M40)=2,ABS(L40-M40),"")</f>
        <v>0</v>
      </c>
      <c r="O40" s="37" t="str">
        <f aca="false">IF(N40="","",IF(N40&gt;=Threshold,"Yes","No"))</f>
        <v>No</v>
      </c>
      <c r="P40" s="48" t="str">
        <f aca="false">IFERROR(AVERAGEIFS('Score Entry'!$M$5:$M$1276,'Score Entry'!$B$5:$B$1276,A40,'Score Entry'!$E$5:$E$1276,"Third"),"")</f>
        <v/>
      </c>
      <c r="Q40" s="48" t="n">
        <f aca="false">IF(H40&lt;&gt;"Eligible","",IF(O40="Yes",IF(ISNUMBER(P40),ROUND(AVERAGE(L40,M40,P40),1),""),IF(O40="No",ROUND(AVERAGE(L40:M40),1),"")))</f>
        <v>97</v>
      </c>
      <c r="R40" s="37" t="str">
        <f aca="false">IF(H40&lt;&gt;"Eligible","Screened out",IF(COUNT(L40:M40)=0,"Not started",IF(COUNT(L40:M40)=1,"One read done",IF(O40="Yes",IF(ISNUMBER(P40),"Complete","Needs third read"),"Complete"))))</f>
        <v>Complete</v>
      </c>
      <c r="S40" s="37" t="n">
        <f aca="false">IF(Q40="","",COUNTIFS($C$5:$C$600,C40,$Q$5:$Q$600,"&gt;"&amp;Q40)+1)</f>
        <v>1</v>
      </c>
      <c r="T40" s="37" t="str">
        <f aca="false">IF(Q40="","",IF(Q40&gt;=Cutoff,"Yes","No"))</f>
        <v>Yes</v>
      </c>
      <c r="U40" s="49" t="n">
        <f aca="false">IF(T40="Yes",MIN(F40,INDEX(Settings!$G:$G,MATCH(C40,Settings!$E:$E,0))),0)</f>
        <v>34500</v>
      </c>
      <c r="V40" s="49" t="n">
        <f aca="false">IF(T40="Yes",SUMIFS($U$5:$U$600,$C$5:$C$600,C40,$Q$5:$Q$600,"&gt;"&amp;Q40)+U40,"")</f>
        <v>34500</v>
      </c>
      <c r="W40" s="37" t="str">
        <f aca="false">IF(T40="Yes",IF(V40&lt;=INDEX(PoolList,MATCH(C40,ProgramList,0)),"Within pool","Over pool"),"")</f>
        <v>Within pool</v>
      </c>
      <c r="X40" s="37" t="str">
        <f aca="false">IF(O40="Yes",COUNTIF($O$5:O40,"Yes"),"")</f>
        <v/>
      </c>
    </row>
    <row r="41" customFormat="false" ht="15" hidden="false" customHeight="false" outlineLevel="0" collapsed="false">
      <c r="A41" s="35" t="s">
        <v>261</v>
      </c>
      <c r="B41" s="35" t="s">
        <v>262</v>
      </c>
      <c r="C41" s="35" t="s">
        <v>104</v>
      </c>
      <c r="D41" s="35" t="s">
        <v>174</v>
      </c>
      <c r="E41" s="35" t="s">
        <v>232</v>
      </c>
      <c r="F41" s="42" t="n">
        <v>61500</v>
      </c>
      <c r="G41" s="36" t="n">
        <v>45926</v>
      </c>
      <c r="H41" s="35" t="s">
        <v>54</v>
      </c>
      <c r="I41" s="35" t="s">
        <v>91</v>
      </c>
      <c r="J41" s="35" t="s">
        <v>85</v>
      </c>
      <c r="K41" s="35"/>
      <c r="L41" s="48" t="n">
        <f aca="false">IFERROR(AVERAGEIFS('Score Entry'!$M$5:$M$1276,'Score Entry'!$B$5:$B$1276,A41,'Score Entry'!$E$5:$E$1276,"Primary"),"")</f>
        <v>55</v>
      </c>
      <c r="M41" s="48" t="n">
        <f aca="false">IFERROR(AVERAGEIFS('Score Entry'!$M$5:$M$1276,'Score Entry'!$B$5:$B$1276,A41,'Score Entry'!$E$5:$E$1276,"Secondary"),"")</f>
        <v>45</v>
      </c>
      <c r="N41" s="48" t="n">
        <f aca="false">IF(COUNT(L41:M41)=2,ABS(L41-M41),"")</f>
        <v>10</v>
      </c>
      <c r="O41" s="37" t="str">
        <f aca="false">IF(N41="","",IF(N41&gt;=Threshold,"Yes","No"))</f>
        <v>No</v>
      </c>
      <c r="P41" s="48" t="str">
        <f aca="false">IFERROR(AVERAGEIFS('Score Entry'!$M$5:$M$1276,'Score Entry'!$B$5:$B$1276,A41,'Score Entry'!$E$5:$E$1276,"Third"),"")</f>
        <v/>
      </c>
      <c r="Q41" s="48" t="n">
        <f aca="false">IF(H41&lt;&gt;"Eligible","",IF(O41="Yes",IF(ISNUMBER(P41),ROUND(AVERAGE(L41,M41,P41),1),""),IF(O41="No",ROUND(AVERAGE(L41:M41),1),"")))</f>
        <v>50</v>
      </c>
      <c r="R41" s="37" t="str">
        <f aca="false">IF(H41&lt;&gt;"Eligible","Screened out",IF(COUNT(L41:M41)=0,"Not started",IF(COUNT(L41:M41)=1,"One read done",IF(O41="Yes",IF(ISNUMBER(P41),"Complete","Needs third read"),"Complete"))))</f>
        <v>Complete</v>
      </c>
      <c r="S41" s="37" t="n">
        <f aca="false">IF(Q41="","",COUNTIFS($C$5:$C$600,C41,$Q$5:$Q$600,"&gt;"&amp;Q41)+1)</f>
        <v>96</v>
      </c>
      <c r="T41" s="37" t="str">
        <f aca="false">IF(Q41="","",IF(Q41&gt;=Cutoff,"Yes","No"))</f>
        <v>No</v>
      </c>
      <c r="U41" s="49" t="n">
        <f aca="false">IF(T41="Yes",MIN(F41,INDEX(Settings!$G:$G,MATCH(C41,Settings!$E:$E,0))),0)</f>
        <v>0</v>
      </c>
      <c r="V41" s="49" t="str">
        <f aca="false">IF(T41="Yes",SUMIFS($U$5:$U$600,$C$5:$C$600,C41,$Q$5:$Q$600,"&gt;"&amp;Q41)+U41,"")</f>
        <v/>
      </c>
      <c r="W41" s="37" t="str">
        <f aca="false">IF(T41="Yes",IF(V41&lt;=INDEX(PoolList,MATCH(C41,ProgramList,0)),"Within pool","Over pool"),"")</f>
        <v/>
      </c>
      <c r="X41" s="37" t="str">
        <f aca="false">IF(O41="Yes",COUNTIF($O$5:O41,"Yes"),"")</f>
        <v/>
      </c>
    </row>
    <row r="42" customFormat="false" ht="15" hidden="false" customHeight="false" outlineLevel="0" collapsed="false">
      <c r="A42" s="35" t="s">
        <v>263</v>
      </c>
      <c r="B42" s="35" t="s">
        <v>264</v>
      </c>
      <c r="C42" s="35" t="s">
        <v>103</v>
      </c>
      <c r="D42" s="35" t="s">
        <v>174</v>
      </c>
      <c r="E42" s="35" t="s">
        <v>232</v>
      </c>
      <c r="F42" s="42" t="n">
        <v>75000</v>
      </c>
      <c r="G42" s="36" t="n">
        <v>45920</v>
      </c>
      <c r="H42" s="35" t="s">
        <v>54</v>
      </c>
      <c r="I42" s="35" t="s">
        <v>91</v>
      </c>
      <c r="J42" s="35" t="s">
        <v>94</v>
      </c>
      <c r="K42" s="35" t="s">
        <v>88</v>
      </c>
      <c r="L42" s="48" t="n">
        <f aca="false">IFERROR(AVERAGEIFS('Score Entry'!$M$5:$M$1276,'Score Entry'!$B$5:$B$1276,A42,'Score Entry'!$E$5:$E$1276,"Primary"),"")</f>
        <v>83</v>
      </c>
      <c r="M42" s="48" t="n">
        <f aca="false">IFERROR(AVERAGEIFS('Score Entry'!$M$5:$M$1276,'Score Entry'!$B$5:$B$1276,A42,'Score Entry'!$E$5:$E$1276,"Secondary"),"")</f>
        <v>65</v>
      </c>
      <c r="N42" s="48" t="n">
        <f aca="false">IF(COUNT(L42:M42)=2,ABS(L42-M42),"")</f>
        <v>18</v>
      </c>
      <c r="O42" s="37" t="str">
        <f aca="false">IF(N42="","",IF(N42&gt;=Threshold,"Yes","No"))</f>
        <v>Yes</v>
      </c>
      <c r="P42" s="48" t="str">
        <f aca="false">IFERROR(AVERAGEIFS('Score Entry'!$M$5:$M$1276,'Score Entry'!$B$5:$B$1276,A42,'Score Entry'!$E$5:$E$1276,"Third"),"")</f>
        <v/>
      </c>
      <c r="Q42" s="48" t="str">
        <f aca="false">IF(H42&lt;&gt;"Eligible","",IF(O42="Yes",IF(ISNUMBER(P42),ROUND(AVERAGE(L42,M42,P42),1),""),IF(O42="No",ROUND(AVERAGE(L42:M42),1),"")))</f>
        <v/>
      </c>
      <c r="R42" s="37" t="str">
        <f aca="false">IF(H42&lt;&gt;"Eligible","Screened out",IF(COUNT(L42:M42)=0,"Not started",IF(COUNT(L42:M42)=1,"One read done",IF(O42="Yes",IF(ISNUMBER(P42),"Complete","Needs third read"),"Complete"))))</f>
        <v>Needs third read</v>
      </c>
      <c r="S42" s="37" t="str">
        <f aca="false">IF(Q42="","",COUNTIFS($C$5:$C$600,C42,$Q$5:$Q$600,"&gt;"&amp;Q42)+1)</f>
        <v/>
      </c>
      <c r="T42" s="37" t="str">
        <f aca="false">IF(Q42="","",IF(Q42&gt;=Cutoff,"Yes","No"))</f>
        <v/>
      </c>
      <c r="U42" s="49" t="n">
        <f aca="false">IF(T42="Yes",MIN(F42,INDEX(Settings!$G:$G,MATCH(C42,Settings!$E:$E,0))),0)</f>
        <v>0</v>
      </c>
      <c r="V42" s="49" t="str">
        <f aca="false">IF(T42="Yes",SUMIFS($U$5:$U$600,$C$5:$C$600,C42,$Q$5:$Q$600,"&gt;"&amp;Q42)+U42,"")</f>
        <v/>
      </c>
      <c r="W42" s="37" t="str">
        <f aca="false">IF(T42="Yes",IF(V42&lt;=INDEX(PoolList,MATCH(C42,ProgramList,0)),"Within pool","Over pool"),"")</f>
        <v/>
      </c>
      <c r="X42" s="37" t="n">
        <f aca="false">IF(O42="Yes",COUNTIF($O$5:O42,"Yes"),"")</f>
        <v>4</v>
      </c>
    </row>
    <row r="43" customFormat="false" ht="15" hidden="false" customHeight="false" outlineLevel="0" collapsed="false">
      <c r="A43" s="35" t="s">
        <v>265</v>
      </c>
      <c r="B43" s="35" t="s">
        <v>266</v>
      </c>
      <c r="C43" s="35" t="s">
        <v>105</v>
      </c>
      <c r="D43" s="35" t="s">
        <v>174</v>
      </c>
      <c r="E43" s="35" t="s">
        <v>175</v>
      </c>
      <c r="F43" s="42" t="n">
        <v>56500</v>
      </c>
      <c r="G43" s="36" t="n">
        <v>45922</v>
      </c>
      <c r="H43" s="35" t="s">
        <v>54</v>
      </c>
      <c r="I43" s="35" t="s">
        <v>88</v>
      </c>
      <c r="J43" s="35" t="s">
        <v>85</v>
      </c>
      <c r="K43" s="35" t="s">
        <v>94</v>
      </c>
      <c r="L43" s="48" t="n">
        <f aca="false">IFERROR(AVERAGEIFS('Score Entry'!$M$5:$M$1276,'Score Entry'!$B$5:$B$1276,A43,'Score Entry'!$E$5:$E$1276,"Primary"),"")</f>
        <v>69</v>
      </c>
      <c r="M43" s="48" t="n">
        <f aca="false">IFERROR(AVERAGEIFS('Score Entry'!$M$5:$M$1276,'Score Entry'!$B$5:$B$1276,A43,'Score Entry'!$E$5:$E$1276,"Secondary"),"")</f>
        <v>27</v>
      </c>
      <c r="N43" s="48" t="n">
        <f aca="false">IF(COUNT(L43:M43)=2,ABS(L43-M43),"")</f>
        <v>42</v>
      </c>
      <c r="O43" s="37" t="str">
        <f aca="false">IF(N43="","",IF(N43&gt;=Threshold,"Yes","No"))</f>
        <v>Yes</v>
      </c>
      <c r="P43" s="48" t="n">
        <f aca="false">IFERROR(AVERAGEIFS('Score Entry'!$M$5:$M$1276,'Score Entry'!$B$5:$B$1276,A43,'Score Entry'!$E$5:$E$1276,"Third"),"")</f>
        <v>71</v>
      </c>
      <c r="Q43" s="48" t="n">
        <f aca="false">IF(H43&lt;&gt;"Eligible","",IF(O43="Yes",IF(ISNUMBER(P43),ROUND(AVERAGE(L43,M43,P43),1),""),IF(O43="No",ROUND(AVERAGE(L43:M43),1),"")))</f>
        <v>55.7</v>
      </c>
      <c r="R43" s="37" t="str">
        <f aca="false">IF(H43&lt;&gt;"Eligible","Screened out",IF(COUNT(L43:M43)=0,"Not started",IF(COUNT(L43:M43)=1,"One read done",IF(O43="Yes",IF(ISNUMBER(P43),"Complete","Needs third read"),"Complete"))))</f>
        <v>Complete</v>
      </c>
      <c r="S43" s="37" t="n">
        <f aca="false">IF(Q43="","",COUNTIFS($C$5:$C$600,C43,$Q$5:$Q$600,"&gt;"&amp;Q43)+1)</f>
        <v>82</v>
      </c>
      <c r="T43" s="37" t="str">
        <f aca="false">IF(Q43="","",IF(Q43&gt;=Cutoff,"Yes","No"))</f>
        <v>No</v>
      </c>
      <c r="U43" s="49" t="n">
        <f aca="false">IF(T43="Yes",MIN(F43,INDEX(Settings!$G:$G,MATCH(C43,Settings!$E:$E,0))),0)</f>
        <v>0</v>
      </c>
      <c r="V43" s="49" t="str">
        <f aca="false">IF(T43="Yes",SUMIFS($U$5:$U$600,$C$5:$C$600,C43,$Q$5:$Q$600,"&gt;"&amp;Q43)+U43,"")</f>
        <v/>
      </c>
      <c r="W43" s="37" t="str">
        <f aca="false">IF(T43="Yes",IF(V43&lt;=INDEX(PoolList,MATCH(C43,ProgramList,0)),"Within pool","Over pool"),"")</f>
        <v/>
      </c>
      <c r="X43" s="37" t="n">
        <f aca="false">IF(O43="Yes",COUNTIF($O$5:O43,"Yes"),"")</f>
        <v>5</v>
      </c>
    </row>
    <row r="44" customFormat="false" ht="15" hidden="false" customHeight="false" outlineLevel="0" collapsed="false">
      <c r="A44" s="35" t="s">
        <v>267</v>
      </c>
      <c r="B44" s="35" t="s">
        <v>268</v>
      </c>
      <c r="C44" s="35" t="s">
        <v>104</v>
      </c>
      <c r="D44" s="35" t="s">
        <v>180</v>
      </c>
      <c r="E44" s="35" t="s">
        <v>269</v>
      </c>
      <c r="F44" s="42" t="n">
        <v>132000</v>
      </c>
      <c r="G44" s="36" t="n">
        <v>45920</v>
      </c>
      <c r="H44" s="35" t="s">
        <v>54</v>
      </c>
      <c r="I44" s="35" t="s">
        <v>78</v>
      </c>
      <c r="J44" s="35" t="s">
        <v>82</v>
      </c>
      <c r="K44" s="35"/>
      <c r="L44" s="48" t="n">
        <f aca="false">IFERROR(AVERAGEIFS('Score Entry'!$M$5:$M$1276,'Score Entry'!$B$5:$B$1276,A44,'Score Entry'!$E$5:$E$1276,"Primary"),"")</f>
        <v>76</v>
      </c>
      <c r="M44" s="48" t="n">
        <f aca="false">IFERROR(AVERAGEIFS('Score Entry'!$M$5:$M$1276,'Score Entry'!$B$5:$B$1276,A44,'Score Entry'!$E$5:$E$1276,"Secondary"),"")</f>
        <v>83</v>
      </c>
      <c r="N44" s="48" t="n">
        <f aca="false">IF(COUNT(L44:M44)=2,ABS(L44-M44),"")</f>
        <v>7</v>
      </c>
      <c r="O44" s="37" t="str">
        <f aca="false">IF(N44="","",IF(N44&gt;=Threshold,"Yes","No"))</f>
        <v>No</v>
      </c>
      <c r="P44" s="48" t="str">
        <f aca="false">IFERROR(AVERAGEIFS('Score Entry'!$M$5:$M$1276,'Score Entry'!$B$5:$B$1276,A44,'Score Entry'!$E$5:$E$1276,"Third"),"")</f>
        <v/>
      </c>
      <c r="Q44" s="48" t="n">
        <f aca="false">IF(H44&lt;&gt;"Eligible","",IF(O44="Yes",IF(ISNUMBER(P44),ROUND(AVERAGE(L44,M44,P44),1),""),IF(O44="No",ROUND(AVERAGE(L44:M44),1),"")))</f>
        <v>79.5</v>
      </c>
      <c r="R44" s="37" t="str">
        <f aca="false">IF(H44&lt;&gt;"Eligible","Screened out",IF(COUNT(L44:M44)=0,"Not started",IF(COUNT(L44:M44)=1,"One read done",IF(O44="Yes",IF(ISNUMBER(P44),"Complete","Needs third read"),"Complete"))))</f>
        <v>Complete</v>
      </c>
      <c r="S44" s="37" t="n">
        <f aca="false">IF(Q44="","",COUNTIFS($C$5:$C$600,C44,$Q$5:$Q$600,"&gt;"&amp;Q44)+1)</f>
        <v>24</v>
      </c>
      <c r="T44" s="37" t="str">
        <f aca="false">IF(Q44="","",IF(Q44&gt;=Cutoff,"Yes","No"))</f>
        <v>No</v>
      </c>
      <c r="U44" s="49" t="n">
        <f aca="false">IF(T44="Yes",MIN(F44,INDEX(Settings!$G:$G,MATCH(C44,Settings!$E:$E,0))),0)</f>
        <v>0</v>
      </c>
      <c r="V44" s="49" t="str">
        <f aca="false">IF(T44="Yes",SUMIFS($U$5:$U$600,$C$5:$C$600,C44,$Q$5:$Q$600,"&gt;"&amp;Q44)+U44,"")</f>
        <v/>
      </c>
      <c r="W44" s="37" t="str">
        <f aca="false">IF(T44="Yes",IF(V44&lt;=INDEX(PoolList,MATCH(C44,ProgramList,0)),"Within pool","Over pool"),"")</f>
        <v/>
      </c>
      <c r="X44" s="37" t="str">
        <f aca="false">IF(O44="Yes",COUNTIF($O$5:O44,"Yes"),"")</f>
        <v/>
      </c>
    </row>
    <row r="45" customFormat="false" ht="15" hidden="false" customHeight="false" outlineLevel="0" collapsed="false">
      <c r="A45" s="35" t="s">
        <v>270</v>
      </c>
      <c r="B45" s="35" t="s">
        <v>271</v>
      </c>
      <c r="C45" s="35" t="s">
        <v>106</v>
      </c>
      <c r="D45" s="35" t="s">
        <v>174</v>
      </c>
      <c r="E45" s="35" t="s">
        <v>175</v>
      </c>
      <c r="F45" s="42" t="n">
        <v>174500</v>
      </c>
      <c r="G45" s="36" t="n">
        <v>45916</v>
      </c>
      <c r="H45" s="35" t="s">
        <v>54</v>
      </c>
      <c r="I45" s="35" t="s">
        <v>91</v>
      </c>
      <c r="J45" s="35" t="s">
        <v>88</v>
      </c>
      <c r="K45" s="35"/>
      <c r="L45" s="48" t="n">
        <f aca="false">IFERROR(AVERAGEIFS('Score Entry'!$M$5:$M$1276,'Score Entry'!$B$5:$B$1276,A45,'Score Entry'!$E$5:$E$1276,"Primary"),"")</f>
        <v>68</v>
      </c>
      <c r="M45" s="48" t="n">
        <f aca="false">IFERROR(AVERAGEIFS('Score Entry'!$M$5:$M$1276,'Score Entry'!$B$5:$B$1276,A45,'Score Entry'!$E$5:$E$1276,"Secondary"),"")</f>
        <v>63</v>
      </c>
      <c r="N45" s="48" t="n">
        <f aca="false">IF(COUNT(L45:M45)=2,ABS(L45-M45),"")</f>
        <v>5</v>
      </c>
      <c r="O45" s="37" t="str">
        <f aca="false">IF(N45="","",IF(N45&gt;=Threshold,"Yes","No"))</f>
        <v>No</v>
      </c>
      <c r="P45" s="48" t="str">
        <f aca="false">IFERROR(AVERAGEIFS('Score Entry'!$M$5:$M$1276,'Score Entry'!$B$5:$B$1276,A45,'Score Entry'!$E$5:$E$1276,"Third"),"")</f>
        <v/>
      </c>
      <c r="Q45" s="48" t="n">
        <f aca="false">IF(H45&lt;&gt;"Eligible","",IF(O45="Yes",IF(ISNUMBER(P45),ROUND(AVERAGE(L45,M45,P45),1),""),IF(O45="No",ROUND(AVERAGE(L45:M45),1),"")))</f>
        <v>65.5</v>
      </c>
      <c r="R45" s="37" t="str">
        <f aca="false">IF(H45&lt;&gt;"Eligible","Screened out",IF(COUNT(L45:M45)=0,"Not started",IF(COUNT(L45:M45)=1,"One read done",IF(O45="Yes",IF(ISNUMBER(P45),"Complete","Needs third read"),"Complete"))))</f>
        <v>Complete</v>
      </c>
      <c r="S45" s="37" t="n">
        <f aca="false">IF(Q45="","",COUNTIFS($C$5:$C$600,C45,$Q$5:$Q$600,"&gt;"&amp;Q45)+1)</f>
        <v>68</v>
      </c>
      <c r="T45" s="37" t="str">
        <f aca="false">IF(Q45="","",IF(Q45&gt;=Cutoff,"Yes","No"))</f>
        <v>No</v>
      </c>
      <c r="U45" s="49" t="n">
        <f aca="false">IF(T45="Yes",MIN(F45,INDEX(Settings!$G:$G,MATCH(C45,Settings!$E:$E,0))),0)</f>
        <v>0</v>
      </c>
      <c r="V45" s="49" t="str">
        <f aca="false">IF(T45="Yes",SUMIFS($U$5:$U$600,$C$5:$C$600,C45,$Q$5:$Q$600,"&gt;"&amp;Q45)+U45,"")</f>
        <v/>
      </c>
      <c r="W45" s="37" t="str">
        <f aca="false">IF(T45="Yes",IF(V45&lt;=INDEX(PoolList,MATCH(C45,ProgramList,0)),"Within pool","Over pool"),"")</f>
        <v/>
      </c>
      <c r="X45" s="37" t="str">
        <f aca="false">IF(O45="Yes",COUNTIF($O$5:O45,"Yes"),"")</f>
        <v/>
      </c>
    </row>
    <row r="46" customFormat="false" ht="15" hidden="false" customHeight="false" outlineLevel="0" collapsed="false">
      <c r="A46" s="35" t="s">
        <v>272</v>
      </c>
      <c r="B46" s="35" t="s">
        <v>273</v>
      </c>
      <c r="C46" s="35" t="s">
        <v>103</v>
      </c>
      <c r="D46" s="35" t="s">
        <v>174</v>
      </c>
      <c r="E46" s="35" t="s">
        <v>175</v>
      </c>
      <c r="F46" s="42" t="n">
        <v>93000</v>
      </c>
      <c r="G46" s="36" t="n">
        <v>45924</v>
      </c>
      <c r="H46" s="35" t="s">
        <v>54</v>
      </c>
      <c r="I46" s="35" t="s">
        <v>78</v>
      </c>
      <c r="J46" s="35" t="s">
        <v>94</v>
      </c>
      <c r="K46" s="35"/>
      <c r="L46" s="48" t="n">
        <f aca="false">IFERROR(AVERAGEIFS('Score Entry'!$M$5:$M$1276,'Score Entry'!$B$5:$B$1276,A46,'Score Entry'!$E$5:$E$1276,"Primary"),"")</f>
        <v>54</v>
      </c>
      <c r="M46" s="48" t="n">
        <f aca="false">IFERROR(AVERAGEIFS('Score Entry'!$M$5:$M$1276,'Score Entry'!$B$5:$B$1276,A46,'Score Entry'!$E$5:$E$1276,"Secondary"),"")</f>
        <v>46</v>
      </c>
      <c r="N46" s="48" t="n">
        <f aca="false">IF(COUNT(L46:M46)=2,ABS(L46-M46),"")</f>
        <v>8</v>
      </c>
      <c r="O46" s="37" t="str">
        <f aca="false">IF(N46="","",IF(N46&gt;=Threshold,"Yes","No"))</f>
        <v>No</v>
      </c>
      <c r="P46" s="48" t="str">
        <f aca="false">IFERROR(AVERAGEIFS('Score Entry'!$M$5:$M$1276,'Score Entry'!$B$5:$B$1276,A46,'Score Entry'!$E$5:$E$1276,"Third"),"")</f>
        <v/>
      </c>
      <c r="Q46" s="48" t="n">
        <f aca="false">IF(H46&lt;&gt;"Eligible","",IF(O46="Yes",IF(ISNUMBER(P46),ROUND(AVERAGE(L46,M46,P46),1),""),IF(O46="No",ROUND(AVERAGE(L46:M46),1),"")))</f>
        <v>50</v>
      </c>
      <c r="R46" s="37" t="str">
        <f aca="false">IF(H46&lt;&gt;"Eligible","Screened out",IF(COUNT(L46:M46)=0,"Not started",IF(COUNT(L46:M46)=1,"One read done",IF(O46="Yes",IF(ISNUMBER(P46),"Complete","Needs third read"),"Complete"))))</f>
        <v>Complete</v>
      </c>
      <c r="S46" s="37" t="n">
        <f aca="false">IF(Q46="","",COUNTIFS($C$5:$C$600,C46,$Q$5:$Q$600,"&gt;"&amp;Q46)+1)</f>
        <v>151</v>
      </c>
      <c r="T46" s="37" t="str">
        <f aca="false">IF(Q46="","",IF(Q46&gt;=Cutoff,"Yes","No"))</f>
        <v>No</v>
      </c>
      <c r="U46" s="49" t="n">
        <f aca="false">IF(T46="Yes",MIN(F46,INDEX(Settings!$G:$G,MATCH(C46,Settings!$E:$E,0))),0)</f>
        <v>0</v>
      </c>
      <c r="V46" s="49" t="str">
        <f aca="false">IF(T46="Yes",SUMIFS($U$5:$U$600,$C$5:$C$600,C46,$Q$5:$Q$600,"&gt;"&amp;Q46)+U46,"")</f>
        <v/>
      </c>
      <c r="W46" s="37" t="str">
        <f aca="false">IF(T46="Yes",IF(V46&lt;=INDEX(PoolList,MATCH(C46,ProgramList,0)),"Within pool","Over pool"),"")</f>
        <v/>
      </c>
      <c r="X46" s="37" t="str">
        <f aca="false">IF(O46="Yes",COUNTIF($O$5:O46,"Yes"),"")</f>
        <v/>
      </c>
    </row>
    <row r="47" customFormat="false" ht="15" hidden="false" customHeight="false" outlineLevel="0" collapsed="false">
      <c r="A47" s="35" t="s">
        <v>274</v>
      </c>
      <c r="B47" s="35" t="s">
        <v>275</v>
      </c>
      <c r="C47" s="35" t="s">
        <v>104</v>
      </c>
      <c r="D47" s="35" t="s">
        <v>174</v>
      </c>
      <c r="E47" s="35" t="s">
        <v>232</v>
      </c>
      <c r="F47" s="42" t="n">
        <v>36000</v>
      </c>
      <c r="G47" s="36" t="n">
        <v>45922</v>
      </c>
      <c r="H47" s="35" t="s">
        <v>54</v>
      </c>
      <c r="I47" s="35" t="s">
        <v>85</v>
      </c>
      <c r="J47" s="35" t="s">
        <v>91</v>
      </c>
      <c r="K47" s="35"/>
      <c r="L47" s="48" t="n">
        <f aca="false">IFERROR(AVERAGEIFS('Score Entry'!$M$5:$M$1276,'Score Entry'!$B$5:$B$1276,A47,'Score Entry'!$E$5:$E$1276,"Primary"),"")</f>
        <v>80</v>
      </c>
      <c r="M47" s="48" t="str">
        <f aca="false">IFERROR(AVERAGEIFS('Score Entry'!$M$5:$M$1276,'Score Entry'!$B$5:$B$1276,A47,'Score Entry'!$E$5:$E$1276,"Secondary"),"")</f>
        <v/>
      </c>
      <c r="N47" s="48" t="str">
        <f aca="false">IF(COUNT(L47:M47)=2,ABS(L47-M47),"")</f>
        <v/>
      </c>
      <c r="O47" s="37" t="str">
        <f aca="false">IF(N47="","",IF(N47&gt;=Threshold,"Yes","No"))</f>
        <v/>
      </c>
      <c r="P47" s="48" t="str">
        <f aca="false">IFERROR(AVERAGEIFS('Score Entry'!$M$5:$M$1276,'Score Entry'!$B$5:$B$1276,A47,'Score Entry'!$E$5:$E$1276,"Third"),"")</f>
        <v/>
      </c>
      <c r="Q47" s="48" t="str">
        <f aca="false">IF(H47&lt;&gt;"Eligible","",IF(O47="Yes",IF(ISNUMBER(P47),ROUND(AVERAGE(L47,M47,P47),1),""),IF(O47="No",ROUND(AVERAGE(L47:M47),1),"")))</f>
        <v/>
      </c>
      <c r="R47" s="37" t="str">
        <f aca="false">IF(H47&lt;&gt;"Eligible","Screened out",IF(COUNT(L47:M47)=0,"Not started",IF(COUNT(L47:M47)=1,"One read done",IF(O47="Yes",IF(ISNUMBER(P47),"Complete","Needs third read"),"Complete"))))</f>
        <v>One read done</v>
      </c>
      <c r="S47" s="37" t="str">
        <f aca="false">IF(Q47="","",COUNTIFS($C$5:$C$600,C47,$Q$5:$Q$600,"&gt;"&amp;Q47)+1)</f>
        <v/>
      </c>
      <c r="T47" s="37" t="str">
        <f aca="false">IF(Q47="","",IF(Q47&gt;=Cutoff,"Yes","No"))</f>
        <v/>
      </c>
      <c r="U47" s="49" t="n">
        <f aca="false">IF(T47="Yes",MIN(F47,INDEX(Settings!$G:$G,MATCH(C47,Settings!$E:$E,0))),0)</f>
        <v>0</v>
      </c>
      <c r="V47" s="49" t="str">
        <f aca="false">IF(T47="Yes",SUMIFS($U$5:$U$600,$C$5:$C$600,C47,$Q$5:$Q$600,"&gt;"&amp;Q47)+U47,"")</f>
        <v/>
      </c>
      <c r="W47" s="37" t="str">
        <f aca="false">IF(T47="Yes",IF(V47&lt;=INDEX(PoolList,MATCH(C47,ProgramList,0)),"Within pool","Over pool"),"")</f>
        <v/>
      </c>
      <c r="X47" s="37" t="str">
        <f aca="false">IF(O47="Yes",COUNTIF($O$5:O47,"Yes"),"")</f>
        <v/>
      </c>
    </row>
    <row r="48" customFormat="false" ht="15" hidden="false" customHeight="false" outlineLevel="0" collapsed="false">
      <c r="A48" s="35" t="s">
        <v>276</v>
      </c>
      <c r="B48" s="35" t="s">
        <v>277</v>
      </c>
      <c r="C48" s="35" t="s">
        <v>106</v>
      </c>
      <c r="D48" s="35" t="s">
        <v>174</v>
      </c>
      <c r="E48" s="35" t="s">
        <v>175</v>
      </c>
      <c r="F48" s="42" t="n">
        <v>85500</v>
      </c>
      <c r="G48" s="36" t="n">
        <v>45927</v>
      </c>
      <c r="H48" s="35" t="s">
        <v>54</v>
      </c>
      <c r="I48" s="35" t="s">
        <v>85</v>
      </c>
      <c r="J48" s="35" t="s">
        <v>78</v>
      </c>
      <c r="K48" s="35"/>
      <c r="L48" s="48" t="n">
        <f aca="false">IFERROR(AVERAGEIFS('Score Entry'!$M$5:$M$1276,'Score Entry'!$B$5:$B$1276,A48,'Score Entry'!$E$5:$E$1276,"Primary"),"")</f>
        <v>90</v>
      </c>
      <c r="M48" s="48" t="n">
        <f aca="false">IFERROR(AVERAGEIFS('Score Entry'!$M$5:$M$1276,'Score Entry'!$B$5:$B$1276,A48,'Score Entry'!$E$5:$E$1276,"Secondary"),"")</f>
        <v>75</v>
      </c>
      <c r="N48" s="48" t="n">
        <f aca="false">IF(COUNT(L48:M48)=2,ABS(L48-M48),"")</f>
        <v>15</v>
      </c>
      <c r="O48" s="37" t="str">
        <f aca="false">IF(N48="","",IF(N48&gt;=Threshold,"Yes","No"))</f>
        <v>No</v>
      </c>
      <c r="P48" s="48" t="str">
        <f aca="false">IFERROR(AVERAGEIFS('Score Entry'!$M$5:$M$1276,'Score Entry'!$B$5:$B$1276,A48,'Score Entry'!$E$5:$E$1276,"Third"),"")</f>
        <v/>
      </c>
      <c r="Q48" s="48" t="n">
        <f aca="false">IF(H48&lt;&gt;"Eligible","",IF(O48="Yes",IF(ISNUMBER(P48),ROUND(AVERAGE(L48,M48,P48),1),""),IF(O48="No",ROUND(AVERAGE(L48:M48),1),"")))</f>
        <v>82.5</v>
      </c>
      <c r="R48" s="37" t="str">
        <f aca="false">IF(H48&lt;&gt;"Eligible","Screened out",IF(COUNT(L48:M48)=0,"Not started",IF(COUNT(L48:M48)=1,"One read done",IF(O48="Yes",IF(ISNUMBER(P48),"Complete","Needs third read"),"Complete"))))</f>
        <v>Complete</v>
      </c>
      <c r="S48" s="37" t="n">
        <f aca="false">IF(Q48="","",COUNTIFS($C$5:$C$600,C48,$Q$5:$Q$600,"&gt;"&amp;Q48)+1)</f>
        <v>14</v>
      </c>
      <c r="T48" s="37" t="str">
        <f aca="false">IF(Q48="","",IF(Q48&gt;=Cutoff,"Yes","No"))</f>
        <v>No</v>
      </c>
      <c r="U48" s="49" t="n">
        <f aca="false">IF(T48="Yes",MIN(F48,INDEX(Settings!$G:$G,MATCH(C48,Settings!$E:$E,0))),0)</f>
        <v>0</v>
      </c>
      <c r="V48" s="49" t="str">
        <f aca="false">IF(T48="Yes",SUMIFS($U$5:$U$600,$C$5:$C$600,C48,$Q$5:$Q$600,"&gt;"&amp;Q48)+U48,"")</f>
        <v/>
      </c>
      <c r="W48" s="37" t="str">
        <f aca="false">IF(T48="Yes",IF(V48&lt;=INDEX(PoolList,MATCH(C48,ProgramList,0)),"Within pool","Over pool"),"")</f>
        <v/>
      </c>
      <c r="X48" s="37" t="str">
        <f aca="false">IF(O48="Yes",COUNTIF($O$5:O48,"Yes"),"")</f>
        <v/>
      </c>
    </row>
    <row r="49" customFormat="false" ht="15" hidden="false" customHeight="false" outlineLevel="0" collapsed="false">
      <c r="A49" s="35" t="s">
        <v>278</v>
      </c>
      <c r="B49" s="35" t="s">
        <v>279</v>
      </c>
      <c r="C49" s="35" t="s">
        <v>103</v>
      </c>
      <c r="D49" s="35" t="s">
        <v>174</v>
      </c>
      <c r="E49" s="35" t="s">
        <v>175</v>
      </c>
      <c r="F49" s="42" t="n">
        <v>60500</v>
      </c>
      <c r="G49" s="36" t="n">
        <v>45914</v>
      </c>
      <c r="H49" s="35" t="s">
        <v>54</v>
      </c>
      <c r="I49" s="35" t="s">
        <v>85</v>
      </c>
      <c r="J49" s="35" t="s">
        <v>82</v>
      </c>
      <c r="K49" s="35"/>
      <c r="L49" s="48" t="n">
        <f aca="false">IFERROR(AVERAGEIFS('Score Entry'!$M$5:$M$1276,'Score Entry'!$B$5:$B$1276,A49,'Score Entry'!$E$5:$E$1276,"Primary"),"")</f>
        <v>70</v>
      </c>
      <c r="M49" s="48" t="n">
        <f aca="false">IFERROR(AVERAGEIFS('Score Entry'!$M$5:$M$1276,'Score Entry'!$B$5:$B$1276,A49,'Score Entry'!$E$5:$E$1276,"Secondary"),"")</f>
        <v>72</v>
      </c>
      <c r="N49" s="48" t="n">
        <f aca="false">IF(COUNT(L49:M49)=2,ABS(L49-M49),"")</f>
        <v>2</v>
      </c>
      <c r="O49" s="37" t="str">
        <f aca="false">IF(N49="","",IF(N49&gt;=Threshold,"Yes","No"))</f>
        <v>No</v>
      </c>
      <c r="P49" s="48" t="str">
        <f aca="false">IFERROR(AVERAGEIFS('Score Entry'!$M$5:$M$1276,'Score Entry'!$B$5:$B$1276,A49,'Score Entry'!$E$5:$E$1276,"Third"),"")</f>
        <v/>
      </c>
      <c r="Q49" s="48" t="n">
        <f aca="false">IF(H49&lt;&gt;"Eligible","",IF(O49="Yes",IF(ISNUMBER(P49),ROUND(AVERAGE(L49,M49,P49),1),""),IF(O49="No",ROUND(AVERAGE(L49:M49),1),"")))</f>
        <v>71</v>
      </c>
      <c r="R49" s="37" t="str">
        <f aca="false">IF(H49&lt;&gt;"Eligible","Screened out",IF(COUNT(L49:M49)=0,"Not started",IF(COUNT(L49:M49)=1,"One read done",IF(O49="Yes",IF(ISNUMBER(P49),"Complete","Needs third read"),"Complete"))))</f>
        <v>Complete</v>
      </c>
      <c r="S49" s="37" t="n">
        <f aca="false">IF(Q49="","",COUNTIFS($C$5:$C$600,C49,$Q$5:$Q$600,"&gt;"&amp;Q49)+1)</f>
        <v>60</v>
      </c>
      <c r="T49" s="37" t="str">
        <f aca="false">IF(Q49="","",IF(Q49&gt;=Cutoff,"Yes","No"))</f>
        <v>No</v>
      </c>
      <c r="U49" s="49" t="n">
        <f aca="false">IF(T49="Yes",MIN(F49,INDEX(Settings!$G:$G,MATCH(C49,Settings!$E:$E,0))),0)</f>
        <v>0</v>
      </c>
      <c r="V49" s="49" t="str">
        <f aca="false">IF(T49="Yes",SUMIFS($U$5:$U$600,$C$5:$C$600,C49,$Q$5:$Q$600,"&gt;"&amp;Q49)+U49,"")</f>
        <v/>
      </c>
      <c r="W49" s="37" t="str">
        <f aca="false">IF(T49="Yes",IF(V49&lt;=INDEX(PoolList,MATCH(C49,ProgramList,0)),"Within pool","Over pool"),"")</f>
        <v/>
      </c>
      <c r="X49" s="37" t="str">
        <f aca="false">IF(O49="Yes",COUNTIF($O$5:O49,"Yes"),"")</f>
        <v/>
      </c>
    </row>
    <row r="50" customFormat="false" ht="15" hidden="false" customHeight="false" outlineLevel="0" collapsed="false">
      <c r="A50" s="35" t="s">
        <v>280</v>
      </c>
      <c r="B50" s="35" t="s">
        <v>281</v>
      </c>
      <c r="C50" s="35" t="s">
        <v>106</v>
      </c>
      <c r="D50" s="35" t="s">
        <v>221</v>
      </c>
      <c r="E50" s="35" t="s">
        <v>258</v>
      </c>
      <c r="F50" s="42" t="n">
        <v>103500</v>
      </c>
      <c r="G50" s="36" t="n">
        <v>45919</v>
      </c>
      <c r="H50" s="35" t="s">
        <v>54</v>
      </c>
      <c r="I50" s="35" t="s">
        <v>88</v>
      </c>
      <c r="J50" s="35" t="s">
        <v>91</v>
      </c>
      <c r="K50" s="35"/>
      <c r="L50" s="48" t="n">
        <f aca="false">IFERROR(AVERAGEIFS('Score Entry'!$M$5:$M$1276,'Score Entry'!$B$5:$B$1276,A50,'Score Entry'!$E$5:$E$1276,"Primary"),"")</f>
        <v>60</v>
      </c>
      <c r="M50" s="48" t="n">
        <f aca="false">IFERROR(AVERAGEIFS('Score Entry'!$M$5:$M$1276,'Score Entry'!$B$5:$B$1276,A50,'Score Entry'!$E$5:$E$1276,"Secondary"),"")</f>
        <v>60</v>
      </c>
      <c r="N50" s="48" t="n">
        <f aca="false">IF(COUNT(L50:M50)=2,ABS(L50-M50),"")</f>
        <v>0</v>
      </c>
      <c r="O50" s="37" t="str">
        <f aca="false">IF(N50="","",IF(N50&gt;=Threshold,"Yes","No"))</f>
        <v>No</v>
      </c>
      <c r="P50" s="48" t="str">
        <f aca="false">IFERROR(AVERAGEIFS('Score Entry'!$M$5:$M$1276,'Score Entry'!$B$5:$B$1276,A50,'Score Entry'!$E$5:$E$1276,"Third"),"")</f>
        <v/>
      </c>
      <c r="Q50" s="48" t="n">
        <f aca="false">IF(H50&lt;&gt;"Eligible","",IF(O50="Yes",IF(ISNUMBER(P50),ROUND(AVERAGE(L50,M50,P50),1),""),IF(O50="No",ROUND(AVERAGE(L50:M50),1),"")))</f>
        <v>60</v>
      </c>
      <c r="R50" s="37" t="str">
        <f aca="false">IF(H50&lt;&gt;"Eligible","Screened out",IF(COUNT(L50:M50)=0,"Not started",IF(COUNT(L50:M50)=1,"One read done",IF(O50="Yes",IF(ISNUMBER(P50),"Complete","Needs third read"),"Complete"))))</f>
        <v>Complete</v>
      </c>
      <c r="S50" s="37" t="n">
        <f aca="false">IF(Q50="","",COUNTIFS($C$5:$C$600,C50,$Q$5:$Q$600,"&gt;"&amp;Q50)+1)</f>
        <v>84</v>
      </c>
      <c r="T50" s="37" t="str">
        <f aca="false">IF(Q50="","",IF(Q50&gt;=Cutoff,"Yes","No"))</f>
        <v>No</v>
      </c>
      <c r="U50" s="49" t="n">
        <f aca="false">IF(T50="Yes",MIN(F50,INDEX(Settings!$G:$G,MATCH(C50,Settings!$E:$E,0))),0)</f>
        <v>0</v>
      </c>
      <c r="V50" s="49" t="str">
        <f aca="false">IF(T50="Yes",SUMIFS($U$5:$U$600,$C$5:$C$600,C50,$Q$5:$Q$600,"&gt;"&amp;Q50)+U50,"")</f>
        <v/>
      </c>
      <c r="W50" s="37" t="str">
        <f aca="false">IF(T50="Yes",IF(V50&lt;=INDEX(PoolList,MATCH(C50,ProgramList,0)),"Within pool","Over pool"),"")</f>
        <v/>
      </c>
      <c r="X50" s="37" t="str">
        <f aca="false">IF(O50="Yes",COUNTIF($O$5:O50,"Yes"),"")</f>
        <v/>
      </c>
    </row>
    <row r="51" customFormat="false" ht="15" hidden="false" customHeight="false" outlineLevel="0" collapsed="false">
      <c r="A51" s="35" t="s">
        <v>282</v>
      </c>
      <c r="B51" s="35" t="s">
        <v>283</v>
      </c>
      <c r="C51" s="35" t="s">
        <v>105</v>
      </c>
      <c r="D51" s="35" t="s">
        <v>174</v>
      </c>
      <c r="E51" s="35" t="s">
        <v>175</v>
      </c>
      <c r="F51" s="42" t="n">
        <v>42000</v>
      </c>
      <c r="G51" s="36" t="n">
        <v>45910</v>
      </c>
      <c r="H51" s="35" t="s">
        <v>54</v>
      </c>
      <c r="I51" s="35" t="s">
        <v>94</v>
      </c>
      <c r="J51" s="35" t="s">
        <v>82</v>
      </c>
      <c r="K51" s="35" t="s">
        <v>85</v>
      </c>
      <c r="L51" s="48" t="n">
        <f aca="false">IFERROR(AVERAGEIFS('Score Entry'!$M$5:$M$1276,'Score Entry'!$B$5:$B$1276,A51,'Score Entry'!$E$5:$E$1276,"Primary"),"")</f>
        <v>89</v>
      </c>
      <c r="M51" s="48" t="n">
        <f aca="false">IFERROR(AVERAGEIFS('Score Entry'!$M$5:$M$1276,'Score Entry'!$B$5:$B$1276,A51,'Score Entry'!$E$5:$E$1276,"Secondary"),"")</f>
        <v>62</v>
      </c>
      <c r="N51" s="48" t="n">
        <f aca="false">IF(COUNT(L51:M51)=2,ABS(L51-M51),"")</f>
        <v>27</v>
      </c>
      <c r="O51" s="37" t="str">
        <f aca="false">IF(N51="","",IF(N51&gt;=Threshold,"Yes","No"))</f>
        <v>Yes</v>
      </c>
      <c r="P51" s="48" t="str">
        <f aca="false">IFERROR(AVERAGEIFS('Score Entry'!$M$5:$M$1276,'Score Entry'!$B$5:$B$1276,A51,'Score Entry'!$E$5:$E$1276,"Third"),"")</f>
        <v/>
      </c>
      <c r="Q51" s="48" t="str">
        <f aca="false">IF(H51&lt;&gt;"Eligible","",IF(O51="Yes",IF(ISNUMBER(P51),ROUND(AVERAGE(L51,M51,P51),1),""),IF(O51="No",ROUND(AVERAGE(L51:M51),1),"")))</f>
        <v/>
      </c>
      <c r="R51" s="37" t="str">
        <f aca="false">IF(H51&lt;&gt;"Eligible","Screened out",IF(COUNT(L51:M51)=0,"Not started",IF(COUNT(L51:M51)=1,"One read done",IF(O51="Yes",IF(ISNUMBER(P51),"Complete","Needs third read"),"Complete"))))</f>
        <v>Needs third read</v>
      </c>
      <c r="S51" s="37" t="str">
        <f aca="false">IF(Q51="","",COUNTIFS($C$5:$C$600,C51,$Q$5:$Q$600,"&gt;"&amp;Q51)+1)</f>
        <v/>
      </c>
      <c r="T51" s="37" t="str">
        <f aca="false">IF(Q51="","",IF(Q51&gt;=Cutoff,"Yes","No"))</f>
        <v/>
      </c>
      <c r="U51" s="49" t="n">
        <f aca="false">IF(T51="Yes",MIN(F51,INDEX(Settings!$G:$G,MATCH(C51,Settings!$E:$E,0))),0)</f>
        <v>0</v>
      </c>
      <c r="V51" s="49" t="str">
        <f aca="false">IF(T51="Yes",SUMIFS($U$5:$U$600,$C$5:$C$600,C51,$Q$5:$Q$600,"&gt;"&amp;Q51)+U51,"")</f>
        <v/>
      </c>
      <c r="W51" s="37" t="str">
        <f aca="false">IF(T51="Yes",IF(V51&lt;=INDEX(PoolList,MATCH(C51,ProgramList,0)),"Within pool","Over pool"),"")</f>
        <v/>
      </c>
      <c r="X51" s="37" t="n">
        <f aca="false">IF(O51="Yes",COUNTIF($O$5:O51,"Yes"),"")</f>
        <v>6</v>
      </c>
    </row>
    <row r="52" customFormat="false" ht="15" hidden="false" customHeight="false" outlineLevel="0" collapsed="false">
      <c r="A52" s="35" t="s">
        <v>284</v>
      </c>
      <c r="B52" s="35" t="s">
        <v>285</v>
      </c>
      <c r="C52" s="35" t="s">
        <v>103</v>
      </c>
      <c r="D52" s="35" t="s">
        <v>180</v>
      </c>
      <c r="E52" s="35" t="s">
        <v>269</v>
      </c>
      <c r="F52" s="42" t="n">
        <v>43500</v>
      </c>
      <c r="G52" s="36" t="n">
        <v>45924</v>
      </c>
      <c r="H52" s="35" t="s">
        <v>54</v>
      </c>
      <c r="I52" s="35" t="s">
        <v>88</v>
      </c>
      <c r="J52" s="35" t="s">
        <v>85</v>
      </c>
      <c r="K52" s="35"/>
      <c r="L52" s="48" t="n">
        <f aca="false">IFERROR(AVERAGEIFS('Score Entry'!$M$5:$M$1276,'Score Entry'!$B$5:$B$1276,A52,'Score Entry'!$E$5:$E$1276,"Primary"),"")</f>
        <v>62</v>
      </c>
      <c r="M52" s="48" t="n">
        <f aca="false">IFERROR(AVERAGEIFS('Score Entry'!$M$5:$M$1276,'Score Entry'!$B$5:$B$1276,A52,'Score Entry'!$E$5:$E$1276,"Secondary"),"")</f>
        <v>48</v>
      </c>
      <c r="N52" s="48" t="n">
        <f aca="false">IF(COUNT(L52:M52)=2,ABS(L52-M52),"")</f>
        <v>14</v>
      </c>
      <c r="O52" s="37" t="str">
        <f aca="false">IF(N52="","",IF(N52&gt;=Threshold,"Yes","No"))</f>
        <v>No</v>
      </c>
      <c r="P52" s="48" t="str">
        <f aca="false">IFERROR(AVERAGEIFS('Score Entry'!$M$5:$M$1276,'Score Entry'!$B$5:$B$1276,A52,'Score Entry'!$E$5:$E$1276,"Third"),"")</f>
        <v/>
      </c>
      <c r="Q52" s="48" t="n">
        <f aca="false">IF(H52&lt;&gt;"Eligible","",IF(O52="Yes",IF(ISNUMBER(P52),ROUND(AVERAGE(L52,M52,P52),1),""),IF(O52="No",ROUND(AVERAGE(L52:M52),1),"")))</f>
        <v>55</v>
      </c>
      <c r="R52" s="37" t="str">
        <f aca="false">IF(H52&lt;&gt;"Eligible","Screened out",IF(COUNT(L52:M52)=0,"Not started",IF(COUNT(L52:M52)=1,"One read done",IF(O52="Yes",IF(ISNUMBER(P52),"Complete","Needs third read"),"Complete"))))</f>
        <v>Complete</v>
      </c>
      <c r="S52" s="37" t="n">
        <f aca="false">IF(Q52="","",COUNTIFS($C$5:$C$600,C52,$Q$5:$Q$600,"&gt;"&amp;Q52)+1)</f>
        <v>132</v>
      </c>
      <c r="T52" s="37" t="str">
        <f aca="false">IF(Q52="","",IF(Q52&gt;=Cutoff,"Yes","No"))</f>
        <v>No</v>
      </c>
      <c r="U52" s="49" t="n">
        <f aca="false">IF(T52="Yes",MIN(F52,INDEX(Settings!$G:$G,MATCH(C52,Settings!$E:$E,0))),0)</f>
        <v>0</v>
      </c>
      <c r="V52" s="49" t="str">
        <f aca="false">IF(T52="Yes",SUMIFS($U$5:$U$600,$C$5:$C$600,C52,$Q$5:$Q$600,"&gt;"&amp;Q52)+U52,"")</f>
        <v/>
      </c>
      <c r="W52" s="37" t="str">
        <f aca="false">IF(T52="Yes",IF(V52&lt;=INDEX(PoolList,MATCH(C52,ProgramList,0)),"Within pool","Over pool"),"")</f>
        <v/>
      </c>
      <c r="X52" s="37" t="str">
        <f aca="false">IF(O52="Yes",COUNTIF($O$5:O52,"Yes"),"")</f>
        <v/>
      </c>
    </row>
    <row r="53" customFormat="false" ht="15" hidden="false" customHeight="false" outlineLevel="0" collapsed="false">
      <c r="A53" s="35" t="s">
        <v>286</v>
      </c>
      <c r="B53" s="35" t="s">
        <v>287</v>
      </c>
      <c r="C53" s="35" t="s">
        <v>104</v>
      </c>
      <c r="D53" s="35" t="s">
        <v>174</v>
      </c>
      <c r="E53" s="35" t="s">
        <v>232</v>
      </c>
      <c r="F53" s="42" t="n">
        <v>73000</v>
      </c>
      <c r="G53" s="36" t="n">
        <v>45909</v>
      </c>
      <c r="H53" s="35" t="s">
        <v>54</v>
      </c>
      <c r="I53" s="35" t="s">
        <v>88</v>
      </c>
      <c r="J53" s="35" t="s">
        <v>78</v>
      </c>
      <c r="K53" s="35"/>
      <c r="L53" s="48" t="n">
        <f aca="false">IFERROR(AVERAGEIFS('Score Entry'!$M$5:$M$1276,'Score Entry'!$B$5:$B$1276,A53,'Score Entry'!$E$5:$E$1276,"Primary"),"")</f>
        <v>64</v>
      </c>
      <c r="M53" s="48" t="n">
        <f aca="false">IFERROR(AVERAGEIFS('Score Entry'!$M$5:$M$1276,'Score Entry'!$B$5:$B$1276,A53,'Score Entry'!$E$5:$E$1276,"Secondary"),"")</f>
        <v>74</v>
      </c>
      <c r="N53" s="48" t="n">
        <f aca="false">IF(COUNT(L53:M53)=2,ABS(L53-M53),"")</f>
        <v>10</v>
      </c>
      <c r="O53" s="37" t="str">
        <f aca="false">IF(N53="","",IF(N53&gt;=Threshold,"Yes","No"))</f>
        <v>No</v>
      </c>
      <c r="P53" s="48" t="str">
        <f aca="false">IFERROR(AVERAGEIFS('Score Entry'!$M$5:$M$1276,'Score Entry'!$B$5:$B$1276,A53,'Score Entry'!$E$5:$E$1276,"Third"),"")</f>
        <v/>
      </c>
      <c r="Q53" s="48" t="n">
        <f aca="false">IF(H53&lt;&gt;"Eligible","",IF(O53="Yes",IF(ISNUMBER(P53),ROUND(AVERAGE(L53,M53,P53),1),""),IF(O53="No",ROUND(AVERAGE(L53:M53),1),"")))</f>
        <v>69</v>
      </c>
      <c r="R53" s="37" t="str">
        <f aca="false">IF(H53&lt;&gt;"Eligible","Screened out",IF(COUNT(L53:M53)=0,"Not started",IF(COUNT(L53:M53)=1,"One read done",IF(O53="Yes",IF(ISNUMBER(P53),"Complete","Needs third read"),"Complete"))))</f>
        <v>Complete</v>
      </c>
      <c r="S53" s="37" t="n">
        <f aca="false">IF(Q53="","",COUNTIFS($C$5:$C$600,C53,$Q$5:$Q$600,"&gt;"&amp;Q53)+1)</f>
        <v>47</v>
      </c>
      <c r="T53" s="37" t="str">
        <f aca="false">IF(Q53="","",IF(Q53&gt;=Cutoff,"Yes","No"))</f>
        <v>No</v>
      </c>
      <c r="U53" s="49" t="n">
        <f aca="false">IF(T53="Yes",MIN(F53,INDEX(Settings!$G:$G,MATCH(C53,Settings!$E:$E,0))),0)</f>
        <v>0</v>
      </c>
      <c r="V53" s="49" t="str">
        <f aca="false">IF(T53="Yes",SUMIFS($U$5:$U$600,$C$5:$C$600,C53,$Q$5:$Q$600,"&gt;"&amp;Q53)+U53,"")</f>
        <v/>
      </c>
      <c r="W53" s="37" t="str">
        <f aca="false">IF(T53="Yes",IF(V53&lt;=INDEX(PoolList,MATCH(C53,ProgramList,0)),"Within pool","Over pool"),"")</f>
        <v/>
      </c>
      <c r="X53" s="37" t="str">
        <f aca="false">IF(O53="Yes",COUNTIF($O$5:O53,"Yes"),"")</f>
        <v/>
      </c>
    </row>
    <row r="54" customFormat="false" ht="15" hidden="false" customHeight="false" outlineLevel="0" collapsed="false">
      <c r="A54" s="35" t="s">
        <v>288</v>
      </c>
      <c r="B54" s="35" t="s">
        <v>289</v>
      </c>
      <c r="C54" s="35" t="s">
        <v>103</v>
      </c>
      <c r="D54" s="35" t="s">
        <v>174</v>
      </c>
      <c r="E54" s="35" t="s">
        <v>175</v>
      </c>
      <c r="F54" s="42" t="n">
        <v>91500</v>
      </c>
      <c r="G54" s="36" t="n">
        <v>45921</v>
      </c>
      <c r="H54" s="35" t="s">
        <v>54</v>
      </c>
      <c r="I54" s="35" t="s">
        <v>78</v>
      </c>
      <c r="J54" s="35" t="s">
        <v>91</v>
      </c>
      <c r="K54" s="35"/>
      <c r="L54" s="48" t="n">
        <f aca="false">IFERROR(AVERAGEIFS('Score Entry'!$M$5:$M$1276,'Score Entry'!$B$5:$B$1276,A54,'Score Entry'!$E$5:$E$1276,"Primary"),"")</f>
        <v>68</v>
      </c>
      <c r="M54" s="48" t="n">
        <f aca="false">IFERROR(AVERAGEIFS('Score Entry'!$M$5:$M$1276,'Score Entry'!$B$5:$B$1276,A54,'Score Entry'!$E$5:$E$1276,"Secondary"),"")</f>
        <v>78</v>
      </c>
      <c r="N54" s="48" t="n">
        <f aca="false">IF(COUNT(L54:M54)=2,ABS(L54-M54),"")</f>
        <v>10</v>
      </c>
      <c r="O54" s="37" t="str">
        <f aca="false">IF(N54="","",IF(N54&gt;=Threshold,"Yes","No"))</f>
        <v>No</v>
      </c>
      <c r="P54" s="48" t="str">
        <f aca="false">IFERROR(AVERAGEIFS('Score Entry'!$M$5:$M$1276,'Score Entry'!$B$5:$B$1276,A54,'Score Entry'!$E$5:$E$1276,"Third"),"")</f>
        <v/>
      </c>
      <c r="Q54" s="48" t="n">
        <f aca="false">IF(H54&lt;&gt;"Eligible","",IF(O54="Yes",IF(ISNUMBER(P54),ROUND(AVERAGE(L54,M54,P54),1),""),IF(O54="No",ROUND(AVERAGE(L54:M54),1),"")))</f>
        <v>73</v>
      </c>
      <c r="R54" s="37" t="str">
        <f aca="false">IF(H54&lt;&gt;"Eligible","Screened out",IF(COUNT(L54:M54)=0,"Not started",IF(COUNT(L54:M54)=1,"One read done",IF(O54="Yes",IF(ISNUMBER(P54),"Complete","Needs third read"),"Complete"))))</f>
        <v>Complete</v>
      </c>
      <c r="S54" s="37" t="n">
        <f aca="false">IF(Q54="","",COUNTIFS($C$5:$C$600,C54,$Q$5:$Q$600,"&gt;"&amp;Q54)+1)</f>
        <v>51</v>
      </c>
      <c r="T54" s="37" t="str">
        <f aca="false">IF(Q54="","",IF(Q54&gt;=Cutoff,"Yes","No"))</f>
        <v>No</v>
      </c>
      <c r="U54" s="49" t="n">
        <f aca="false">IF(T54="Yes",MIN(F54,INDEX(Settings!$G:$G,MATCH(C54,Settings!$E:$E,0))),0)</f>
        <v>0</v>
      </c>
      <c r="V54" s="49" t="str">
        <f aca="false">IF(T54="Yes",SUMIFS($U$5:$U$600,$C$5:$C$600,C54,$Q$5:$Q$600,"&gt;"&amp;Q54)+U54,"")</f>
        <v/>
      </c>
      <c r="W54" s="37" t="str">
        <f aca="false">IF(T54="Yes",IF(V54&lt;=INDEX(PoolList,MATCH(C54,ProgramList,0)),"Within pool","Over pool"),"")</f>
        <v/>
      </c>
      <c r="X54" s="37" t="str">
        <f aca="false">IF(O54="Yes",COUNTIF($O$5:O54,"Yes"),"")</f>
        <v/>
      </c>
    </row>
    <row r="55" customFormat="false" ht="15" hidden="false" customHeight="false" outlineLevel="0" collapsed="false">
      <c r="A55" s="35" t="s">
        <v>290</v>
      </c>
      <c r="B55" s="35" t="s">
        <v>291</v>
      </c>
      <c r="C55" s="35" t="s">
        <v>106</v>
      </c>
      <c r="D55" s="35" t="s">
        <v>180</v>
      </c>
      <c r="E55" s="35" t="s">
        <v>252</v>
      </c>
      <c r="F55" s="42" t="n">
        <v>96500</v>
      </c>
      <c r="G55" s="36" t="n">
        <v>45909</v>
      </c>
      <c r="H55" s="35" t="s">
        <v>54</v>
      </c>
      <c r="I55" s="35" t="s">
        <v>94</v>
      </c>
      <c r="J55" s="35" t="s">
        <v>82</v>
      </c>
      <c r="K55" s="35" t="s">
        <v>88</v>
      </c>
      <c r="L55" s="48" t="n">
        <f aca="false">IFERROR(AVERAGEIFS('Score Entry'!$M$5:$M$1276,'Score Entry'!$B$5:$B$1276,A55,'Score Entry'!$E$5:$E$1276,"Primary"),"")</f>
        <v>71</v>
      </c>
      <c r="M55" s="48" t="n">
        <f aca="false">IFERROR(AVERAGEIFS('Score Entry'!$M$5:$M$1276,'Score Entry'!$B$5:$B$1276,A55,'Score Entry'!$E$5:$E$1276,"Secondary"),"")</f>
        <v>49</v>
      </c>
      <c r="N55" s="48" t="n">
        <f aca="false">IF(COUNT(L55:M55)=2,ABS(L55-M55),"")</f>
        <v>22</v>
      </c>
      <c r="O55" s="37" t="str">
        <f aca="false">IF(N55="","",IF(N55&gt;=Threshold,"Yes","No"))</f>
        <v>Yes</v>
      </c>
      <c r="P55" s="48" t="n">
        <f aca="false">IFERROR(AVERAGEIFS('Score Entry'!$M$5:$M$1276,'Score Entry'!$B$5:$B$1276,A55,'Score Entry'!$E$5:$E$1276,"Third"),"")</f>
        <v>54</v>
      </c>
      <c r="Q55" s="48" t="n">
        <f aca="false">IF(H55&lt;&gt;"Eligible","",IF(O55="Yes",IF(ISNUMBER(P55),ROUND(AVERAGE(L55,M55,P55),1),""),IF(O55="No",ROUND(AVERAGE(L55:M55),1),"")))</f>
        <v>58</v>
      </c>
      <c r="R55" s="37" t="str">
        <f aca="false">IF(H55&lt;&gt;"Eligible","Screened out",IF(COUNT(L55:M55)=0,"Not started",IF(COUNT(L55:M55)=1,"One read done",IF(O55="Yes",IF(ISNUMBER(P55),"Complete","Needs third read"),"Complete"))))</f>
        <v>Complete</v>
      </c>
      <c r="S55" s="37" t="n">
        <f aca="false">IF(Q55="","",COUNTIFS($C$5:$C$600,C55,$Q$5:$Q$600,"&gt;"&amp;Q55)+1)</f>
        <v>92</v>
      </c>
      <c r="T55" s="37" t="str">
        <f aca="false">IF(Q55="","",IF(Q55&gt;=Cutoff,"Yes","No"))</f>
        <v>No</v>
      </c>
      <c r="U55" s="49" t="n">
        <f aca="false">IF(T55="Yes",MIN(F55,INDEX(Settings!$G:$G,MATCH(C55,Settings!$E:$E,0))),0)</f>
        <v>0</v>
      </c>
      <c r="V55" s="49" t="str">
        <f aca="false">IF(T55="Yes",SUMIFS($U$5:$U$600,$C$5:$C$600,C55,$Q$5:$Q$600,"&gt;"&amp;Q55)+U55,"")</f>
        <v/>
      </c>
      <c r="W55" s="37" t="str">
        <f aca="false">IF(T55="Yes",IF(V55&lt;=INDEX(PoolList,MATCH(C55,ProgramList,0)),"Within pool","Over pool"),"")</f>
        <v/>
      </c>
      <c r="X55" s="37" t="n">
        <f aca="false">IF(O55="Yes",COUNTIF($O$5:O55,"Yes"),"")</f>
        <v>7</v>
      </c>
    </row>
    <row r="56" customFormat="false" ht="15" hidden="false" customHeight="false" outlineLevel="0" collapsed="false">
      <c r="A56" s="35" t="s">
        <v>292</v>
      </c>
      <c r="B56" s="35" t="s">
        <v>293</v>
      </c>
      <c r="C56" s="35" t="s">
        <v>105</v>
      </c>
      <c r="D56" s="35" t="s">
        <v>174</v>
      </c>
      <c r="E56" s="35" t="s">
        <v>175</v>
      </c>
      <c r="F56" s="42" t="n">
        <v>59500</v>
      </c>
      <c r="G56" s="36" t="n">
        <v>45924</v>
      </c>
      <c r="H56" s="35" t="s">
        <v>54</v>
      </c>
      <c r="I56" s="35" t="s">
        <v>85</v>
      </c>
      <c r="J56" s="35" t="s">
        <v>88</v>
      </c>
      <c r="K56" s="35"/>
      <c r="L56" s="48" t="n">
        <f aca="false">IFERROR(AVERAGEIFS('Score Entry'!$M$5:$M$1276,'Score Entry'!$B$5:$B$1276,A56,'Score Entry'!$E$5:$E$1276,"Primary"),"")</f>
        <v>60</v>
      </c>
      <c r="M56" s="48" t="n">
        <f aca="false">IFERROR(AVERAGEIFS('Score Entry'!$M$5:$M$1276,'Score Entry'!$B$5:$B$1276,A56,'Score Entry'!$E$5:$E$1276,"Secondary"),"")</f>
        <v>50</v>
      </c>
      <c r="N56" s="48" t="n">
        <f aca="false">IF(COUNT(L56:M56)=2,ABS(L56-M56),"")</f>
        <v>10</v>
      </c>
      <c r="O56" s="37" t="str">
        <f aca="false">IF(N56="","",IF(N56&gt;=Threshold,"Yes","No"))</f>
        <v>No</v>
      </c>
      <c r="P56" s="48" t="str">
        <f aca="false">IFERROR(AVERAGEIFS('Score Entry'!$M$5:$M$1276,'Score Entry'!$B$5:$B$1276,A56,'Score Entry'!$E$5:$E$1276,"Third"),"")</f>
        <v/>
      </c>
      <c r="Q56" s="48" t="n">
        <f aca="false">IF(H56&lt;&gt;"Eligible","",IF(O56="Yes",IF(ISNUMBER(P56),ROUND(AVERAGE(L56,M56,P56),1),""),IF(O56="No",ROUND(AVERAGE(L56:M56),1),"")))</f>
        <v>55</v>
      </c>
      <c r="R56" s="37" t="str">
        <f aca="false">IF(H56&lt;&gt;"Eligible","Screened out",IF(COUNT(L56:M56)=0,"Not started",IF(COUNT(L56:M56)=1,"One read done",IF(O56="Yes",IF(ISNUMBER(P56),"Complete","Needs third read"),"Complete"))))</f>
        <v>Complete</v>
      </c>
      <c r="S56" s="37" t="n">
        <f aca="false">IF(Q56="","",COUNTIFS($C$5:$C$600,C56,$Q$5:$Q$600,"&gt;"&amp;Q56)+1)</f>
        <v>85</v>
      </c>
      <c r="T56" s="37" t="str">
        <f aca="false">IF(Q56="","",IF(Q56&gt;=Cutoff,"Yes","No"))</f>
        <v>No</v>
      </c>
      <c r="U56" s="49" t="n">
        <f aca="false">IF(T56="Yes",MIN(F56,INDEX(Settings!$G:$G,MATCH(C56,Settings!$E:$E,0))),0)</f>
        <v>0</v>
      </c>
      <c r="V56" s="49" t="str">
        <f aca="false">IF(T56="Yes",SUMIFS($U$5:$U$600,$C$5:$C$600,C56,$Q$5:$Q$600,"&gt;"&amp;Q56)+U56,"")</f>
        <v/>
      </c>
      <c r="W56" s="37" t="str">
        <f aca="false">IF(T56="Yes",IF(V56&lt;=INDEX(PoolList,MATCH(C56,ProgramList,0)),"Within pool","Over pool"),"")</f>
        <v/>
      </c>
      <c r="X56" s="37" t="str">
        <f aca="false">IF(O56="Yes",COUNTIF($O$5:O56,"Yes"),"")</f>
        <v/>
      </c>
    </row>
    <row r="57" customFormat="false" ht="15" hidden="false" customHeight="false" outlineLevel="0" collapsed="false">
      <c r="A57" s="35" t="s">
        <v>294</v>
      </c>
      <c r="B57" s="35" t="s">
        <v>295</v>
      </c>
      <c r="C57" s="35" t="s">
        <v>103</v>
      </c>
      <c r="D57" s="35" t="s">
        <v>174</v>
      </c>
      <c r="E57" s="35" t="s">
        <v>232</v>
      </c>
      <c r="F57" s="42" t="n">
        <v>116500</v>
      </c>
      <c r="G57" s="36" t="n">
        <v>45918</v>
      </c>
      <c r="H57" s="35" t="s">
        <v>54</v>
      </c>
      <c r="I57" s="35" t="s">
        <v>85</v>
      </c>
      <c r="J57" s="35" t="s">
        <v>82</v>
      </c>
      <c r="K57" s="35"/>
      <c r="L57" s="48" t="n">
        <f aca="false">IFERROR(AVERAGEIFS('Score Entry'!$M$5:$M$1276,'Score Entry'!$B$5:$B$1276,A57,'Score Entry'!$E$5:$E$1276,"Primary"),"")</f>
        <v>66</v>
      </c>
      <c r="M57" s="48" t="n">
        <f aca="false">IFERROR(AVERAGEIFS('Score Entry'!$M$5:$M$1276,'Score Entry'!$B$5:$B$1276,A57,'Score Entry'!$E$5:$E$1276,"Secondary"),"")</f>
        <v>62</v>
      </c>
      <c r="N57" s="48" t="n">
        <f aca="false">IF(COUNT(L57:M57)=2,ABS(L57-M57),"")</f>
        <v>4</v>
      </c>
      <c r="O57" s="37" t="str">
        <f aca="false">IF(N57="","",IF(N57&gt;=Threshold,"Yes","No"))</f>
        <v>No</v>
      </c>
      <c r="P57" s="48" t="str">
        <f aca="false">IFERROR(AVERAGEIFS('Score Entry'!$M$5:$M$1276,'Score Entry'!$B$5:$B$1276,A57,'Score Entry'!$E$5:$E$1276,"Third"),"")</f>
        <v/>
      </c>
      <c r="Q57" s="48" t="n">
        <f aca="false">IF(H57&lt;&gt;"Eligible","",IF(O57="Yes",IF(ISNUMBER(P57),ROUND(AVERAGE(L57,M57,P57),1),""),IF(O57="No",ROUND(AVERAGE(L57:M57),1),"")))</f>
        <v>64</v>
      </c>
      <c r="R57" s="37" t="str">
        <f aca="false">IF(H57&lt;&gt;"Eligible","Screened out",IF(COUNT(L57:M57)=0,"Not started",IF(COUNT(L57:M57)=1,"One read done",IF(O57="Yes",IF(ISNUMBER(P57),"Complete","Needs third read"),"Complete"))))</f>
        <v>Complete</v>
      </c>
      <c r="S57" s="37" t="n">
        <f aca="false">IF(Q57="","",COUNTIFS($C$5:$C$600,C57,$Q$5:$Q$600,"&gt;"&amp;Q57)+1)</f>
        <v>95</v>
      </c>
      <c r="T57" s="37" t="str">
        <f aca="false">IF(Q57="","",IF(Q57&gt;=Cutoff,"Yes","No"))</f>
        <v>No</v>
      </c>
      <c r="U57" s="49" t="n">
        <f aca="false">IF(T57="Yes",MIN(F57,INDEX(Settings!$G:$G,MATCH(C57,Settings!$E:$E,0))),0)</f>
        <v>0</v>
      </c>
      <c r="V57" s="49" t="str">
        <f aca="false">IF(T57="Yes",SUMIFS($U$5:$U$600,$C$5:$C$600,C57,$Q$5:$Q$600,"&gt;"&amp;Q57)+U57,"")</f>
        <v/>
      </c>
      <c r="W57" s="37" t="str">
        <f aca="false">IF(T57="Yes",IF(V57&lt;=INDEX(PoolList,MATCH(C57,ProgramList,0)),"Within pool","Over pool"),"")</f>
        <v/>
      </c>
      <c r="X57" s="37" t="str">
        <f aca="false">IF(O57="Yes",COUNTIF($O$5:O57,"Yes"),"")</f>
        <v/>
      </c>
    </row>
    <row r="58" customFormat="false" ht="15" hidden="false" customHeight="false" outlineLevel="0" collapsed="false">
      <c r="A58" s="35" t="s">
        <v>296</v>
      </c>
      <c r="B58" s="35" t="s">
        <v>297</v>
      </c>
      <c r="C58" s="35" t="s">
        <v>105</v>
      </c>
      <c r="D58" s="35" t="s">
        <v>190</v>
      </c>
      <c r="E58" s="35" t="s">
        <v>298</v>
      </c>
      <c r="F58" s="42" t="n">
        <v>44000</v>
      </c>
      <c r="G58" s="36" t="n">
        <v>45910</v>
      </c>
      <c r="H58" s="35" t="s">
        <v>96</v>
      </c>
      <c r="I58" s="35"/>
      <c r="J58" s="35"/>
      <c r="K58" s="35"/>
      <c r="L58" s="48" t="str">
        <f aca="false">IFERROR(AVERAGEIFS('Score Entry'!$M$5:$M$1276,'Score Entry'!$B$5:$B$1276,A58,'Score Entry'!$E$5:$E$1276,"Primary"),"")</f>
        <v/>
      </c>
      <c r="M58" s="48" t="str">
        <f aca="false">IFERROR(AVERAGEIFS('Score Entry'!$M$5:$M$1276,'Score Entry'!$B$5:$B$1276,A58,'Score Entry'!$E$5:$E$1276,"Secondary"),"")</f>
        <v/>
      </c>
      <c r="N58" s="48" t="str">
        <f aca="false">IF(COUNT(L58:M58)=2,ABS(L58-M58),"")</f>
        <v/>
      </c>
      <c r="O58" s="37" t="str">
        <f aca="false">IF(N58="","",IF(N58&gt;=Threshold,"Yes","No"))</f>
        <v/>
      </c>
      <c r="P58" s="48" t="str">
        <f aca="false">IFERROR(AVERAGEIFS('Score Entry'!$M$5:$M$1276,'Score Entry'!$B$5:$B$1276,A58,'Score Entry'!$E$5:$E$1276,"Third"),"")</f>
        <v/>
      </c>
      <c r="Q58" s="48" t="str">
        <f aca="false">IF(H58&lt;&gt;"Eligible","",IF(O58="Yes",IF(ISNUMBER(P58),ROUND(AVERAGE(L58,M58,P58),1),""),IF(O58="No",ROUND(AVERAGE(L58:M58),1),"")))</f>
        <v/>
      </c>
      <c r="R58" s="37" t="str">
        <f aca="false">IF(H58&lt;&gt;"Eligible","Screened out",IF(COUNT(L58:M58)=0,"Not started",IF(COUNT(L58:M58)=1,"One read done",IF(O58="Yes",IF(ISNUMBER(P58),"Complete","Needs third read"),"Complete"))))</f>
        <v>Screened out</v>
      </c>
      <c r="S58" s="37" t="str">
        <f aca="false">IF(Q58="","",COUNTIFS($C$5:$C$600,C58,$Q$5:$Q$600,"&gt;"&amp;Q58)+1)</f>
        <v/>
      </c>
      <c r="T58" s="37" t="str">
        <f aca="false">IF(Q58="","",IF(Q58&gt;=Cutoff,"Yes","No"))</f>
        <v/>
      </c>
      <c r="U58" s="49" t="n">
        <f aca="false">IF(T58="Yes",MIN(F58,INDEX(Settings!$G:$G,MATCH(C58,Settings!$E:$E,0))),0)</f>
        <v>0</v>
      </c>
      <c r="V58" s="49" t="str">
        <f aca="false">IF(T58="Yes",SUMIFS($U$5:$U$600,$C$5:$C$600,C58,$Q$5:$Q$600,"&gt;"&amp;Q58)+U58,"")</f>
        <v/>
      </c>
      <c r="W58" s="37" t="str">
        <f aca="false">IF(T58="Yes",IF(V58&lt;=INDEX(PoolList,MATCH(C58,ProgramList,0)),"Within pool","Over pool"),"")</f>
        <v/>
      </c>
      <c r="X58" s="37" t="str">
        <f aca="false">IF(O58="Yes",COUNTIF($O$5:O58,"Yes"),"")</f>
        <v/>
      </c>
    </row>
    <row r="59" customFormat="false" ht="15" hidden="false" customHeight="false" outlineLevel="0" collapsed="false">
      <c r="A59" s="35" t="s">
        <v>299</v>
      </c>
      <c r="B59" s="35" t="s">
        <v>300</v>
      </c>
      <c r="C59" s="35" t="s">
        <v>106</v>
      </c>
      <c r="D59" s="35" t="s">
        <v>180</v>
      </c>
      <c r="E59" s="35" t="s">
        <v>269</v>
      </c>
      <c r="F59" s="42" t="n">
        <v>94500</v>
      </c>
      <c r="G59" s="36" t="n">
        <v>45927</v>
      </c>
      <c r="H59" s="35" t="s">
        <v>54</v>
      </c>
      <c r="I59" s="35" t="s">
        <v>91</v>
      </c>
      <c r="J59" s="35" t="s">
        <v>78</v>
      </c>
      <c r="K59" s="35"/>
      <c r="L59" s="48" t="n">
        <f aca="false">IFERROR(AVERAGEIFS('Score Entry'!$M$5:$M$1276,'Score Entry'!$B$5:$B$1276,A59,'Score Entry'!$E$5:$E$1276,"Primary"),"")</f>
        <v>80</v>
      </c>
      <c r="M59" s="48" t="n">
        <f aca="false">IFERROR(AVERAGEIFS('Score Entry'!$M$5:$M$1276,'Score Entry'!$B$5:$B$1276,A59,'Score Entry'!$E$5:$E$1276,"Secondary"),"")</f>
        <v>76</v>
      </c>
      <c r="N59" s="48" t="n">
        <f aca="false">IF(COUNT(L59:M59)=2,ABS(L59-M59),"")</f>
        <v>4</v>
      </c>
      <c r="O59" s="37" t="str">
        <f aca="false">IF(N59="","",IF(N59&gt;=Threshold,"Yes","No"))</f>
        <v>No</v>
      </c>
      <c r="P59" s="48" t="str">
        <f aca="false">IFERROR(AVERAGEIFS('Score Entry'!$M$5:$M$1276,'Score Entry'!$B$5:$B$1276,A59,'Score Entry'!$E$5:$E$1276,"Third"),"")</f>
        <v/>
      </c>
      <c r="Q59" s="48" t="n">
        <f aca="false">IF(H59&lt;&gt;"Eligible","",IF(O59="Yes",IF(ISNUMBER(P59),ROUND(AVERAGE(L59,M59,P59),1),""),IF(O59="No",ROUND(AVERAGE(L59:M59),1),"")))</f>
        <v>78</v>
      </c>
      <c r="R59" s="37" t="str">
        <f aca="false">IF(H59&lt;&gt;"Eligible","Screened out",IF(COUNT(L59:M59)=0,"Not started",IF(COUNT(L59:M59)=1,"One read done",IF(O59="Yes",IF(ISNUMBER(P59),"Complete","Needs third read"),"Complete"))))</f>
        <v>Complete</v>
      </c>
      <c r="S59" s="37" t="n">
        <f aca="false">IF(Q59="","",COUNTIFS($C$5:$C$600,C59,$Q$5:$Q$600,"&gt;"&amp;Q59)+1)</f>
        <v>26</v>
      </c>
      <c r="T59" s="37" t="str">
        <f aca="false">IF(Q59="","",IF(Q59&gt;=Cutoff,"Yes","No"))</f>
        <v>No</v>
      </c>
      <c r="U59" s="49" t="n">
        <f aca="false">IF(T59="Yes",MIN(F59,INDEX(Settings!$G:$G,MATCH(C59,Settings!$E:$E,0))),0)</f>
        <v>0</v>
      </c>
      <c r="V59" s="49" t="str">
        <f aca="false">IF(T59="Yes",SUMIFS($U$5:$U$600,$C$5:$C$600,C59,$Q$5:$Q$600,"&gt;"&amp;Q59)+U59,"")</f>
        <v/>
      </c>
      <c r="W59" s="37" t="str">
        <f aca="false">IF(T59="Yes",IF(V59&lt;=INDEX(PoolList,MATCH(C59,ProgramList,0)),"Within pool","Over pool"),"")</f>
        <v/>
      </c>
      <c r="X59" s="37" t="str">
        <f aca="false">IF(O59="Yes",COUNTIF($O$5:O59,"Yes"),"")</f>
        <v/>
      </c>
    </row>
    <row r="60" customFormat="false" ht="15" hidden="false" customHeight="false" outlineLevel="0" collapsed="false">
      <c r="A60" s="35" t="s">
        <v>301</v>
      </c>
      <c r="B60" s="35" t="s">
        <v>302</v>
      </c>
      <c r="C60" s="35" t="s">
        <v>103</v>
      </c>
      <c r="D60" s="35" t="s">
        <v>174</v>
      </c>
      <c r="E60" s="35" t="s">
        <v>232</v>
      </c>
      <c r="F60" s="42" t="n">
        <v>51500</v>
      </c>
      <c r="G60" s="36" t="n">
        <v>45914</v>
      </c>
      <c r="H60" s="35" t="s">
        <v>54</v>
      </c>
      <c r="I60" s="35" t="s">
        <v>91</v>
      </c>
      <c r="J60" s="35" t="s">
        <v>78</v>
      </c>
      <c r="K60" s="35"/>
      <c r="L60" s="48" t="n">
        <f aca="false">IFERROR(AVERAGEIFS('Score Entry'!$M$5:$M$1276,'Score Entry'!$B$5:$B$1276,A60,'Score Entry'!$E$5:$E$1276,"Primary"),"")</f>
        <v>56</v>
      </c>
      <c r="M60" s="48" t="n">
        <f aca="false">IFERROR(AVERAGEIFS('Score Entry'!$M$5:$M$1276,'Score Entry'!$B$5:$B$1276,A60,'Score Entry'!$E$5:$E$1276,"Secondary"),"")</f>
        <v>67</v>
      </c>
      <c r="N60" s="48" t="n">
        <f aca="false">IF(COUNT(L60:M60)=2,ABS(L60-M60),"")</f>
        <v>11</v>
      </c>
      <c r="O60" s="37" t="str">
        <f aca="false">IF(N60="","",IF(N60&gt;=Threshold,"Yes","No"))</f>
        <v>No</v>
      </c>
      <c r="P60" s="48" t="str">
        <f aca="false">IFERROR(AVERAGEIFS('Score Entry'!$M$5:$M$1276,'Score Entry'!$B$5:$B$1276,A60,'Score Entry'!$E$5:$E$1276,"Third"),"")</f>
        <v/>
      </c>
      <c r="Q60" s="48" t="n">
        <f aca="false">IF(H60&lt;&gt;"Eligible","",IF(O60="Yes",IF(ISNUMBER(P60),ROUND(AVERAGE(L60,M60,P60),1),""),IF(O60="No",ROUND(AVERAGE(L60:M60),1),"")))</f>
        <v>61.5</v>
      </c>
      <c r="R60" s="37" t="str">
        <f aca="false">IF(H60&lt;&gt;"Eligible","Screened out",IF(COUNT(L60:M60)=0,"Not started",IF(COUNT(L60:M60)=1,"One read done",IF(O60="Yes",IF(ISNUMBER(P60),"Complete","Needs third read"),"Complete"))))</f>
        <v>Complete</v>
      </c>
      <c r="S60" s="37" t="n">
        <f aca="false">IF(Q60="","",COUNTIFS($C$5:$C$600,C60,$Q$5:$Q$600,"&gt;"&amp;Q60)+1)</f>
        <v>105</v>
      </c>
      <c r="T60" s="37" t="str">
        <f aca="false">IF(Q60="","",IF(Q60&gt;=Cutoff,"Yes","No"))</f>
        <v>No</v>
      </c>
      <c r="U60" s="49" t="n">
        <f aca="false">IF(T60="Yes",MIN(F60,INDEX(Settings!$G:$G,MATCH(C60,Settings!$E:$E,0))),0)</f>
        <v>0</v>
      </c>
      <c r="V60" s="49" t="str">
        <f aca="false">IF(T60="Yes",SUMIFS($U$5:$U$600,$C$5:$C$600,C60,$Q$5:$Q$600,"&gt;"&amp;Q60)+U60,"")</f>
        <v/>
      </c>
      <c r="W60" s="37" t="str">
        <f aca="false">IF(T60="Yes",IF(V60&lt;=INDEX(PoolList,MATCH(C60,ProgramList,0)),"Within pool","Over pool"),"")</f>
        <v/>
      </c>
      <c r="X60" s="37" t="str">
        <f aca="false">IF(O60="Yes",COUNTIF($O$5:O60,"Yes"),"")</f>
        <v/>
      </c>
    </row>
    <row r="61" customFormat="false" ht="15" hidden="false" customHeight="false" outlineLevel="0" collapsed="false">
      <c r="A61" s="35" t="s">
        <v>303</v>
      </c>
      <c r="B61" s="35" t="s">
        <v>304</v>
      </c>
      <c r="C61" s="35" t="s">
        <v>106</v>
      </c>
      <c r="D61" s="35" t="s">
        <v>180</v>
      </c>
      <c r="E61" s="35" t="s">
        <v>218</v>
      </c>
      <c r="F61" s="42" t="n">
        <v>121000</v>
      </c>
      <c r="G61" s="36" t="n">
        <v>45925</v>
      </c>
      <c r="H61" s="35" t="s">
        <v>54</v>
      </c>
      <c r="I61" s="35" t="s">
        <v>94</v>
      </c>
      <c r="J61" s="35" t="s">
        <v>82</v>
      </c>
      <c r="K61" s="35"/>
      <c r="L61" s="48" t="n">
        <f aca="false">IFERROR(AVERAGEIFS('Score Entry'!$M$5:$M$1276,'Score Entry'!$B$5:$B$1276,A61,'Score Entry'!$E$5:$E$1276,"Primary"),"")</f>
        <v>44</v>
      </c>
      <c r="M61" s="48" t="n">
        <f aca="false">IFERROR(AVERAGEIFS('Score Entry'!$M$5:$M$1276,'Score Entry'!$B$5:$B$1276,A61,'Score Entry'!$E$5:$E$1276,"Secondary"),"")</f>
        <v>33</v>
      </c>
      <c r="N61" s="48" t="n">
        <f aca="false">IF(COUNT(L61:M61)=2,ABS(L61-M61),"")</f>
        <v>11</v>
      </c>
      <c r="O61" s="37" t="str">
        <f aca="false">IF(N61="","",IF(N61&gt;=Threshold,"Yes","No"))</f>
        <v>No</v>
      </c>
      <c r="P61" s="48" t="str">
        <f aca="false">IFERROR(AVERAGEIFS('Score Entry'!$M$5:$M$1276,'Score Entry'!$B$5:$B$1276,A61,'Score Entry'!$E$5:$E$1276,"Third"),"")</f>
        <v/>
      </c>
      <c r="Q61" s="48" t="n">
        <f aca="false">IF(H61&lt;&gt;"Eligible","",IF(O61="Yes",IF(ISNUMBER(P61),ROUND(AVERAGE(L61,M61,P61),1),""),IF(O61="No",ROUND(AVERAGE(L61:M61),1),"")))</f>
        <v>38.5</v>
      </c>
      <c r="R61" s="37" t="str">
        <f aca="false">IF(H61&lt;&gt;"Eligible","Screened out",IF(COUNT(L61:M61)=0,"Not started",IF(COUNT(L61:M61)=1,"One read done",IF(O61="Yes",IF(ISNUMBER(P61),"Complete","Needs third read"),"Complete"))))</f>
        <v>Complete</v>
      </c>
      <c r="S61" s="37" t="n">
        <f aca="false">IF(Q61="","",COUNTIFS($C$5:$C$600,C61,$Q$5:$Q$600,"&gt;"&amp;Q61)+1)</f>
        <v>120</v>
      </c>
      <c r="T61" s="37" t="str">
        <f aca="false">IF(Q61="","",IF(Q61&gt;=Cutoff,"Yes","No"))</f>
        <v>No</v>
      </c>
      <c r="U61" s="49" t="n">
        <f aca="false">IF(T61="Yes",MIN(F61,INDEX(Settings!$G:$G,MATCH(C61,Settings!$E:$E,0))),0)</f>
        <v>0</v>
      </c>
      <c r="V61" s="49" t="str">
        <f aca="false">IF(T61="Yes",SUMIFS($U$5:$U$600,$C$5:$C$600,C61,$Q$5:$Q$600,"&gt;"&amp;Q61)+U61,"")</f>
        <v/>
      </c>
      <c r="W61" s="37" t="str">
        <f aca="false">IF(T61="Yes",IF(V61&lt;=INDEX(PoolList,MATCH(C61,ProgramList,0)),"Within pool","Over pool"),"")</f>
        <v/>
      </c>
      <c r="X61" s="37" t="str">
        <f aca="false">IF(O61="Yes",COUNTIF($O$5:O61,"Yes"),"")</f>
        <v/>
      </c>
    </row>
    <row r="62" customFormat="false" ht="15" hidden="false" customHeight="false" outlineLevel="0" collapsed="false">
      <c r="A62" s="35" t="s">
        <v>305</v>
      </c>
      <c r="B62" s="35" t="s">
        <v>306</v>
      </c>
      <c r="C62" s="35" t="s">
        <v>104</v>
      </c>
      <c r="D62" s="35" t="s">
        <v>180</v>
      </c>
      <c r="E62" s="35" t="s">
        <v>252</v>
      </c>
      <c r="F62" s="42" t="n">
        <v>87500</v>
      </c>
      <c r="G62" s="36" t="n">
        <v>45912</v>
      </c>
      <c r="H62" s="35" t="s">
        <v>54</v>
      </c>
      <c r="I62" s="35" t="s">
        <v>85</v>
      </c>
      <c r="J62" s="35" t="s">
        <v>88</v>
      </c>
      <c r="K62" s="35"/>
      <c r="L62" s="48" t="n">
        <f aca="false">IFERROR(AVERAGEIFS('Score Entry'!$M$5:$M$1276,'Score Entry'!$B$5:$B$1276,A62,'Score Entry'!$E$5:$E$1276,"Primary"),"")</f>
        <v>50</v>
      </c>
      <c r="M62" s="48" t="n">
        <f aca="false">IFERROR(AVERAGEIFS('Score Entry'!$M$5:$M$1276,'Score Entry'!$B$5:$B$1276,A62,'Score Entry'!$E$5:$E$1276,"Secondary"),"")</f>
        <v>56</v>
      </c>
      <c r="N62" s="48" t="n">
        <f aca="false">IF(COUNT(L62:M62)=2,ABS(L62-M62),"")</f>
        <v>6</v>
      </c>
      <c r="O62" s="37" t="str">
        <f aca="false">IF(N62="","",IF(N62&gt;=Threshold,"Yes","No"))</f>
        <v>No</v>
      </c>
      <c r="P62" s="48" t="str">
        <f aca="false">IFERROR(AVERAGEIFS('Score Entry'!$M$5:$M$1276,'Score Entry'!$B$5:$B$1276,A62,'Score Entry'!$E$5:$E$1276,"Third"),"")</f>
        <v/>
      </c>
      <c r="Q62" s="48" t="n">
        <f aca="false">IF(H62&lt;&gt;"Eligible","",IF(O62="Yes",IF(ISNUMBER(P62),ROUND(AVERAGE(L62,M62,P62),1),""),IF(O62="No",ROUND(AVERAGE(L62:M62),1),"")))</f>
        <v>53</v>
      </c>
      <c r="R62" s="37" t="str">
        <f aca="false">IF(H62&lt;&gt;"Eligible","Screened out",IF(COUNT(L62:M62)=0,"Not started",IF(COUNT(L62:M62)=1,"One read done",IF(O62="Yes",IF(ISNUMBER(P62),"Complete","Needs third read"),"Complete"))))</f>
        <v>Complete</v>
      </c>
      <c r="S62" s="37" t="n">
        <f aca="false">IF(Q62="","",COUNTIFS($C$5:$C$600,C62,$Q$5:$Q$600,"&gt;"&amp;Q62)+1)</f>
        <v>92</v>
      </c>
      <c r="T62" s="37" t="str">
        <f aca="false">IF(Q62="","",IF(Q62&gt;=Cutoff,"Yes","No"))</f>
        <v>No</v>
      </c>
      <c r="U62" s="49" t="n">
        <f aca="false">IF(T62="Yes",MIN(F62,INDEX(Settings!$G:$G,MATCH(C62,Settings!$E:$E,0))),0)</f>
        <v>0</v>
      </c>
      <c r="V62" s="49" t="str">
        <f aca="false">IF(T62="Yes",SUMIFS($U$5:$U$600,$C$5:$C$600,C62,$Q$5:$Q$600,"&gt;"&amp;Q62)+U62,"")</f>
        <v/>
      </c>
      <c r="W62" s="37" t="str">
        <f aca="false">IF(T62="Yes",IF(V62&lt;=INDEX(PoolList,MATCH(C62,ProgramList,0)),"Within pool","Over pool"),"")</f>
        <v/>
      </c>
      <c r="X62" s="37" t="str">
        <f aca="false">IF(O62="Yes",COUNTIF($O$5:O62,"Yes"),"")</f>
        <v/>
      </c>
    </row>
    <row r="63" customFormat="false" ht="15" hidden="false" customHeight="false" outlineLevel="0" collapsed="false">
      <c r="A63" s="35" t="s">
        <v>307</v>
      </c>
      <c r="B63" s="35" t="s">
        <v>308</v>
      </c>
      <c r="C63" s="35" t="s">
        <v>103</v>
      </c>
      <c r="D63" s="35" t="s">
        <v>174</v>
      </c>
      <c r="E63" s="35" t="s">
        <v>175</v>
      </c>
      <c r="F63" s="42" t="n">
        <v>40500</v>
      </c>
      <c r="G63" s="36" t="n">
        <v>45927</v>
      </c>
      <c r="H63" s="35" t="s">
        <v>96</v>
      </c>
      <c r="I63" s="35"/>
      <c r="J63" s="35"/>
      <c r="K63" s="35"/>
      <c r="L63" s="48" t="str">
        <f aca="false">IFERROR(AVERAGEIFS('Score Entry'!$M$5:$M$1276,'Score Entry'!$B$5:$B$1276,A63,'Score Entry'!$E$5:$E$1276,"Primary"),"")</f>
        <v/>
      </c>
      <c r="M63" s="48" t="str">
        <f aca="false">IFERROR(AVERAGEIFS('Score Entry'!$M$5:$M$1276,'Score Entry'!$B$5:$B$1276,A63,'Score Entry'!$E$5:$E$1276,"Secondary"),"")</f>
        <v/>
      </c>
      <c r="N63" s="48" t="str">
        <f aca="false">IF(COUNT(L63:M63)=2,ABS(L63-M63),"")</f>
        <v/>
      </c>
      <c r="O63" s="37" t="str">
        <f aca="false">IF(N63="","",IF(N63&gt;=Threshold,"Yes","No"))</f>
        <v/>
      </c>
      <c r="P63" s="48" t="str">
        <f aca="false">IFERROR(AVERAGEIFS('Score Entry'!$M$5:$M$1276,'Score Entry'!$B$5:$B$1276,A63,'Score Entry'!$E$5:$E$1276,"Third"),"")</f>
        <v/>
      </c>
      <c r="Q63" s="48" t="str">
        <f aca="false">IF(H63&lt;&gt;"Eligible","",IF(O63="Yes",IF(ISNUMBER(P63),ROUND(AVERAGE(L63,M63,P63),1),""),IF(O63="No",ROUND(AVERAGE(L63:M63),1),"")))</f>
        <v/>
      </c>
      <c r="R63" s="37" t="str">
        <f aca="false">IF(H63&lt;&gt;"Eligible","Screened out",IF(COUNT(L63:M63)=0,"Not started",IF(COUNT(L63:M63)=1,"One read done",IF(O63="Yes",IF(ISNUMBER(P63),"Complete","Needs third read"),"Complete"))))</f>
        <v>Screened out</v>
      </c>
      <c r="S63" s="37" t="str">
        <f aca="false">IF(Q63="","",COUNTIFS($C$5:$C$600,C63,$Q$5:$Q$600,"&gt;"&amp;Q63)+1)</f>
        <v/>
      </c>
      <c r="T63" s="37" t="str">
        <f aca="false">IF(Q63="","",IF(Q63&gt;=Cutoff,"Yes","No"))</f>
        <v/>
      </c>
      <c r="U63" s="49" t="n">
        <f aca="false">IF(T63="Yes",MIN(F63,INDEX(Settings!$G:$G,MATCH(C63,Settings!$E:$E,0))),0)</f>
        <v>0</v>
      </c>
      <c r="V63" s="49" t="str">
        <f aca="false">IF(T63="Yes",SUMIFS($U$5:$U$600,$C$5:$C$600,C63,$Q$5:$Q$600,"&gt;"&amp;Q63)+U63,"")</f>
        <v/>
      </c>
      <c r="W63" s="37" t="str">
        <f aca="false">IF(T63="Yes",IF(V63&lt;=INDEX(PoolList,MATCH(C63,ProgramList,0)),"Within pool","Over pool"),"")</f>
        <v/>
      </c>
      <c r="X63" s="37" t="str">
        <f aca="false">IF(O63="Yes",COUNTIF($O$5:O63,"Yes"),"")</f>
        <v/>
      </c>
    </row>
    <row r="64" customFormat="false" ht="15" hidden="false" customHeight="false" outlineLevel="0" collapsed="false">
      <c r="A64" s="35" t="s">
        <v>309</v>
      </c>
      <c r="B64" s="35" t="s">
        <v>310</v>
      </c>
      <c r="C64" s="35" t="s">
        <v>103</v>
      </c>
      <c r="D64" s="35" t="s">
        <v>174</v>
      </c>
      <c r="E64" s="35" t="s">
        <v>175</v>
      </c>
      <c r="F64" s="42" t="n">
        <v>78500</v>
      </c>
      <c r="G64" s="36" t="n">
        <v>45915</v>
      </c>
      <c r="H64" s="35" t="s">
        <v>54</v>
      </c>
      <c r="I64" s="35" t="s">
        <v>91</v>
      </c>
      <c r="J64" s="35" t="s">
        <v>85</v>
      </c>
      <c r="K64" s="35"/>
      <c r="L64" s="48" t="n">
        <f aca="false">IFERROR(AVERAGEIFS('Score Entry'!$M$5:$M$1276,'Score Entry'!$B$5:$B$1276,A64,'Score Entry'!$E$5:$E$1276,"Primary"),"")</f>
        <v>100</v>
      </c>
      <c r="M64" s="48" t="n">
        <f aca="false">IFERROR(AVERAGEIFS('Score Entry'!$M$5:$M$1276,'Score Entry'!$B$5:$B$1276,A64,'Score Entry'!$E$5:$E$1276,"Secondary"),"")</f>
        <v>98</v>
      </c>
      <c r="N64" s="48" t="n">
        <f aca="false">IF(COUNT(L64:M64)=2,ABS(L64-M64),"")</f>
        <v>2</v>
      </c>
      <c r="O64" s="37" t="str">
        <f aca="false">IF(N64="","",IF(N64&gt;=Threshold,"Yes","No"))</f>
        <v>No</v>
      </c>
      <c r="P64" s="48" t="str">
        <f aca="false">IFERROR(AVERAGEIFS('Score Entry'!$M$5:$M$1276,'Score Entry'!$B$5:$B$1276,A64,'Score Entry'!$E$5:$E$1276,"Third"),"")</f>
        <v/>
      </c>
      <c r="Q64" s="48" t="n">
        <f aca="false">IF(H64&lt;&gt;"Eligible","",IF(O64="Yes",IF(ISNUMBER(P64),ROUND(AVERAGE(L64,M64,P64),1),""),IF(O64="No",ROUND(AVERAGE(L64:M64),1),"")))</f>
        <v>99</v>
      </c>
      <c r="R64" s="37" t="str">
        <f aca="false">IF(H64&lt;&gt;"Eligible","Screened out",IF(COUNT(L64:M64)=0,"Not started",IF(COUNT(L64:M64)=1,"One read done",IF(O64="Yes",IF(ISNUMBER(P64),"Complete","Needs third read"),"Complete"))))</f>
        <v>Complete</v>
      </c>
      <c r="S64" s="37" t="n">
        <f aca="false">IF(Q64="","",COUNTIFS($C$5:$C$600,C64,$Q$5:$Q$600,"&gt;"&amp;Q64)+1)</f>
        <v>1</v>
      </c>
      <c r="T64" s="37" t="str">
        <f aca="false">IF(Q64="","",IF(Q64&gt;=Cutoff,"Yes","No"))</f>
        <v>Yes</v>
      </c>
      <c r="U64" s="49" t="n">
        <f aca="false">IF(T64="Yes",MIN(F64,INDEX(Settings!$G:$G,MATCH(C64,Settings!$E:$E,0))),0)</f>
        <v>78500</v>
      </c>
      <c r="V64" s="49" t="n">
        <f aca="false">IF(T64="Yes",SUMIFS($U$5:$U$600,$C$5:$C$600,C64,$Q$5:$Q$600,"&gt;"&amp;Q64)+U64,"")</f>
        <v>78500</v>
      </c>
      <c r="W64" s="37" t="str">
        <f aca="false">IF(T64="Yes",IF(V64&lt;=INDEX(PoolList,MATCH(C64,ProgramList,0)),"Within pool","Over pool"),"")</f>
        <v>Within pool</v>
      </c>
      <c r="X64" s="37" t="str">
        <f aca="false">IF(O64="Yes",COUNTIF($O$5:O64,"Yes"),"")</f>
        <v/>
      </c>
    </row>
    <row r="65" customFormat="false" ht="15" hidden="false" customHeight="false" outlineLevel="0" collapsed="false">
      <c r="A65" s="35" t="s">
        <v>311</v>
      </c>
      <c r="B65" s="35" t="s">
        <v>312</v>
      </c>
      <c r="C65" s="35" t="s">
        <v>104</v>
      </c>
      <c r="D65" s="35" t="s">
        <v>174</v>
      </c>
      <c r="E65" s="35" t="s">
        <v>175</v>
      </c>
      <c r="F65" s="42" t="n">
        <v>48500</v>
      </c>
      <c r="G65" s="36" t="n">
        <v>45917</v>
      </c>
      <c r="H65" s="35" t="s">
        <v>54</v>
      </c>
      <c r="I65" s="35" t="s">
        <v>78</v>
      </c>
      <c r="J65" s="35" t="s">
        <v>88</v>
      </c>
      <c r="K65" s="35"/>
      <c r="L65" s="48" t="n">
        <f aca="false">IFERROR(AVERAGEIFS('Score Entry'!$M$5:$M$1276,'Score Entry'!$B$5:$B$1276,A65,'Score Entry'!$E$5:$E$1276,"Primary"),"")</f>
        <v>84</v>
      </c>
      <c r="M65" s="48" t="str">
        <f aca="false">IFERROR(AVERAGEIFS('Score Entry'!$M$5:$M$1276,'Score Entry'!$B$5:$B$1276,A65,'Score Entry'!$E$5:$E$1276,"Secondary"),"")</f>
        <v/>
      </c>
      <c r="N65" s="48" t="str">
        <f aca="false">IF(COUNT(L65:M65)=2,ABS(L65-M65),"")</f>
        <v/>
      </c>
      <c r="O65" s="37" t="str">
        <f aca="false">IF(N65="","",IF(N65&gt;=Threshold,"Yes","No"))</f>
        <v/>
      </c>
      <c r="P65" s="48" t="str">
        <f aca="false">IFERROR(AVERAGEIFS('Score Entry'!$M$5:$M$1276,'Score Entry'!$B$5:$B$1276,A65,'Score Entry'!$E$5:$E$1276,"Third"),"")</f>
        <v/>
      </c>
      <c r="Q65" s="48" t="str">
        <f aca="false">IF(H65&lt;&gt;"Eligible","",IF(O65="Yes",IF(ISNUMBER(P65),ROUND(AVERAGE(L65,M65,P65),1),""),IF(O65="No",ROUND(AVERAGE(L65:M65),1),"")))</f>
        <v/>
      </c>
      <c r="R65" s="37" t="str">
        <f aca="false">IF(H65&lt;&gt;"Eligible","Screened out",IF(COUNT(L65:M65)=0,"Not started",IF(COUNT(L65:M65)=1,"One read done",IF(O65="Yes",IF(ISNUMBER(P65),"Complete","Needs third read"),"Complete"))))</f>
        <v>One read done</v>
      </c>
      <c r="S65" s="37" t="str">
        <f aca="false">IF(Q65="","",COUNTIFS($C$5:$C$600,C65,$Q$5:$Q$600,"&gt;"&amp;Q65)+1)</f>
        <v/>
      </c>
      <c r="T65" s="37" t="str">
        <f aca="false">IF(Q65="","",IF(Q65&gt;=Cutoff,"Yes","No"))</f>
        <v/>
      </c>
      <c r="U65" s="49" t="n">
        <f aca="false">IF(T65="Yes",MIN(F65,INDEX(Settings!$G:$G,MATCH(C65,Settings!$E:$E,0))),0)</f>
        <v>0</v>
      </c>
      <c r="V65" s="49" t="str">
        <f aca="false">IF(T65="Yes",SUMIFS($U$5:$U$600,$C$5:$C$600,C65,$Q$5:$Q$600,"&gt;"&amp;Q65)+U65,"")</f>
        <v/>
      </c>
      <c r="W65" s="37" t="str">
        <f aca="false">IF(T65="Yes",IF(V65&lt;=INDEX(PoolList,MATCH(C65,ProgramList,0)),"Within pool","Over pool"),"")</f>
        <v/>
      </c>
      <c r="X65" s="37" t="str">
        <f aca="false">IF(O65="Yes",COUNTIF($O$5:O65,"Yes"),"")</f>
        <v/>
      </c>
    </row>
    <row r="66" customFormat="false" ht="15" hidden="false" customHeight="false" outlineLevel="0" collapsed="false">
      <c r="A66" s="35" t="s">
        <v>313</v>
      </c>
      <c r="B66" s="35" t="s">
        <v>314</v>
      </c>
      <c r="C66" s="35" t="s">
        <v>103</v>
      </c>
      <c r="D66" s="35" t="s">
        <v>174</v>
      </c>
      <c r="E66" s="35" t="s">
        <v>175</v>
      </c>
      <c r="F66" s="42" t="n">
        <v>195000</v>
      </c>
      <c r="G66" s="36" t="n">
        <v>45919</v>
      </c>
      <c r="H66" s="35" t="s">
        <v>54</v>
      </c>
      <c r="I66" s="35" t="s">
        <v>94</v>
      </c>
      <c r="J66" s="35" t="s">
        <v>85</v>
      </c>
      <c r="K66" s="35" t="s">
        <v>78</v>
      </c>
      <c r="L66" s="48" t="n">
        <f aca="false">IFERROR(AVERAGEIFS('Score Entry'!$M$5:$M$1276,'Score Entry'!$B$5:$B$1276,A66,'Score Entry'!$E$5:$E$1276,"Primary"),"")</f>
        <v>58</v>
      </c>
      <c r="M66" s="48" t="n">
        <f aca="false">IFERROR(AVERAGEIFS('Score Entry'!$M$5:$M$1276,'Score Entry'!$B$5:$B$1276,A66,'Score Entry'!$E$5:$E$1276,"Secondary"),"")</f>
        <v>76</v>
      </c>
      <c r="N66" s="48" t="n">
        <f aca="false">IF(COUNT(L66:M66)=2,ABS(L66-M66),"")</f>
        <v>18</v>
      </c>
      <c r="O66" s="37" t="str">
        <f aca="false">IF(N66="","",IF(N66&gt;=Threshold,"Yes","No"))</f>
        <v>Yes</v>
      </c>
      <c r="P66" s="48" t="n">
        <f aca="false">IFERROR(AVERAGEIFS('Score Entry'!$M$5:$M$1276,'Score Entry'!$B$5:$B$1276,A66,'Score Entry'!$E$5:$E$1276,"Third"),"")</f>
        <v>56</v>
      </c>
      <c r="Q66" s="48" t="n">
        <f aca="false">IF(H66&lt;&gt;"Eligible","",IF(O66="Yes",IF(ISNUMBER(P66),ROUND(AVERAGE(L66,M66,P66),1),""),IF(O66="No",ROUND(AVERAGE(L66:M66),1),"")))</f>
        <v>63.3</v>
      </c>
      <c r="R66" s="37" t="str">
        <f aca="false">IF(H66&lt;&gt;"Eligible","Screened out",IF(COUNT(L66:M66)=0,"Not started",IF(COUNT(L66:M66)=1,"One read done",IF(O66="Yes",IF(ISNUMBER(P66),"Complete","Needs third read"),"Complete"))))</f>
        <v>Complete</v>
      </c>
      <c r="S66" s="37" t="n">
        <f aca="false">IF(Q66="","",COUNTIFS($C$5:$C$600,C66,$Q$5:$Q$600,"&gt;"&amp;Q66)+1)</f>
        <v>99</v>
      </c>
      <c r="T66" s="37" t="str">
        <f aca="false">IF(Q66="","",IF(Q66&gt;=Cutoff,"Yes","No"))</f>
        <v>No</v>
      </c>
      <c r="U66" s="49" t="n">
        <f aca="false">IF(T66="Yes",MIN(F66,INDEX(Settings!$G:$G,MATCH(C66,Settings!$E:$E,0))),0)</f>
        <v>0</v>
      </c>
      <c r="V66" s="49" t="str">
        <f aca="false">IF(T66="Yes",SUMIFS($U$5:$U$600,$C$5:$C$600,C66,$Q$5:$Q$600,"&gt;"&amp;Q66)+U66,"")</f>
        <v/>
      </c>
      <c r="W66" s="37" t="str">
        <f aca="false">IF(T66="Yes",IF(V66&lt;=INDEX(PoolList,MATCH(C66,ProgramList,0)),"Within pool","Over pool"),"")</f>
        <v/>
      </c>
      <c r="X66" s="37" t="n">
        <f aca="false">IF(O66="Yes",COUNTIF($O$5:O66,"Yes"),"")</f>
        <v>8</v>
      </c>
    </row>
    <row r="67" customFormat="false" ht="15" hidden="false" customHeight="false" outlineLevel="0" collapsed="false">
      <c r="A67" s="35" t="s">
        <v>315</v>
      </c>
      <c r="B67" s="35" t="s">
        <v>316</v>
      </c>
      <c r="C67" s="35" t="s">
        <v>103</v>
      </c>
      <c r="D67" s="35" t="s">
        <v>174</v>
      </c>
      <c r="E67" s="35" t="s">
        <v>175</v>
      </c>
      <c r="F67" s="42" t="n">
        <v>120000</v>
      </c>
      <c r="G67" s="36" t="n">
        <v>45921</v>
      </c>
      <c r="H67" s="35" t="s">
        <v>54</v>
      </c>
      <c r="I67" s="35" t="s">
        <v>82</v>
      </c>
      <c r="J67" s="35" t="s">
        <v>94</v>
      </c>
      <c r="K67" s="35"/>
      <c r="L67" s="48" t="n">
        <f aca="false">IFERROR(AVERAGEIFS('Score Entry'!$M$5:$M$1276,'Score Entry'!$B$5:$B$1276,A67,'Score Entry'!$E$5:$E$1276,"Primary"),"")</f>
        <v>58</v>
      </c>
      <c r="M67" s="48" t="n">
        <f aca="false">IFERROR(AVERAGEIFS('Score Entry'!$M$5:$M$1276,'Score Entry'!$B$5:$B$1276,A67,'Score Entry'!$E$5:$E$1276,"Secondary"),"")</f>
        <v>67</v>
      </c>
      <c r="N67" s="48" t="n">
        <f aca="false">IF(COUNT(L67:M67)=2,ABS(L67-M67),"")</f>
        <v>9</v>
      </c>
      <c r="O67" s="37" t="str">
        <f aca="false">IF(N67="","",IF(N67&gt;=Threshold,"Yes","No"))</f>
        <v>No</v>
      </c>
      <c r="P67" s="48" t="str">
        <f aca="false">IFERROR(AVERAGEIFS('Score Entry'!$M$5:$M$1276,'Score Entry'!$B$5:$B$1276,A67,'Score Entry'!$E$5:$E$1276,"Third"),"")</f>
        <v/>
      </c>
      <c r="Q67" s="48" t="n">
        <f aca="false">IF(H67&lt;&gt;"Eligible","",IF(O67="Yes",IF(ISNUMBER(P67),ROUND(AVERAGE(L67,M67,P67),1),""),IF(O67="No",ROUND(AVERAGE(L67:M67),1),"")))</f>
        <v>62.5</v>
      </c>
      <c r="R67" s="37" t="str">
        <f aca="false">IF(H67&lt;&gt;"Eligible","Screened out",IF(COUNT(L67:M67)=0,"Not started",IF(COUNT(L67:M67)=1,"One read done",IF(O67="Yes",IF(ISNUMBER(P67),"Complete","Needs third read"),"Complete"))))</f>
        <v>Complete</v>
      </c>
      <c r="S67" s="37" t="n">
        <f aca="false">IF(Q67="","",COUNTIFS($C$5:$C$600,C67,$Q$5:$Q$600,"&gt;"&amp;Q67)+1)</f>
        <v>101</v>
      </c>
      <c r="T67" s="37" t="str">
        <f aca="false">IF(Q67="","",IF(Q67&gt;=Cutoff,"Yes","No"))</f>
        <v>No</v>
      </c>
      <c r="U67" s="49" t="n">
        <f aca="false">IF(T67="Yes",MIN(F67,INDEX(Settings!$G:$G,MATCH(C67,Settings!$E:$E,0))),0)</f>
        <v>0</v>
      </c>
      <c r="V67" s="49" t="str">
        <f aca="false">IF(T67="Yes",SUMIFS($U$5:$U$600,$C$5:$C$600,C67,$Q$5:$Q$600,"&gt;"&amp;Q67)+U67,"")</f>
        <v/>
      </c>
      <c r="W67" s="37" t="str">
        <f aca="false">IF(T67="Yes",IF(V67&lt;=INDEX(PoolList,MATCH(C67,ProgramList,0)),"Within pool","Over pool"),"")</f>
        <v/>
      </c>
      <c r="X67" s="37" t="str">
        <f aca="false">IF(O67="Yes",COUNTIF($O$5:O67,"Yes"),"")</f>
        <v/>
      </c>
    </row>
    <row r="68" customFormat="false" ht="15" hidden="false" customHeight="false" outlineLevel="0" collapsed="false">
      <c r="A68" s="35" t="s">
        <v>317</v>
      </c>
      <c r="B68" s="35" t="s">
        <v>318</v>
      </c>
      <c r="C68" s="35" t="s">
        <v>103</v>
      </c>
      <c r="D68" s="35" t="s">
        <v>239</v>
      </c>
      <c r="E68" s="35" t="s">
        <v>255</v>
      </c>
      <c r="F68" s="42" t="n">
        <v>62500</v>
      </c>
      <c r="G68" s="36" t="n">
        <v>45913</v>
      </c>
      <c r="H68" s="35" t="s">
        <v>54</v>
      </c>
      <c r="I68" s="35" t="s">
        <v>78</v>
      </c>
      <c r="J68" s="35" t="s">
        <v>88</v>
      </c>
      <c r="K68" s="35"/>
      <c r="L68" s="48" t="n">
        <f aca="false">IFERROR(AVERAGEIFS('Score Entry'!$M$5:$M$1276,'Score Entry'!$B$5:$B$1276,A68,'Score Entry'!$E$5:$E$1276,"Primary"),"")</f>
        <v>40</v>
      </c>
      <c r="M68" s="48" t="n">
        <f aca="false">IFERROR(AVERAGEIFS('Score Entry'!$M$5:$M$1276,'Score Entry'!$B$5:$B$1276,A68,'Score Entry'!$E$5:$E$1276,"Secondary"),"")</f>
        <v>47</v>
      </c>
      <c r="N68" s="48" t="n">
        <f aca="false">IF(COUNT(L68:M68)=2,ABS(L68-M68),"")</f>
        <v>7</v>
      </c>
      <c r="O68" s="37" t="str">
        <f aca="false">IF(N68="","",IF(N68&gt;=Threshold,"Yes","No"))</f>
        <v>No</v>
      </c>
      <c r="P68" s="48" t="str">
        <f aca="false">IFERROR(AVERAGEIFS('Score Entry'!$M$5:$M$1276,'Score Entry'!$B$5:$B$1276,A68,'Score Entry'!$E$5:$E$1276,"Third"),"")</f>
        <v/>
      </c>
      <c r="Q68" s="48" t="n">
        <f aca="false">IF(H68&lt;&gt;"Eligible","",IF(O68="Yes",IF(ISNUMBER(P68),ROUND(AVERAGE(L68,M68,P68),1),""),IF(O68="No",ROUND(AVERAGE(L68:M68),1),"")))</f>
        <v>43.5</v>
      </c>
      <c r="R68" s="37" t="str">
        <f aca="false">IF(H68&lt;&gt;"Eligible","Screened out",IF(COUNT(L68:M68)=0,"Not started",IF(COUNT(L68:M68)=1,"One read done",IF(O68="Yes",IF(ISNUMBER(P68),"Complete","Needs third read"),"Complete"))))</f>
        <v>Complete</v>
      </c>
      <c r="S68" s="37" t="n">
        <f aca="false">IF(Q68="","",COUNTIFS($C$5:$C$600,C68,$Q$5:$Q$600,"&gt;"&amp;Q68)+1)</f>
        <v>160</v>
      </c>
      <c r="T68" s="37" t="str">
        <f aca="false">IF(Q68="","",IF(Q68&gt;=Cutoff,"Yes","No"))</f>
        <v>No</v>
      </c>
      <c r="U68" s="49" t="n">
        <f aca="false">IF(T68="Yes",MIN(F68,INDEX(Settings!$G:$G,MATCH(C68,Settings!$E:$E,0))),0)</f>
        <v>0</v>
      </c>
      <c r="V68" s="49" t="str">
        <f aca="false">IF(T68="Yes",SUMIFS($U$5:$U$600,$C$5:$C$600,C68,$Q$5:$Q$600,"&gt;"&amp;Q68)+U68,"")</f>
        <v/>
      </c>
      <c r="W68" s="37" t="str">
        <f aca="false">IF(T68="Yes",IF(V68&lt;=INDEX(PoolList,MATCH(C68,ProgramList,0)),"Within pool","Over pool"),"")</f>
        <v/>
      </c>
      <c r="X68" s="37" t="str">
        <f aca="false">IF(O68="Yes",COUNTIF($O$5:O68,"Yes"),"")</f>
        <v/>
      </c>
    </row>
    <row r="69" customFormat="false" ht="15" hidden="false" customHeight="false" outlineLevel="0" collapsed="false">
      <c r="A69" s="35" t="s">
        <v>319</v>
      </c>
      <c r="B69" s="35" t="s">
        <v>320</v>
      </c>
      <c r="C69" s="35" t="s">
        <v>105</v>
      </c>
      <c r="D69" s="35" t="s">
        <v>190</v>
      </c>
      <c r="E69" s="35" t="s">
        <v>298</v>
      </c>
      <c r="F69" s="42" t="n">
        <v>142500</v>
      </c>
      <c r="G69" s="36" t="n">
        <v>45927</v>
      </c>
      <c r="H69" s="35" t="s">
        <v>54</v>
      </c>
      <c r="I69" s="35" t="s">
        <v>82</v>
      </c>
      <c r="J69" s="35" t="s">
        <v>91</v>
      </c>
      <c r="K69" s="35"/>
      <c r="L69" s="48" t="n">
        <f aca="false">IFERROR(AVERAGEIFS('Score Entry'!$M$5:$M$1276,'Score Entry'!$B$5:$B$1276,A69,'Score Entry'!$E$5:$E$1276,"Primary"),"")</f>
        <v>56</v>
      </c>
      <c r="M69" s="48" t="n">
        <f aca="false">IFERROR(AVERAGEIFS('Score Entry'!$M$5:$M$1276,'Score Entry'!$B$5:$B$1276,A69,'Score Entry'!$E$5:$E$1276,"Secondary"),"")</f>
        <v>57</v>
      </c>
      <c r="N69" s="48" t="n">
        <f aca="false">IF(COUNT(L69:M69)=2,ABS(L69-M69),"")</f>
        <v>1</v>
      </c>
      <c r="O69" s="37" t="str">
        <f aca="false">IF(N69="","",IF(N69&gt;=Threshold,"Yes","No"))</f>
        <v>No</v>
      </c>
      <c r="P69" s="48" t="str">
        <f aca="false">IFERROR(AVERAGEIFS('Score Entry'!$M$5:$M$1276,'Score Entry'!$B$5:$B$1276,A69,'Score Entry'!$E$5:$E$1276,"Third"),"")</f>
        <v/>
      </c>
      <c r="Q69" s="48" t="n">
        <f aca="false">IF(H69&lt;&gt;"Eligible","",IF(O69="Yes",IF(ISNUMBER(P69),ROUND(AVERAGE(L69,M69,P69),1),""),IF(O69="No",ROUND(AVERAGE(L69:M69),1),"")))</f>
        <v>56.5</v>
      </c>
      <c r="R69" s="37" t="str">
        <f aca="false">IF(H69&lt;&gt;"Eligible","Screened out",IF(COUNT(L69:M69)=0,"Not started",IF(COUNT(L69:M69)=1,"One read done",IF(O69="Yes",IF(ISNUMBER(P69),"Complete","Needs third read"),"Complete"))))</f>
        <v>Complete</v>
      </c>
      <c r="S69" s="37" t="n">
        <f aca="false">IF(Q69="","",COUNTIFS($C$5:$C$600,C69,$Q$5:$Q$600,"&gt;"&amp;Q69)+1)</f>
        <v>80</v>
      </c>
      <c r="T69" s="37" t="str">
        <f aca="false">IF(Q69="","",IF(Q69&gt;=Cutoff,"Yes","No"))</f>
        <v>No</v>
      </c>
      <c r="U69" s="49" t="n">
        <f aca="false">IF(T69="Yes",MIN(F69,INDEX(Settings!$G:$G,MATCH(C69,Settings!$E:$E,0))),0)</f>
        <v>0</v>
      </c>
      <c r="V69" s="49" t="str">
        <f aca="false">IF(T69="Yes",SUMIFS($U$5:$U$600,$C$5:$C$600,C69,$Q$5:$Q$600,"&gt;"&amp;Q69)+U69,"")</f>
        <v/>
      </c>
      <c r="W69" s="37" t="str">
        <f aca="false">IF(T69="Yes",IF(V69&lt;=INDEX(PoolList,MATCH(C69,ProgramList,0)),"Within pool","Over pool"),"")</f>
        <v/>
      </c>
      <c r="X69" s="37" t="str">
        <f aca="false">IF(O69="Yes",COUNTIF($O$5:O69,"Yes"),"")</f>
        <v/>
      </c>
    </row>
    <row r="70" customFormat="false" ht="15" hidden="false" customHeight="false" outlineLevel="0" collapsed="false">
      <c r="A70" s="35" t="s">
        <v>321</v>
      </c>
      <c r="B70" s="35" t="s">
        <v>322</v>
      </c>
      <c r="C70" s="35" t="s">
        <v>105</v>
      </c>
      <c r="D70" s="35" t="s">
        <v>174</v>
      </c>
      <c r="E70" s="35" t="s">
        <v>175</v>
      </c>
      <c r="F70" s="42" t="n">
        <v>79000</v>
      </c>
      <c r="G70" s="36" t="n">
        <v>45918</v>
      </c>
      <c r="H70" s="35" t="s">
        <v>54</v>
      </c>
      <c r="I70" s="35" t="s">
        <v>91</v>
      </c>
      <c r="J70" s="35" t="s">
        <v>85</v>
      </c>
      <c r="K70" s="35" t="s">
        <v>94</v>
      </c>
      <c r="L70" s="48" t="n">
        <f aca="false">IFERROR(AVERAGEIFS('Score Entry'!$M$5:$M$1276,'Score Entry'!$B$5:$B$1276,A70,'Score Entry'!$E$5:$E$1276,"Primary"),"")</f>
        <v>49</v>
      </c>
      <c r="M70" s="48" t="n">
        <f aca="false">IFERROR(AVERAGEIFS('Score Entry'!$M$5:$M$1276,'Score Entry'!$B$5:$B$1276,A70,'Score Entry'!$E$5:$E$1276,"Secondary"),"")</f>
        <v>29</v>
      </c>
      <c r="N70" s="48" t="n">
        <f aca="false">IF(COUNT(L70:M70)=2,ABS(L70-M70),"")</f>
        <v>20</v>
      </c>
      <c r="O70" s="37" t="str">
        <f aca="false">IF(N70="","",IF(N70&gt;=Threshold,"Yes","No"))</f>
        <v>Yes</v>
      </c>
      <c r="P70" s="48" t="n">
        <f aca="false">IFERROR(AVERAGEIFS('Score Entry'!$M$5:$M$1276,'Score Entry'!$B$5:$B$1276,A70,'Score Entry'!$E$5:$E$1276,"Third"),"")</f>
        <v>38</v>
      </c>
      <c r="Q70" s="48" t="n">
        <f aca="false">IF(H70&lt;&gt;"Eligible","",IF(O70="Yes",IF(ISNUMBER(P70),ROUND(AVERAGE(L70,M70,P70),1),""),IF(O70="No",ROUND(AVERAGE(L70:M70),1),"")))</f>
        <v>38.7</v>
      </c>
      <c r="R70" s="37" t="str">
        <f aca="false">IF(H70&lt;&gt;"Eligible","Screened out",IF(COUNT(L70:M70)=0,"Not started",IF(COUNT(L70:M70)=1,"One read done",IF(O70="Yes",IF(ISNUMBER(P70),"Complete","Needs third read"),"Complete"))))</f>
        <v>Complete</v>
      </c>
      <c r="S70" s="37" t="n">
        <f aca="false">IF(Q70="","",COUNTIFS($C$5:$C$600,C70,$Q$5:$Q$600,"&gt;"&amp;Q70)+1)</f>
        <v>101</v>
      </c>
      <c r="T70" s="37" t="str">
        <f aca="false">IF(Q70="","",IF(Q70&gt;=Cutoff,"Yes","No"))</f>
        <v>No</v>
      </c>
      <c r="U70" s="49" t="n">
        <f aca="false">IF(T70="Yes",MIN(F70,INDEX(Settings!$G:$G,MATCH(C70,Settings!$E:$E,0))),0)</f>
        <v>0</v>
      </c>
      <c r="V70" s="49" t="str">
        <f aca="false">IF(T70="Yes",SUMIFS($U$5:$U$600,$C$5:$C$600,C70,$Q$5:$Q$600,"&gt;"&amp;Q70)+U70,"")</f>
        <v/>
      </c>
      <c r="W70" s="37" t="str">
        <f aca="false">IF(T70="Yes",IF(V70&lt;=INDEX(PoolList,MATCH(C70,ProgramList,0)),"Within pool","Over pool"),"")</f>
        <v/>
      </c>
      <c r="X70" s="37" t="n">
        <f aca="false">IF(O70="Yes",COUNTIF($O$5:O70,"Yes"),"")</f>
        <v>9</v>
      </c>
    </row>
    <row r="71" customFormat="false" ht="15" hidden="false" customHeight="false" outlineLevel="0" collapsed="false">
      <c r="A71" s="35" t="s">
        <v>323</v>
      </c>
      <c r="B71" s="35" t="s">
        <v>324</v>
      </c>
      <c r="C71" s="35" t="s">
        <v>103</v>
      </c>
      <c r="D71" s="35" t="s">
        <v>174</v>
      </c>
      <c r="E71" s="35" t="s">
        <v>175</v>
      </c>
      <c r="F71" s="42" t="n">
        <v>85500</v>
      </c>
      <c r="G71" s="36" t="n">
        <v>45915</v>
      </c>
      <c r="H71" s="35" t="s">
        <v>54</v>
      </c>
      <c r="I71" s="35" t="s">
        <v>82</v>
      </c>
      <c r="J71" s="35" t="s">
        <v>78</v>
      </c>
      <c r="K71" s="35"/>
      <c r="L71" s="48" t="n">
        <f aca="false">IFERROR(AVERAGEIFS('Score Entry'!$M$5:$M$1276,'Score Entry'!$B$5:$B$1276,A71,'Score Entry'!$E$5:$E$1276,"Primary"),"")</f>
        <v>53</v>
      </c>
      <c r="M71" s="48" t="n">
        <f aca="false">IFERROR(AVERAGEIFS('Score Entry'!$M$5:$M$1276,'Score Entry'!$B$5:$B$1276,A71,'Score Entry'!$E$5:$E$1276,"Secondary"),"")</f>
        <v>59</v>
      </c>
      <c r="N71" s="48" t="n">
        <f aca="false">IF(COUNT(L71:M71)=2,ABS(L71-M71),"")</f>
        <v>6</v>
      </c>
      <c r="O71" s="37" t="str">
        <f aca="false">IF(N71="","",IF(N71&gt;=Threshold,"Yes","No"))</f>
        <v>No</v>
      </c>
      <c r="P71" s="48" t="str">
        <f aca="false">IFERROR(AVERAGEIFS('Score Entry'!$M$5:$M$1276,'Score Entry'!$B$5:$B$1276,A71,'Score Entry'!$E$5:$E$1276,"Third"),"")</f>
        <v/>
      </c>
      <c r="Q71" s="48" t="n">
        <f aca="false">IF(H71&lt;&gt;"Eligible","",IF(O71="Yes",IF(ISNUMBER(P71),ROUND(AVERAGE(L71,M71,P71),1),""),IF(O71="No",ROUND(AVERAGE(L71:M71),1),"")))</f>
        <v>56</v>
      </c>
      <c r="R71" s="37" t="str">
        <f aca="false">IF(H71&lt;&gt;"Eligible","Screened out",IF(COUNT(L71:M71)=0,"Not started",IF(COUNT(L71:M71)=1,"One read done",IF(O71="Yes",IF(ISNUMBER(P71),"Complete","Needs third read"),"Complete"))))</f>
        <v>Complete</v>
      </c>
      <c r="S71" s="37" t="n">
        <f aca="false">IF(Q71="","",COUNTIFS($C$5:$C$600,C71,$Q$5:$Q$600,"&gt;"&amp;Q71)+1)</f>
        <v>126</v>
      </c>
      <c r="T71" s="37" t="str">
        <f aca="false">IF(Q71="","",IF(Q71&gt;=Cutoff,"Yes","No"))</f>
        <v>No</v>
      </c>
      <c r="U71" s="49" t="n">
        <f aca="false">IF(T71="Yes",MIN(F71,INDEX(Settings!$G:$G,MATCH(C71,Settings!$E:$E,0))),0)</f>
        <v>0</v>
      </c>
      <c r="V71" s="49" t="str">
        <f aca="false">IF(T71="Yes",SUMIFS($U$5:$U$600,$C$5:$C$600,C71,$Q$5:$Q$600,"&gt;"&amp;Q71)+U71,"")</f>
        <v/>
      </c>
      <c r="W71" s="37" t="str">
        <f aca="false">IF(T71="Yes",IF(V71&lt;=INDEX(PoolList,MATCH(C71,ProgramList,0)),"Within pool","Over pool"),"")</f>
        <v/>
      </c>
      <c r="X71" s="37" t="str">
        <f aca="false">IF(O71="Yes",COUNTIF($O$5:O71,"Yes"),"")</f>
        <v/>
      </c>
    </row>
    <row r="72" customFormat="false" ht="15" hidden="false" customHeight="false" outlineLevel="0" collapsed="false">
      <c r="A72" s="35" t="s">
        <v>325</v>
      </c>
      <c r="B72" s="35" t="s">
        <v>326</v>
      </c>
      <c r="C72" s="35" t="s">
        <v>106</v>
      </c>
      <c r="D72" s="35" t="s">
        <v>174</v>
      </c>
      <c r="E72" s="35" t="s">
        <v>175</v>
      </c>
      <c r="F72" s="42" t="n">
        <v>42000</v>
      </c>
      <c r="G72" s="36" t="n">
        <v>45912</v>
      </c>
      <c r="H72" s="35" t="s">
        <v>54</v>
      </c>
      <c r="I72" s="35" t="s">
        <v>85</v>
      </c>
      <c r="J72" s="35" t="s">
        <v>94</v>
      </c>
      <c r="K72" s="35"/>
      <c r="L72" s="48" t="n">
        <f aca="false">IFERROR(AVERAGEIFS('Score Entry'!$M$5:$M$1276,'Score Entry'!$B$5:$B$1276,A72,'Score Entry'!$E$5:$E$1276,"Primary"),"")</f>
        <v>76</v>
      </c>
      <c r="M72" s="48" t="n">
        <f aca="false">IFERROR(AVERAGEIFS('Score Entry'!$M$5:$M$1276,'Score Entry'!$B$5:$B$1276,A72,'Score Entry'!$E$5:$E$1276,"Secondary"),"")</f>
        <v>73</v>
      </c>
      <c r="N72" s="48" t="n">
        <f aca="false">IF(COUNT(L72:M72)=2,ABS(L72-M72),"")</f>
        <v>3</v>
      </c>
      <c r="O72" s="37" t="str">
        <f aca="false">IF(N72="","",IF(N72&gt;=Threshold,"Yes","No"))</f>
        <v>No</v>
      </c>
      <c r="P72" s="48" t="str">
        <f aca="false">IFERROR(AVERAGEIFS('Score Entry'!$M$5:$M$1276,'Score Entry'!$B$5:$B$1276,A72,'Score Entry'!$E$5:$E$1276,"Third"),"")</f>
        <v/>
      </c>
      <c r="Q72" s="48" t="n">
        <f aca="false">IF(H72&lt;&gt;"Eligible","",IF(O72="Yes",IF(ISNUMBER(P72),ROUND(AVERAGE(L72,M72,P72),1),""),IF(O72="No",ROUND(AVERAGE(L72:M72),1),"")))</f>
        <v>74.5</v>
      </c>
      <c r="R72" s="37" t="str">
        <f aca="false">IF(H72&lt;&gt;"Eligible","Screened out",IF(COUNT(L72:M72)=0,"Not started",IF(COUNT(L72:M72)=1,"One read done",IF(O72="Yes",IF(ISNUMBER(P72),"Complete","Needs third read"),"Complete"))))</f>
        <v>Complete</v>
      </c>
      <c r="S72" s="37" t="n">
        <f aca="false">IF(Q72="","",COUNTIFS($C$5:$C$600,C72,$Q$5:$Q$600,"&gt;"&amp;Q72)+1)</f>
        <v>40</v>
      </c>
      <c r="T72" s="37" t="str">
        <f aca="false">IF(Q72="","",IF(Q72&gt;=Cutoff,"Yes","No"))</f>
        <v>No</v>
      </c>
      <c r="U72" s="49" t="n">
        <f aca="false">IF(T72="Yes",MIN(F72,INDEX(Settings!$G:$G,MATCH(C72,Settings!$E:$E,0))),0)</f>
        <v>0</v>
      </c>
      <c r="V72" s="49" t="str">
        <f aca="false">IF(T72="Yes",SUMIFS($U$5:$U$600,$C$5:$C$600,C72,$Q$5:$Q$600,"&gt;"&amp;Q72)+U72,"")</f>
        <v/>
      </c>
      <c r="W72" s="37" t="str">
        <f aca="false">IF(T72="Yes",IF(V72&lt;=INDEX(PoolList,MATCH(C72,ProgramList,0)),"Within pool","Over pool"),"")</f>
        <v/>
      </c>
      <c r="X72" s="37" t="str">
        <f aca="false">IF(O72="Yes",COUNTIF($O$5:O72,"Yes"),"")</f>
        <v/>
      </c>
    </row>
    <row r="73" customFormat="false" ht="15" hidden="false" customHeight="false" outlineLevel="0" collapsed="false">
      <c r="A73" s="35" t="s">
        <v>327</v>
      </c>
      <c r="B73" s="35" t="s">
        <v>328</v>
      </c>
      <c r="C73" s="35" t="s">
        <v>106</v>
      </c>
      <c r="D73" s="35" t="s">
        <v>239</v>
      </c>
      <c r="E73" s="35" t="s">
        <v>247</v>
      </c>
      <c r="F73" s="42" t="n">
        <v>171000</v>
      </c>
      <c r="G73" s="36" t="n">
        <v>45925</v>
      </c>
      <c r="H73" s="35" t="s">
        <v>54</v>
      </c>
      <c r="I73" s="35" t="s">
        <v>88</v>
      </c>
      <c r="J73" s="35" t="s">
        <v>82</v>
      </c>
      <c r="K73" s="35" t="s">
        <v>78</v>
      </c>
      <c r="L73" s="48" t="n">
        <f aca="false">IFERROR(AVERAGEIFS('Score Entry'!$M$5:$M$1276,'Score Entry'!$B$5:$B$1276,A73,'Score Entry'!$E$5:$E$1276,"Primary"),"")</f>
        <v>74</v>
      </c>
      <c r="M73" s="48" t="n">
        <f aca="false">IFERROR(AVERAGEIFS('Score Entry'!$M$5:$M$1276,'Score Entry'!$B$5:$B$1276,A73,'Score Entry'!$E$5:$E$1276,"Secondary"),"")</f>
        <v>51</v>
      </c>
      <c r="N73" s="48" t="n">
        <f aca="false">IF(COUNT(L73:M73)=2,ABS(L73-M73),"")</f>
        <v>23</v>
      </c>
      <c r="O73" s="37" t="str">
        <f aca="false">IF(N73="","",IF(N73&gt;=Threshold,"Yes","No"))</f>
        <v>Yes</v>
      </c>
      <c r="P73" s="48" t="n">
        <f aca="false">IFERROR(AVERAGEIFS('Score Entry'!$M$5:$M$1276,'Score Entry'!$B$5:$B$1276,A73,'Score Entry'!$E$5:$E$1276,"Third"),"")</f>
        <v>69</v>
      </c>
      <c r="Q73" s="48" t="n">
        <f aca="false">IF(H73&lt;&gt;"Eligible","",IF(O73="Yes",IF(ISNUMBER(P73),ROUND(AVERAGE(L73,M73,P73),1),""),IF(O73="No",ROUND(AVERAGE(L73:M73),1),"")))</f>
        <v>64.7</v>
      </c>
      <c r="R73" s="37" t="str">
        <f aca="false">IF(H73&lt;&gt;"Eligible","Screened out",IF(COUNT(L73:M73)=0,"Not started",IF(COUNT(L73:M73)=1,"One read done",IF(O73="Yes",IF(ISNUMBER(P73),"Complete","Needs third read"),"Complete"))))</f>
        <v>Complete</v>
      </c>
      <c r="S73" s="37" t="n">
        <f aca="false">IF(Q73="","",COUNTIFS($C$5:$C$600,C73,$Q$5:$Q$600,"&gt;"&amp;Q73)+1)</f>
        <v>72</v>
      </c>
      <c r="T73" s="37" t="str">
        <f aca="false">IF(Q73="","",IF(Q73&gt;=Cutoff,"Yes","No"))</f>
        <v>No</v>
      </c>
      <c r="U73" s="49" t="n">
        <f aca="false">IF(T73="Yes",MIN(F73,INDEX(Settings!$G:$G,MATCH(C73,Settings!$E:$E,0))),0)</f>
        <v>0</v>
      </c>
      <c r="V73" s="49" t="str">
        <f aca="false">IF(T73="Yes",SUMIFS($U$5:$U$600,$C$5:$C$600,C73,$Q$5:$Q$600,"&gt;"&amp;Q73)+U73,"")</f>
        <v/>
      </c>
      <c r="W73" s="37" t="str">
        <f aca="false">IF(T73="Yes",IF(V73&lt;=INDEX(PoolList,MATCH(C73,ProgramList,0)),"Within pool","Over pool"),"")</f>
        <v/>
      </c>
      <c r="X73" s="37" t="n">
        <f aca="false">IF(O73="Yes",COUNTIF($O$5:O73,"Yes"),"")</f>
        <v>10</v>
      </c>
    </row>
    <row r="74" customFormat="false" ht="15" hidden="false" customHeight="false" outlineLevel="0" collapsed="false">
      <c r="A74" s="35" t="s">
        <v>329</v>
      </c>
      <c r="B74" s="35" t="s">
        <v>330</v>
      </c>
      <c r="C74" s="35" t="s">
        <v>103</v>
      </c>
      <c r="D74" s="35" t="s">
        <v>174</v>
      </c>
      <c r="E74" s="35" t="s">
        <v>175</v>
      </c>
      <c r="F74" s="42" t="n">
        <v>91500</v>
      </c>
      <c r="G74" s="36" t="n">
        <v>45919</v>
      </c>
      <c r="H74" s="35" t="s">
        <v>54</v>
      </c>
      <c r="I74" s="35" t="s">
        <v>85</v>
      </c>
      <c r="J74" s="35" t="s">
        <v>88</v>
      </c>
      <c r="K74" s="35"/>
      <c r="L74" s="48" t="n">
        <f aca="false">IFERROR(AVERAGEIFS('Score Entry'!$M$5:$M$1276,'Score Entry'!$B$5:$B$1276,A74,'Score Entry'!$E$5:$E$1276,"Primary"),"")</f>
        <v>53</v>
      </c>
      <c r="M74" s="48" t="n">
        <f aca="false">IFERROR(AVERAGEIFS('Score Entry'!$M$5:$M$1276,'Score Entry'!$B$5:$B$1276,A74,'Score Entry'!$E$5:$E$1276,"Secondary"),"")</f>
        <v>56</v>
      </c>
      <c r="N74" s="48" t="n">
        <f aca="false">IF(COUNT(L74:M74)=2,ABS(L74-M74),"")</f>
        <v>3</v>
      </c>
      <c r="O74" s="37" t="str">
        <f aca="false">IF(N74="","",IF(N74&gt;=Threshold,"Yes","No"))</f>
        <v>No</v>
      </c>
      <c r="P74" s="48" t="str">
        <f aca="false">IFERROR(AVERAGEIFS('Score Entry'!$M$5:$M$1276,'Score Entry'!$B$5:$B$1276,A74,'Score Entry'!$E$5:$E$1276,"Third"),"")</f>
        <v/>
      </c>
      <c r="Q74" s="48" t="n">
        <f aca="false">IF(H74&lt;&gt;"Eligible","",IF(O74="Yes",IF(ISNUMBER(P74),ROUND(AVERAGE(L74,M74,P74),1),""),IF(O74="No",ROUND(AVERAGE(L74:M74),1),"")))</f>
        <v>54.5</v>
      </c>
      <c r="R74" s="37" t="str">
        <f aca="false">IF(H74&lt;&gt;"Eligible","Screened out",IF(COUNT(L74:M74)=0,"Not started",IF(COUNT(L74:M74)=1,"One read done",IF(O74="Yes",IF(ISNUMBER(P74),"Complete","Needs third read"),"Complete"))))</f>
        <v>Complete</v>
      </c>
      <c r="S74" s="37" t="n">
        <f aca="false">IF(Q74="","",COUNTIFS($C$5:$C$600,C74,$Q$5:$Q$600,"&gt;"&amp;Q74)+1)</f>
        <v>136</v>
      </c>
      <c r="T74" s="37" t="str">
        <f aca="false">IF(Q74="","",IF(Q74&gt;=Cutoff,"Yes","No"))</f>
        <v>No</v>
      </c>
      <c r="U74" s="49" t="n">
        <f aca="false">IF(T74="Yes",MIN(F74,INDEX(Settings!$G:$G,MATCH(C74,Settings!$E:$E,0))),0)</f>
        <v>0</v>
      </c>
      <c r="V74" s="49" t="str">
        <f aca="false">IF(T74="Yes",SUMIFS($U$5:$U$600,$C$5:$C$600,C74,$Q$5:$Q$600,"&gt;"&amp;Q74)+U74,"")</f>
        <v/>
      </c>
      <c r="W74" s="37" t="str">
        <f aca="false">IF(T74="Yes",IF(V74&lt;=INDEX(PoolList,MATCH(C74,ProgramList,0)),"Within pool","Over pool"),"")</f>
        <v/>
      </c>
      <c r="X74" s="37" t="str">
        <f aca="false">IF(O74="Yes",COUNTIF($O$5:O74,"Yes"),"")</f>
        <v/>
      </c>
    </row>
    <row r="75" customFormat="false" ht="15" hidden="false" customHeight="false" outlineLevel="0" collapsed="false">
      <c r="A75" s="35" t="s">
        <v>331</v>
      </c>
      <c r="B75" s="35" t="s">
        <v>332</v>
      </c>
      <c r="C75" s="35" t="s">
        <v>106</v>
      </c>
      <c r="D75" s="35" t="s">
        <v>174</v>
      </c>
      <c r="E75" s="35" t="s">
        <v>175</v>
      </c>
      <c r="F75" s="42" t="n">
        <v>54000</v>
      </c>
      <c r="G75" s="36" t="n">
        <v>45927</v>
      </c>
      <c r="H75" s="35" t="s">
        <v>54</v>
      </c>
      <c r="I75" s="35" t="s">
        <v>91</v>
      </c>
      <c r="J75" s="35" t="s">
        <v>78</v>
      </c>
      <c r="K75" s="35"/>
      <c r="L75" s="48" t="n">
        <f aca="false">IFERROR(AVERAGEIFS('Score Entry'!$M$5:$M$1276,'Score Entry'!$B$5:$B$1276,A75,'Score Entry'!$E$5:$E$1276,"Primary"),"")</f>
        <v>82</v>
      </c>
      <c r="M75" s="48" t="n">
        <f aca="false">IFERROR(AVERAGEIFS('Score Entry'!$M$5:$M$1276,'Score Entry'!$B$5:$B$1276,A75,'Score Entry'!$E$5:$E$1276,"Secondary"),"")</f>
        <v>82</v>
      </c>
      <c r="N75" s="48" t="n">
        <f aca="false">IF(COUNT(L75:M75)=2,ABS(L75-M75),"")</f>
        <v>0</v>
      </c>
      <c r="O75" s="37" t="str">
        <f aca="false">IF(N75="","",IF(N75&gt;=Threshold,"Yes","No"))</f>
        <v>No</v>
      </c>
      <c r="P75" s="48" t="str">
        <f aca="false">IFERROR(AVERAGEIFS('Score Entry'!$M$5:$M$1276,'Score Entry'!$B$5:$B$1276,A75,'Score Entry'!$E$5:$E$1276,"Third"),"")</f>
        <v/>
      </c>
      <c r="Q75" s="48" t="n">
        <f aca="false">IF(H75&lt;&gt;"Eligible","",IF(O75="Yes",IF(ISNUMBER(P75),ROUND(AVERAGE(L75,M75,P75),1),""),IF(O75="No",ROUND(AVERAGE(L75:M75),1),"")))</f>
        <v>82</v>
      </c>
      <c r="R75" s="37" t="str">
        <f aca="false">IF(H75&lt;&gt;"Eligible","Screened out",IF(COUNT(L75:M75)=0,"Not started",IF(COUNT(L75:M75)=1,"One read done",IF(O75="Yes",IF(ISNUMBER(P75),"Complete","Needs third read"),"Complete"))))</f>
        <v>Complete</v>
      </c>
      <c r="S75" s="37" t="n">
        <f aca="false">IF(Q75="","",COUNTIFS($C$5:$C$600,C75,$Q$5:$Q$600,"&gt;"&amp;Q75)+1)</f>
        <v>15</v>
      </c>
      <c r="T75" s="37" t="str">
        <f aca="false">IF(Q75="","",IF(Q75&gt;=Cutoff,"Yes","No"))</f>
        <v>No</v>
      </c>
      <c r="U75" s="49" t="n">
        <f aca="false">IF(T75="Yes",MIN(F75,INDEX(Settings!$G:$G,MATCH(C75,Settings!$E:$E,0))),0)</f>
        <v>0</v>
      </c>
      <c r="V75" s="49" t="str">
        <f aca="false">IF(T75="Yes",SUMIFS($U$5:$U$600,$C$5:$C$600,C75,$Q$5:$Q$600,"&gt;"&amp;Q75)+U75,"")</f>
        <v/>
      </c>
      <c r="W75" s="37" t="str">
        <f aca="false">IF(T75="Yes",IF(V75&lt;=INDEX(PoolList,MATCH(C75,ProgramList,0)),"Within pool","Over pool"),"")</f>
        <v/>
      </c>
      <c r="X75" s="37" t="str">
        <f aca="false">IF(O75="Yes",COUNTIF($O$5:O75,"Yes"),"")</f>
        <v/>
      </c>
    </row>
    <row r="76" customFormat="false" ht="15" hidden="false" customHeight="false" outlineLevel="0" collapsed="false">
      <c r="A76" s="35" t="s">
        <v>333</v>
      </c>
      <c r="B76" s="35" t="s">
        <v>334</v>
      </c>
      <c r="C76" s="35" t="s">
        <v>103</v>
      </c>
      <c r="D76" s="35" t="s">
        <v>174</v>
      </c>
      <c r="E76" s="35" t="s">
        <v>175</v>
      </c>
      <c r="F76" s="42" t="n">
        <v>97000</v>
      </c>
      <c r="G76" s="36" t="n">
        <v>45917</v>
      </c>
      <c r="H76" s="35" t="s">
        <v>54</v>
      </c>
      <c r="I76" s="35" t="s">
        <v>82</v>
      </c>
      <c r="J76" s="35" t="s">
        <v>88</v>
      </c>
      <c r="K76" s="35"/>
      <c r="L76" s="48" t="n">
        <f aca="false">IFERROR(AVERAGEIFS('Score Entry'!$M$5:$M$1276,'Score Entry'!$B$5:$B$1276,A76,'Score Entry'!$E$5:$E$1276,"Primary"),"")</f>
        <v>63</v>
      </c>
      <c r="M76" s="48" t="n">
        <f aca="false">IFERROR(AVERAGEIFS('Score Entry'!$M$5:$M$1276,'Score Entry'!$B$5:$B$1276,A76,'Score Entry'!$E$5:$E$1276,"Secondary"),"")</f>
        <v>56</v>
      </c>
      <c r="N76" s="48" t="n">
        <f aca="false">IF(COUNT(L76:M76)=2,ABS(L76-M76),"")</f>
        <v>7</v>
      </c>
      <c r="O76" s="37" t="str">
        <f aca="false">IF(N76="","",IF(N76&gt;=Threshold,"Yes","No"))</f>
        <v>No</v>
      </c>
      <c r="P76" s="48" t="str">
        <f aca="false">IFERROR(AVERAGEIFS('Score Entry'!$M$5:$M$1276,'Score Entry'!$B$5:$B$1276,A76,'Score Entry'!$E$5:$E$1276,"Third"),"")</f>
        <v/>
      </c>
      <c r="Q76" s="48" t="n">
        <f aca="false">IF(H76&lt;&gt;"Eligible","",IF(O76="Yes",IF(ISNUMBER(P76),ROUND(AVERAGE(L76,M76,P76),1),""),IF(O76="No",ROUND(AVERAGE(L76:M76),1),"")))</f>
        <v>59.5</v>
      </c>
      <c r="R76" s="37" t="str">
        <f aca="false">IF(H76&lt;&gt;"Eligible","Screened out",IF(COUNT(L76:M76)=0,"Not started",IF(COUNT(L76:M76)=1,"One read done",IF(O76="Yes",IF(ISNUMBER(P76),"Complete","Needs third read"),"Complete"))))</f>
        <v>Complete</v>
      </c>
      <c r="S76" s="37" t="n">
        <f aca="false">IF(Q76="","",COUNTIFS($C$5:$C$600,C76,$Q$5:$Q$600,"&gt;"&amp;Q76)+1)</f>
        <v>114</v>
      </c>
      <c r="T76" s="37" t="str">
        <f aca="false">IF(Q76="","",IF(Q76&gt;=Cutoff,"Yes","No"))</f>
        <v>No</v>
      </c>
      <c r="U76" s="49" t="n">
        <f aca="false">IF(T76="Yes",MIN(F76,INDEX(Settings!$G:$G,MATCH(C76,Settings!$E:$E,0))),0)</f>
        <v>0</v>
      </c>
      <c r="V76" s="49" t="str">
        <f aca="false">IF(T76="Yes",SUMIFS($U$5:$U$600,$C$5:$C$600,C76,$Q$5:$Q$600,"&gt;"&amp;Q76)+U76,"")</f>
        <v/>
      </c>
      <c r="W76" s="37" t="str">
        <f aca="false">IF(T76="Yes",IF(V76&lt;=INDEX(PoolList,MATCH(C76,ProgramList,0)),"Within pool","Over pool"),"")</f>
        <v/>
      </c>
      <c r="X76" s="37" t="str">
        <f aca="false">IF(O76="Yes",COUNTIF($O$5:O76,"Yes"),"")</f>
        <v/>
      </c>
    </row>
    <row r="77" customFormat="false" ht="15" hidden="false" customHeight="false" outlineLevel="0" collapsed="false">
      <c r="A77" s="35" t="s">
        <v>335</v>
      </c>
      <c r="B77" s="35" t="s">
        <v>336</v>
      </c>
      <c r="C77" s="35" t="s">
        <v>103</v>
      </c>
      <c r="D77" s="35" t="s">
        <v>174</v>
      </c>
      <c r="E77" s="35" t="s">
        <v>175</v>
      </c>
      <c r="F77" s="42" t="n">
        <v>50500</v>
      </c>
      <c r="G77" s="36" t="n">
        <v>45921</v>
      </c>
      <c r="H77" s="35" t="s">
        <v>54</v>
      </c>
      <c r="I77" s="35" t="s">
        <v>78</v>
      </c>
      <c r="J77" s="35" t="s">
        <v>85</v>
      </c>
      <c r="K77" s="35"/>
      <c r="L77" s="48" t="n">
        <f aca="false">IFERROR(AVERAGEIFS('Score Entry'!$M$5:$M$1276,'Score Entry'!$B$5:$B$1276,A77,'Score Entry'!$E$5:$E$1276,"Primary"),"")</f>
        <v>54</v>
      </c>
      <c r="M77" s="48" t="n">
        <f aca="false">IFERROR(AVERAGEIFS('Score Entry'!$M$5:$M$1276,'Score Entry'!$B$5:$B$1276,A77,'Score Entry'!$E$5:$E$1276,"Secondary"),"")</f>
        <v>46</v>
      </c>
      <c r="N77" s="48" t="n">
        <f aca="false">IF(COUNT(L77:M77)=2,ABS(L77-M77),"")</f>
        <v>8</v>
      </c>
      <c r="O77" s="37" t="str">
        <f aca="false">IF(N77="","",IF(N77&gt;=Threshold,"Yes","No"))</f>
        <v>No</v>
      </c>
      <c r="P77" s="48" t="str">
        <f aca="false">IFERROR(AVERAGEIFS('Score Entry'!$M$5:$M$1276,'Score Entry'!$B$5:$B$1276,A77,'Score Entry'!$E$5:$E$1276,"Third"),"")</f>
        <v/>
      </c>
      <c r="Q77" s="48" t="n">
        <f aca="false">IF(H77&lt;&gt;"Eligible","",IF(O77="Yes",IF(ISNUMBER(P77),ROUND(AVERAGE(L77,M77,P77),1),""),IF(O77="No",ROUND(AVERAGE(L77:M77),1),"")))</f>
        <v>50</v>
      </c>
      <c r="R77" s="37" t="str">
        <f aca="false">IF(H77&lt;&gt;"Eligible","Screened out",IF(COUNT(L77:M77)=0,"Not started",IF(COUNT(L77:M77)=1,"One read done",IF(O77="Yes",IF(ISNUMBER(P77),"Complete","Needs third read"),"Complete"))))</f>
        <v>Complete</v>
      </c>
      <c r="S77" s="37" t="n">
        <f aca="false">IF(Q77="","",COUNTIFS($C$5:$C$600,C77,$Q$5:$Q$600,"&gt;"&amp;Q77)+1)</f>
        <v>151</v>
      </c>
      <c r="T77" s="37" t="str">
        <f aca="false">IF(Q77="","",IF(Q77&gt;=Cutoff,"Yes","No"))</f>
        <v>No</v>
      </c>
      <c r="U77" s="49" t="n">
        <f aca="false">IF(T77="Yes",MIN(F77,INDEX(Settings!$G:$G,MATCH(C77,Settings!$E:$E,0))),0)</f>
        <v>0</v>
      </c>
      <c r="V77" s="49" t="str">
        <f aca="false">IF(T77="Yes",SUMIFS($U$5:$U$600,$C$5:$C$600,C77,$Q$5:$Q$600,"&gt;"&amp;Q77)+U77,"")</f>
        <v/>
      </c>
      <c r="W77" s="37" t="str">
        <f aca="false">IF(T77="Yes",IF(V77&lt;=INDEX(PoolList,MATCH(C77,ProgramList,0)),"Within pool","Over pool"),"")</f>
        <v/>
      </c>
      <c r="X77" s="37" t="str">
        <f aca="false">IF(O77="Yes",COUNTIF($O$5:O77,"Yes"),"")</f>
        <v/>
      </c>
    </row>
    <row r="78" customFormat="false" ht="15" hidden="false" customHeight="false" outlineLevel="0" collapsed="false">
      <c r="A78" s="35" t="s">
        <v>337</v>
      </c>
      <c r="B78" s="35" t="s">
        <v>338</v>
      </c>
      <c r="C78" s="35" t="s">
        <v>105</v>
      </c>
      <c r="D78" s="35" t="s">
        <v>180</v>
      </c>
      <c r="E78" s="35" t="s">
        <v>252</v>
      </c>
      <c r="F78" s="42" t="n">
        <v>97500</v>
      </c>
      <c r="G78" s="36" t="n">
        <v>45924</v>
      </c>
      <c r="H78" s="35" t="s">
        <v>54</v>
      </c>
      <c r="I78" s="35" t="s">
        <v>91</v>
      </c>
      <c r="J78" s="35" t="s">
        <v>94</v>
      </c>
      <c r="K78" s="35"/>
      <c r="L78" s="48" t="str">
        <f aca="false">IFERROR(AVERAGEIFS('Score Entry'!$M$5:$M$1276,'Score Entry'!$B$5:$B$1276,A78,'Score Entry'!$E$5:$E$1276,"Primary"),"")</f>
        <v/>
      </c>
      <c r="M78" s="48" t="n">
        <f aca="false">IFERROR(AVERAGEIFS('Score Entry'!$M$5:$M$1276,'Score Entry'!$B$5:$B$1276,A78,'Score Entry'!$E$5:$E$1276,"Secondary"),"")</f>
        <v>55</v>
      </c>
      <c r="N78" s="48" t="str">
        <f aca="false">IF(COUNT(L78:M78)=2,ABS(L78-M78),"")</f>
        <v/>
      </c>
      <c r="O78" s="37" t="str">
        <f aca="false">IF(N78="","",IF(N78&gt;=Threshold,"Yes","No"))</f>
        <v/>
      </c>
      <c r="P78" s="48" t="str">
        <f aca="false">IFERROR(AVERAGEIFS('Score Entry'!$M$5:$M$1276,'Score Entry'!$B$5:$B$1276,A78,'Score Entry'!$E$5:$E$1276,"Third"),"")</f>
        <v/>
      </c>
      <c r="Q78" s="48" t="str">
        <f aca="false">IF(H78&lt;&gt;"Eligible","",IF(O78="Yes",IF(ISNUMBER(P78),ROUND(AVERAGE(L78,M78,P78),1),""),IF(O78="No",ROUND(AVERAGE(L78:M78),1),"")))</f>
        <v/>
      </c>
      <c r="R78" s="37" t="str">
        <f aca="false">IF(H78&lt;&gt;"Eligible","Screened out",IF(COUNT(L78:M78)=0,"Not started",IF(COUNT(L78:M78)=1,"One read done",IF(O78="Yes",IF(ISNUMBER(P78),"Complete","Needs third read"),"Complete"))))</f>
        <v>One read done</v>
      </c>
      <c r="S78" s="37" t="str">
        <f aca="false">IF(Q78="","",COUNTIFS($C$5:$C$600,C78,$Q$5:$Q$600,"&gt;"&amp;Q78)+1)</f>
        <v/>
      </c>
      <c r="T78" s="37" t="str">
        <f aca="false">IF(Q78="","",IF(Q78&gt;=Cutoff,"Yes","No"))</f>
        <v/>
      </c>
      <c r="U78" s="49" t="n">
        <f aca="false">IF(T78="Yes",MIN(F78,INDEX(Settings!$G:$G,MATCH(C78,Settings!$E:$E,0))),0)</f>
        <v>0</v>
      </c>
      <c r="V78" s="49" t="str">
        <f aca="false">IF(T78="Yes",SUMIFS($U$5:$U$600,$C$5:$C$600,C78,$Q$5:$Q$600,"&gt;"&amp;Q78)+U78,"")</f>
        <v/>
      </c>
      <c r="W78" s="37" t="str">
        <f aca="false">IF(T78="Yes",IF(V78&lt;=INDEX(PoolList,MATCH(C78,ProgramList,0)),"Within pool","Over pool"),"")</f>
        <v/>
      </c>
      <c r="X78" s="37" t="str">
        <f aca="false">IF(O78="Yes",COUNTIF($O$5:O78,"Yes"),"")</f>
        <v/>
      </c>
    </row>
    <row r="79" customFormat="false" ht="15" hidden="false" customHeight="false" outlineLevel="0" collapsed="false">
      <c r="A79" s="35" t="s">
        <v>339</v>
      </c>
      <c r="B79" s="35" t="s">
        <v>340</v>
      </c>
      <c r="C79" s="35" t="s">
        <v>105</v>
      </c>
      <c r="D79" s="35" t="s">
        <v>180</v>
      </c>
      <c r="E79" s="35" t="s">
        <v>181</v>
      </c>
      <c r="F79" s="42" t="n">
        <v>43000</v>
      </c>
      <c r="G79" s="36" t="n">
        <v>45914</v>
      </c>
      <c r="H79" s="35" t="s">
        <v>54</v>
      </c>
      <c r="I79" s="35" t="s">
        <v>85</v>
      </c>
      <c r="J79" s="35" t="s">
        <v>88</v>
      </c>
      <c r="K79" s="35"/>
      <c r="L79" s="48" t="n">
        <f aca="false">IFERROR(AVERAGEIFS('Score Entry'!$M$5:$M$1276,'Score Entry'!$B$5:$B$1276,A79,'Score Entry'!$E$5:$E$1276,"Primary"),"")</f>
        <v>46</v>
      </c>
      <c r="M79" s="48" t="n">
        <f aca="false">IFERROR(AVERAGEIFS('Score Entry'!$M$5:$M$1276,'Score Entry'!$B$5:$B$1276,A79,'Score Entry'!$E$5:$E$1276,"Secondary"),"")</f>
        <v>60</v>
      </c>
      <c r="N79" s="48" t="n">
        <f aca="false">IF(COUNT(L79:M79)=2,ABS(L79-M79),"")</f>
        <v>14</v>
      </c>
      <c r="O79" s="37" t="str">
        <f aca="false">IF(N79="","",IF(N79&gt;=Threshold,"Yes","No"))</f>
        <v>No</v>
      </c>
      <c r="P79" s="48" t="str">
        <f aca="false">IFERROR(AVERAGEIFS('Score Entry'!$M$5:$M$1276,'Score Entry'!$B$5:$B$1276,A79,'Score Entry'!$E$5:$E$1276,"Third"),"")</f>
        <v/>
      </c>
      <c r="Q79" s="48" t="n">
        <f aca="false">IF(H79&lt;&gt;"Eligible","",IF(O79="Yes",IF(ISNUMBER(P79),ROUND(AVERAGE(L79,M79,P79),1),""),IF(O79="No",ROUND(AVERAGE(L79:M79),1),"")))</f>
        <v>53</v>
      </c>
      <c r="R79" s="37" t="str">
        <f aca="false">IF(H79&lt;&gt;"Eligible","Screened out",IF(COUNT(L79:M79)=0,"Not started",IF(COUNT(L79:M79)=1,"One read done",IF(O79="Yes",IF(ISNUMBER(P79),"Complete","Needs third read"),"Complete"))))</f>
        <v>Complete</v>
      </c>
      <c r="S79" s="37" t="n">
        <f aca="false">IF(Q79="","",COUNTIFS($C$5:$C$600,C79,$Q$5:$Q$600,"&gt;"&amp;Q79)+1)</f>
        <v>87</v>
      </c>
      <c r="T79" s="37" t="str">
        <f aca="false">IF(Q79="","",IF(Q79&gt;=Cutoff,"Yes","No"))</f>
        <v>No</v>
      </c>
      <c r="U79" s="49" t="n">
        <f aca="false">IF(T79="Yes",MIN(F79,INDEX(Settings!$G:$G,MATCH(C79,Settings!$E:$E,0))),0)</f>
        <v>0</v>
      </c>
      <c r="V79" s="49" t="str">
        <f aca="false">IF(T79="Yes",SUMIFS($U$5:$U$600,$C$5:$C$600,C79,$Q$5:$Q$600,"&gt;"&amp;Q79)+U79,"")</f>
        <v/>
      </c>
      <c r="W79" s="37" t="str">
        <f aca="false">IF(T79="Yes",IF(V79&lt;=INDEX(PoolList,MATCH(C79,ProgramList,0)),"Within pool","Over pool"),"")</f>
        <v/>
      </c>
      <c r="X79" s="37" t="str">
        <f aca="false">IF(O79="Yes",COUNTIF($O$5:O79,"Yes"),"")</f>
        <v/>
      </c>
    </row>
    <row r="80" customFormat="false" ht="15" hidden="false" customHeight="false" outlineLevel="0" collapsed="false">
      <c r="A80" s="35" t="s">
        <v>341</v>
      </c>
      <c r="B80" s="35" t="s">
        <v>342</v>
      </c>
      <c r="C80" s="35" t="s">
        <v>106</v>
      </c>
      <c r="D80" s="35" t="s">
        <v>221</v>
      </c>
      <c r="E80" s="35" t="s">
        <v>227</v>
      </c>
      <c r="F80" s="42" t="n">
        <v>39000</v>
      </c>
      <c r="G80" s="36" t="n">
        <v>45927</v>
      </c>
      <c r="H80" s="35" t="s">
        <v>54</v>
      </c>
      <c r="I80" s="35" t="s">
        <v>94</v>
      </c>
      <c r="J80" s="35" t="s">
        <v>85</v>
      </c>
      <c r="K80" s="35"/>
      <c r="L80" s="48" t="n">
        <f aca="false">IFERROR(AVERAGEIFS('Score Entry'!$M$5:$M$1276,'Score Entry'!$B$5:$B$1276,A80,'Score Entry'!$E$5:$E$1276,"Primary"),"")</f>
        <v>46</v>
      </c>
      <c r="M80" s="48" t="n">
        <f aca="false">IFERROR(AVERAGEIFS('Score Entry'!$M$5:$M$1276,'Score Entry'!$B$5:$B$1276,A80,'Score Entry'!$E$5:$E$1276,"Secondary"),"")</f>
        <v>58</v>
      </c>
      <c r="N80" s="48" t="n">
        <f aca="false">IF(COUNT(L80:M80)=2,ABS(L80-M80),"")</f>
        <v>12</v>
      </c>
      <c r="O80" s="37" t="str">
        <f aca="false">IF(N80="","",IF(N80&gt;=Threshold,"Yes","No"))</f>
        <v>No</v>
      </c>
      <c r="P80" s="48" t="str">
        <f aca="false">IFERROR(AVERAGEIFS('Score Entry'!$M$5:$M$1276,'Score Entry'!$B$5:$B$1276,A80,'Score Entry'!$E$5:$E$1276,"Third"),"")</f>
        <v/>
      </c>
      <c r="Q80" s="48" t="n">
        <f aca="false">IF(H80&lt;&gt;"Eligible","",IF(O80="Yes",IF(ISNUMBER(P80),ROUND(AVERAGE(L80,M80,P80),1),""),IF(O80="No",ROUND(AVERAGE(L80:M80),1),"")))</f>
        <v>52</v>
      </c>
      <c r="R80" s="37" t="str">
        <f aca="false">IF(H80&lt;&gt;"Eligible","Screened out",IF(COUNT(L80:M80)=0,"Not started",IF(COUNT(L80:M80)=1,"One read done",IF(O80="Yes",IF(ISNUMBER(P80),"Complete","Needs third read"),"Complete"))))</f>
        <v>Complete</v>
      </c>
      <c r="S80" s="37" t="n">
        <f aca="false">IF(Q80="","",COUNTIFS($C$5:$C$600,C80,$Q$5:$Q$600,"&gt;"&amp;Q80)+1)</f>
        <v>106</v>
      </c>
      <c r="T80" s="37" t="str">
        <f aca="false">IF(Q80="","",IF(Q80&gt;=Cutoff,"Yes","No"))</f>
        <v>No</v>
      </c>
      <c r="U80" s="49" t="n">
        <f aca="false">IF(T80="Yes",MIN(F80,INDEX(Settings!$G:$G,MATCH(C80,Settings!$E:$E,0))),0)</f>
        <v>0</v>
      </c>
      <c r="V80" s="49" t="str">
        <f aca="false">IF(T80="Yes",SUMIFS($U$5:$U$600,$C$5:$C$600,C80,$Q$5:$Q$600,"&gt;"&amp;Q80)+U80,"")</f>
        <v/>
      </c>
      <c r="W80" s="37" t="str">
        <f aca="false">IF(T80="Yes",IF(V80&lt;=INDEX(PoolList,MATCH(C80,ProgramList,0)),"Within pool","Over pool"),"")</f>
        <v/>
      </c>
      <c r="X80" s="37" t="str">
        <f aca="false">IF(O80="Yes",COUNTIF($O$5:O80,"Yes"),"")</f>
        <v/>
      </c>
    </row>
    <row r="81" customFormat="false" ht="15" hidden="false" customHeight="false" outlineLevel="0" collapsed="false">
      <c r="A81" s="35" t="s">
        <v>343</v>
      </c>
      <c r="B81" s="35" t="s">
        <v>344</v>
      </c>
      <c r="C81" s="35" t="s">
        <v>106</v>
      </c>
      <c r="D81" s="35" t="s">
        <v>174</v>
      </c>
      <c r="E81" s="35" t="s">
        <v>175</v>
      </c>
      <c r="F81" s="42" t="n">
        <v>138000</v>
      </c>
      <c r="G81" s="36" t="n">
        <v>45922</v>
      </c>
      <c r="H81" s="35" t="s">
        <v>54</v>
      </c>
      <c r="I81" s="35" t="s">
        <v>91</v>
      </c>
      <c r="J81" s="35" t="s">
        <v>82</v>
      </c>
      <c r="K81" s="35"/>
      <c r="L81" s="48" t="n">
        <f aca="false">IFERROR(AVERAGEIFS('Score Entry'!$M$5:$M$1276,'Score Entry'!$B$5:$B$1276,A81,'Score Entry'!$E$5:$E$1276,"Primary"),"")</f>
        <v>60</v>
      </c>
      <c r="M81" s="48" t="n">
        <f aca="false">IFERROR(AVERAGEIFS('Score Entry'!$M$5:$M$1276,'Score Entry'!$B$5:$B$1276,A81,'Score Entry'!$E$5:$E$1276,"Secondary"),"")</f>
        <v>64</v>
      </c>
      <c r="N81" s="48" t="n">
        <f aca="false">IF(COUNT(L81:M81)=2,ABS(L81-M81),"")</f>
        <v>4</v>
      </c>
      <c r="O81" s="37" t="str">
        <f aca="false">IF(N81="","",IF(N81&gt;=Threshold,"Yes","No"))</f>
        <v>No</v>
      </c>
      <c r="P81" s="48" t="str">
        <f aca="false">IFERROR(AVERAGEIFS('Score Entry'!$M$5:$M$1276,'Score Entry'!$B$5:$B$1276,A81,'Score Entry'!$E$5:$E$1276,"Third"),"")</f>
        <v/>
      </c>
      <c r="Q81" s="48" t="n">
        <f aca="false">IF(H81&lt;&gt;"Eligible","",IF(O81="Yes",IF(ISNUMBER(P81),ROUND(AVERAGE(L81,M81,P81),1),""),IF(O81="No",ROUND(AVERAGE(L81:M81),1),"")))</f>
        <v>62</v>
      </c>
      <c r="R81" s="37" t="str">
        <f aca="false">IF(H81&lt;&gt;"Eligible","Screened out",IF(COUNT(L81:M81)=0,"Not started",IF(COUNT(L81:M81)=1,"One read done",IF(O81="Yes",IF(ISNUMBER(P81),"Complete","Needs third read"),"Complete"))))</f>
        <v>Complete</v>
      </c>
      <c r="S81" s="37" t="n">
        <f aca="false">IF(Q81="","",COUNTIFS($C$5:$C$600,C81,$Q$5:$Q$600,"&gt;"&amp;Q81)+1)</f>
        <v>79</v>
      </c>
      <c r="T81" s="37" t="str">
        <f aca="false">IF(Q81="","",IF(Q81&gt;=Cutoff,"Yes","No"))</f>
        <v>No</v>
      </c>
      <c r="U81" s="49" t="n">
        <f aca="false">IF(T81="Yes",MIN(F81,INDEX(Settings!$G:$G,MATCH(C81,Settings!$E:$E,0))),0)</f>
        <v>0</v>
      </c>
      <c r="V81" s="49" t="str">
        <f aca="false">IF(T81="Yes",SUMIFS($U$5:$U$600,$C$5:$C$600,C81,$Q$5:$Q$600,"&gt;"&amp;Q81)+U81,"")</f>
        <v/>
      </c>
      <c r="W81" s="37" t="str">
        <f aca="false">IF(T81="Yes",IF(V81&lt;=INDEX(PoolList,MATCH(C81,ProgramList,0)),"Within pool","Over pool"),"")</f>
        <v/>
      </c>
      <c r="X81" s="37" t="str">
        <f aca="false">IF(O81="Yes",COUNTIF($O$5:O81,"Yes"),"")</f>
        <v/>
      </c>
    </row>
    <row r="82" customFormat="false" ht="15" hidden="false" customHeight="false" outlineLevel="0" collapsed="false">
      <c r="A82" s="35" t="s">
        <v>345</v>
      </c>
      <c r="B82" s="35" t="s">
        <v>346</v>
      </c>
      <c r="C82" s="35" t="s">
        <v>105</v>
      </c>
      <c r="D82" s="35" t="s">
        <v>174</v>
      </c>
      <c r="E82" s="35" t="s">
        <v>175</v>
      </c>
      <c r="F82" s="42" t="n">
        <v>83000</v>
      </c>
      <c r="G82" s="36" t="n">
        <v>45922</v>
      </c>
      <c r="H82" s="35" t="s">
        <v>54</v>
      </c>
      <c r="I82" s="35" t="s">
        <v>78</v>
      </c>
      <c r="J82" s="35" t="s">
        <v>88</v>
      </c>
      <c r="K82" s="35"/>
      <c r="L82" s="48" t="n">
        <f aca="false">IFERROR(AVERAGEIFS('Score Entry'!$M$5:$M$1276,'Score Entry'!$B$5:$B$1276,A82,'Score Entry'!$E$5:$E$1276,"Primary"),"")</f>
        <v>70</v>
      </c>
      <c r="M82" s="48" t="n">
        <f aca="false">IFERROR(AVERAGEIFS('Score Entry'!$M$5:$M$1276,'Score Entry'!$B$5:$B$1276,A82,'Score Entry'!$E$5:$E$1276,"Secondary"),"")</f>
        <v>85</v>
      </c>
      <c r="N82" s="48" t="n">
        <f aca="false">IF(COUNT(L82:M82)=2,ABS(L82-M82),"")</f>
        <v>15</v>
      </c>
      <c r="O82" s="37" t="str">
        <f aca="false">IF(N82="","",IF(N82&gt;=Threshold,"Yes","No"))</f>
        <v>No</v>
      </c>
      <c r="P82" s="48" t="str">
        <f aca="false">IFERROR(AVERAGEIFS('Score Entry'!$M$5:$M$1276,'Score Entry'!$B$5:$B$1276,A82,'Score Entry'!$E$5:$E$1276,"Third"),"")</f>
        <v/>
      </c>
      <c r="Q82" s="48" t="n">
        <f aca="false">IF(H82&lt;&gt;"Eligible","",IF(O82="Yes",IF(ISNUMBER(P82),ROUND(AVERAGE(L82,M82,P82),1),""),IF(O82="No",ROUND(AVERAGE(L82:M82),1),"")))</f>
        <v>77.5</v>
      </c>
      <c r="R82" s="37" t="str">
        <f aca="false">IF(H82&lt;&gt;"Eligible","Screened out",IF(COUNT(L82:M82)=0,"Not started",IF(COUNT(L82:M82)=1,"One read done",IF(O82="Yes",IF(ISNUMBER(P82),"Complete","Needs third read"),"Complete"))))</f>
        <v>Complete</v>
      </c>
      <c r="S82" s="37" t="n">
        <f aca="false">IF(Q82="","",COUNTIFS($C$5:$C$600,C82,$Q$5:$Q$600,"&gt;"&amp;Q82)+1)</f>
        <v>23</v>
      </c>
      <c r="T82" s="37" t="str">
        <f aca="false">IF(Q82="","",IF(Q82&gt;=Cutoff,"Yes","No"))</f>
        <v>No</v>
      </c>
      <c r="U82" s="49" t="n">
        <f aca="false">IF(T82="Yes",MIN(F82,INDEX(Settings!$G:$G,MATCH(C82,Settings!$E:$E,0))),0)</f>
        <v>0</v>
      </c>
      <c r="V82" s="49" t="str">
        <f aca="false">IF(T82="Yes",SUMIFS($U$5:$U$600,$C$5:$C$600,C82,$Q$5:$Q$600,"&gt;"&amp;Q82)+U82,"")</f>
        <v/>
      </c>
      <c r="W82" s="37" t="str">
        <f aca="false">IF(T82="Yes",IF(V82&lt;=INDEX(PoolList,MATCH(C82,ProgramList,0)),"Within pool","Over pool"),"")</f>
        <v/>
      </c>
      <c r="X82" s="37" t="str">
        <f aca="false">IF(O82="Yes",COUNTIF($O$5:O82,"Yes"),"")</f>
        <v/>
      </c>
    </row>
    <row r="83" customFormat="false" ht="15" hidden="false" customHeight="false" outlineLevel="0" collapsed="false">
      <c r="A83" s="35" t="s">
        <v>347</v>
      </c>
      <c r="B83" s="35" t="s">
        <v>348</v>
      </c>
      <c r="C83" s="35" t="s">
        <v>103</v>
      </c>
      <c r="D83" s="35" t="s">
        <v>180</v>
      </c>
      <c r="E83" s="35" t="s">
        <v>181</v>
      </c>
      <c r="F83" s="42" t="n">
        <v>63000</v>
      </c>
      <c r="G83" s="36" t="n">
        <v>45911</v>
      </c>
      <c r="H83" s="35" t="s">
        <v>54</v>
      </c>
      <c r="I83" s="35" t="s">
        <v>78</v>
      </c>
      <c r="J83" s="35" t="s">
        <v>91</v>
      </c>
      <c r="K83" s="35" t="s">
        <v>82</v>
      </c>
      <c r="L83" s="48" t="n">
        <f aca="false">IFERROR(AVERAGEIFS('Score Entry'!$M$5:$M$1276,'Score Entry'!$B$5:$B$1276,A83,'Score Entry'!$E$5:$E$1276,"Primary"),"")</f>
        <v>96</v>
      </c>
      <c r="M83" s="48" t="n">
        <f aca="false">IFERROR(AVERAGEIFS('Score Entry'!$M$5:$M$1276,'Score Entry'!$B$5:$B$1276,A83,'Score Entry'!$E$5:$E$1276,"Secondary"),"")</f>
        <v>60</v>
      </c>
      <c r="N83" s="48" t="n">
        <f aca="false">IF(COUNT(L83:M83)=2,ABS(L83-M83),"")</f>
        <v>36</v>
      </c>
      <c r="O83" s="37" t="str">
        <f aca="false">IF(N83="","",IF(N83&gt;=Threshold,"Yes","No"))</f>
        <v>Yes</v>
      </c>
      <c r="P83" s="48" t="n">
        <f aca="false">IFERROR(AVERAGEIFS('Score Entry'!$M$5:$M$1276,'Score Entry'!$B$5:$B$1276,A83,'Score Entry'!$E$5:$E$1276,"Third"),"")</f>
        <v>62</v>
      </c>
      <c r="Q83" s="48" t="n">
        <f aca="false">IF(H83&lt;&gt;"Eligible","",IF(O83="Yes",IF(ISNUMBER(P83),ROUND(AVERAGE(L83,M83,P83),1),""),IF(O83="No",ROUND(AVERAGE(L83:M83),1),"")))</f>
        <v>72.7</v>
      </c>
      <c r="R83" s="37" t="str">
        <f aca="false">IF(H83&lt;&gt;"Eligible","Screened out",IF(COUNT(L83:M83)=0,"Not started",IF(COUNT(L83:M83)=1,"One read done",IF(O83="Yes",IF(ISNUMBER(P83),"Complete","Needs third read"),"Complete"))))</f>
        <v>Complete</v>
      </c>
      <c r="S83" s="37" t="n">
        <f aca="false">IF(Q83="","",COUNTIFS($C$5:$C$600,C83,$Q$5:$Q$600,"&gt;"&amp;Q83)+1)</f>
        <v>52</v>
      </c>
      <c r="T83" s="37" t="str">
        <f aca="false">IF(Q83="","",IF(Q83&gt;=Cutoff,"Yes","No"))</f>
        <v>No</v>
      </c>
      <c r="U83" s="49" t="n">
        <f aca="false">IF(T83="Yes",MIN(F83,INDEX(Settings!$G:$G,MATCH(C83,Settings!$E:$E,0))),0)</f>
        <v>0</v>
      </c>
      <c r="V83" s="49" t="str">
        <f aca="false">IF(T83="Yes",SUMIFS($U$5:$U$600,$C$5:$C$600,C83,$Q$5:$Q$600,"&gt;"&amp;Q83)+U83,"")</f>
        <v/>
      </c>
      <c r="W83" s="37" t="str">
        <f aca="false">IF(T83="Yes",IF(V83&lt;=INDEX(PoolList,MATCH(C83,ProgramList,0)),"Within pool","Over pool"),"")</f>
        <v/>
      </c>
      <c r="X83" s="37" t="n">
        <f aca="false">IF(O83="Yes",COUNTIF($O$5:O83,"Yes"),"")</f>
        <v>11</v>
      </c>
    </row>
    <row r="84" customFormat="false" ht="15" hidden="false" customHeight="false" outlineLevel="0" collapsed="false">
      <c r="A84" s="35" t="s">
        <v>349</v>
      </c>
      <c r="B84" s="35" t="s">
        <v>350</v>
      </c>
      <c r="C84" s="35" t="s">
        <v>105</v>
      </c>
      <c r="D84" s="35" t="s">
        <v>174</v>
      </c>
      <c r="E84" s="35" t="s">
        <v>175</v>
      </c>
      <c r="F84" s="42" t="n">
        <v>135500</v>
      </c>
      <c r="G84" s="36" t="n">
        <v>45909</v>
      </c>
      <c r="H84" s="35" t="s">
        <v>54</v>
      </c>
      <c r="I84" s="35" t="s">
        <v>82</v>
      </c>
      <c r="J84" s="35" t="s">
        <v>85</v>
      </c>
      <c r="K84" s="35"/>
      <c r="L84" s="48" t="n">
        <f aca="false">IFERROR(AVERAGEIFS('Score Entry'!$M$5:$M$1276,'Score Entry'!$B$5:$B$1276,A84,'Score Entry'!$E$5:$E$1276,"Primary"),"")</f>
        <v>55</v>
      </c>
      <c r="M84" s="48" t="n">
        <f aca="false">IFERROR(AVERAGEIFS('Score Entry'!$M$5:$M$1276,'Score Entry'!$B$5:$B$1276,A84,'Score Entry'!$E$5:$E$1276,"Secondary"),"")</f>
        <v>63</v>
      </c>
      <c r="N84" s="48" t="n">
        <f aca="false">IF(COUNT(L84:M84)=2,ABS(L84-M84),"")</f>
        <v>8</v>
      </c>
      <c r="O84" s="37" t="str">
        <f aca="false">IF(N84="","",IF(N84&gt;=Threshold,"Yes","No"))</f>
        <v>No</v>
      </c>
      <c r="P84" s="48" t="str">
        <f aca="false">IFERROR(AVERAGEIFS('Score Entry'!$M$5:$M$1276,'Score Entry'!$B$5:$B$1276,A84,'Score Entry'!$E$5:$E$1276,"Third"),"")</f>
        <v/>
      </c>
      <c r="Q84" s="48" t="n">
        <f aca="false">IF(H84&lt;&gt;"Eligible","",IF(O84="Yes",IF(ISNUMBER(P84),ROUND(AVERAGE(L84,M84,P84),1),""),IF(O84="No",ROUND(AVERAGE(L84:M84),1),"")))</f>
        <v>59</v>
      </c>
      <c r="R84" s="37" t="str">
        <f aca="false">IF(H84&lt;&gt;"Eligible","Screened out",IF(COUNT(L84:M84)=0,"Not started",IF(COUNT(L84:M84)=1,"One read done",IF(O84="Yes",IF(ISNUMBER(P84),"Complete","Needs third read"),"Complete"))))</f>
        <v>Complete</v>
      </c>
      <c r="S84" s="37" t="n">
        <f aca="false">IF(Q84="","",COUNTIFS($C$5:$C$600,C84,$Q$5:$Q$600,"&gt;"&amp;Q84)+1)</f>
        <v>75</v>
      </c>
      <c r="T84" s="37" t="str">
        <f aca="false">IF(Q84="","",IF(Q84&gt;=Cutoff,"Yes","No"))</f>
        <v>No</v>
      </c>
      <c r="U84" s="49" t="n">
        <f aca="false">IF(T84="Yes",MIN(F84,INDEX(Settings!$G:$G,MATCH(C84,Settings!$E:$E,0))),0)</f>
        <v>0</v>
      </c>
      <c r="V84" s="49" t="str">
        <f aca="false">IF(T84="Yes",SUMIFS($U$5:$U$600,$C$5:$C$600,C84,$Q$5:$Q$600,"&gt;"&amp;Q84)+U84,"")</f>
        <v/>
      </c>
      <c r="W84" s="37" t="str">
        <f aca="false">IF(T84="Yes",IF(V84&lt;=INDEX(PoolList,MATCH(C84,ProgramList,0)),"Within pool","Over pool"),"")</f>
        <v/>
      </c>
      <c r="X84" s="37" t="str">
        <f aca="false">IF(O84="Yes",COUNTIF($O$5:O84,"Yes"),"")</f>
        <v/>
      </c>
    </row>
    <row r="85" customFormat="false" ht="15" hidden="false" customHeight="false" outlineLevel="0" collapsed="false">
      <c r="A85" s="35" t="s">
        <v>351</v>
      </c>
      <c r="B85" s="35" t="s">
        <v>352</v>
      </c>
      <c r="C85" s="35" t="s">
        <v>106</v>
      </c>
      <c r="D85" s="35" t="s">
        <v>174</v>
      </c>
      <c r="E85" s="35" t="s">
        <v>175</v>
      </c>
      <c r="F85" s="42" t="n">
        <v>48000</v>
      </c>
      <c r="G85" s="36" t="n">
        <v>45923</v>
      </c>
      <c r="H85" s="35" t="s">
        <v>54</v>
      </c>
      <c r="I85" s="35" t="s">
        <v>94</v>
      </c>
      <c r="J85" s="35" t="s">
        <v>85</v>
      </c>
      <c r="K85" s="35"/>
      <c r="L85" s="48" t="n">
        <f aca="false">IFERROR(AVERAGEIFS('Score Entry'!$M$5:$M$1276,'Score Entry'!$B$5:$B$1276,A85,'Score Entry'!$E$5:$E$1276,"Primary"),"")</f>
        <v>90</v>
      </c>
      <c r="M85" s="48" t="n">
        <f aca="false">IFERROR(AVERAGEIFS('Score Entry'!$M$5:$M$1276,'Score Entry'!$B$5:$B$1276,A85,'Score Entry'!$E$5:$E$1276,"Secondary"),"")</f>
        <v>93</v>
      </c>
      <c r="N85" s="48" t="n">
        <f aca="false">IF(COUNT(L85:M85)=2,ABS(L85-M85),"")</f>
        <v>3</v>
      </c>
      <c r="O85" s="37" t="str">
        <f aca="false">IF(N85="","",IF(N85&gt;=Threshold,"Yes","No"))</f>
        <v>No</v>
      </c>
      <c r="P85" s="48" t="str">
        <f aca="false">IFERROR(AVERAGEIFS('Score Entry'!$M$5:$M$1276,'Score Entry'!$B$5:$B$1276,A85,'Score Entry'!$E$5:$E$1276,"Third"),"")</f>
        <v/>
      </c>
      <c r="Q85" s="48" t="n">
        <f aca="false">IF(H85&lt;&gt;"Eligible","",IF(O85="Yes",IF(ISNUMBER(P85),ROUND(AVERAGE(L85,M85,P85),1),""),IF(O85="No",ROUND(AVERAGE(L85:M85),1),"")))</f>
        <v>91.5</v>
      </c>
      <c r="R85" s="37" t="str">
        <f aca="false">IF(H85&lt;&gt;"Eligible","Screened out",IF(COUNT(L85:M85)=0,"Not started",IF(COUNT(L85:M85)=1,"One read done",IF(O85="Yes",IF(ISNUMBER(P85),"Complete","Needs third read"),"Complete"))))</f>
        <v>Complete</v>
      </c>
      <c r="S85" s="37" t="n">
        <f aca="false">IF(Q85="","",COUNTIFS($C$5:$C$600,C85,$Q$5:$Q$600,"&gt;"&amp;Q85)+1)</f>
        <v>5</v>
      </c>
      <c r="T85" s="37" t="str">
        <f aca="false">IF(Q85="","",IF(Q85&gt;=Cutoff,"Yes","No"))</f>
        <v>Yes</v>
      </c>
      <c r="U85" s="49" t="n">
        <f aca="false">IF(T85="Yes",MIN(F85,INDEX(Settings!$G:$G,MATCH(C85,Settings!$E:$E,0))),0)</f>
        <v>48000</v>
      </c>
      <c r="V85" s="49" t="n">
        <f aca="false">IF(T85="Yes",SUMIFS($U$5:$U$600,$C$5:$C$600,C85,$Q$5:$Q$600,"&gt;"&amp;Q85)+U85,"")</f>
        <v>315500</v>
      </c>
      <c r="W85" s="37" t="str">
        <f aca="false">IF(T85="Yes",IF(V85&lt;=INDEX(PoolList,MATCH(C85,ProgramList,0)),"Within pool","Over pool"),"")</f>
        <v>Within pool</v>
      </c>
      <c r="X85" s="37" t="str">
        <f aca="false">IF(O85="Yes",COUNTIF($O$5:O85,"Yes"),"")</f>
        <v/>
      </c>
    </row>
    <row r="86" customFormat="false" ht="15" hidden="false" customHeight="false" outlineLevel="0" collapsed="false">
      <c r="A86" s="35" t="s">
        <v>353</v>
      </c>
      <c r="B86" s="35" t="s">
        <v>354</v>
      </c>
      <c r="C86" s="35" t="s">
        <v>104</v>
      </c>
      <c r="D86" s="35" t="s">
        <v>221</v>
      </c>
      <c r="E86" s="35" t="s">
        <v>258</v>
      </c>
      <c r="F86" s="42" t="n">
        <v>98500</v>
      </c>
      <c r="G86" s="36" t="n">
        <v>45922</v>
      </c>
      <c r="H86" s="35" t="s">
        <v>54</v>
      </c>
      <c r="I86" s="35" t="s">
        <v>82</v>
      </c>
      <c r="J86" s="35" t="s">
        <v>78</v>
      </c>
      <c r="K86" s="35"/>
      <c r="L86" s="48" t="n">
        <f aca="false">IFERROR(AVERAGEIFS('Score Entry'!$M$5:$M$1276,'Score Entry'!$B$5:$B$1276,A86,'Score Entry'!$E$5:$E$1276,"Primary"),"")</f>
        <v>79</v>
      </c>
      <c r="M86" s="48" t="n">
        <f aca="false">IFERROR(AVERAGEIFS('Score Entry'!$M$5:$M$1276,'Score Entry'!$B$5:$B$1276,A86,'Score Entry'!$E$5:$E$1276,"Secondary"),"")</f>
        <v>73</v>
      </c>
      <c r="N86" s="48" t="n">
        <f aca="false">IF(COUNT(L86:M86)=2,ABS(L86-M86),"")</f>
        <v>6</v>
      </c>
      <c r="O86" s="37" t="str">
        <f aca="false">IF(N86="","",IF(N86&gt;=Threshold,"Yes","No"))</f>
        <v>No</v>
      </c>
      <c r="P86" s="48" t="str">
        <f aca="false">IFERROR(AVERAGEIFS('Score Entry'!$M$5:$M$1276,'Score Entry'!$B$5:$B$1276,A86,'Score Entry'!$E$5:$E$1276,"Third"),"")</f>
        <v/>
      </c>
      <c r="Q86" s="48" t="n">
        <f aca="false">IF(H86&lt;&gt;"Eligible","",IF(O86="Yes",IF(ISNUMBER(P86),ROUND(AVERAGE(L86,M86,P86),1),""),IF(O86="No",ROUND(AVERAGE(L86:M86),1),"")))</f>
        <v>76</v>
      </c>
      <c r="R86" s="37" t="str">
        <f aca="false">IF(H86&lt;&gt;"Eligible","Screened out",IF(COUNT(L86:M86)=0,"Not started",IF(COUNT(L86:M86)=1,"One read done",IF(O86="Yes",IF(ISNUMBER(P86),"Complete","Needs third read"),"Complete"))))</f>
        <v>Complete</v>
      </c>
      <c r="S86" s="37" t="n">
        <f aca="false">IF(Q86="","",COUNTIFS($C$5:$C$600,C86,$Q$5:$Q$600,"&gt;"&amp;Q86)+1)</f>
        <v>30</v>
      </c>
      <c r="T86" s="37" t="str">
        <f aca="false">IF(Q86="","",IF(Q86&gt;=Cutoff,"Yes","No"))</f>
        <v>No</v>
      </c>
      <c r="U86" s="49" t="n">
        <f aca="false">IF(T86="Yes",MIN(F86,INDEX(Settings!$G:$G,MATCH(C86,Settings!$E:$E,0))),0)</f>
        <v>0</v>
      </c>
      <c r="V86" s="49" t="str">
        <f aca="false">IF(T86="Yes",SUMIFS($U$5:$U$600,$C$5:$C$600,C86,$Q$5:$Q$600,"&gt;"&amp;Q86)+U86,"")</f>
        <v/>
      </c>
      <c r="W86" s="37" t="str">
        <f aca="false">IF(T86="Yes",IF(V86&lt;=INDEX(PoolList,MATCH(C86,ProgramList,0)),"Within pool","Over pool"),"")</f>
        <v/>
      </c>
      <c r="X86" s="37" t="str">
        <f aca="false">IF(O86="Yes",COUNTIF($O$5:O86,"Yes"),"")</f>
        <v/>
      </c>
    </row>
    <row r="87" customFormat="false" ht="15" hidden="false" customHeight="false" outlineLevel="0" collapsed="false">
      <c r="A87" s="35" t="s">
        <v>355</v>
      </c>
      <c r="B87" s="35" t="s">
        <v>356</v>
      </c>
      <c r="C87" s="35" t="s">
        <v>106</v>
      </c>
      <c r="D87" s="35" t="s">
        <v>180</v>
      </c>
      <c r="E87" s="35" t="s">
        <v>181</v>
      </c>
      <c r="F87" s="42" t="n">
        <v>70000</v>
      </c>
      <c r="G87" s="36" t="n">
        <v>45916</v>
      </c>
      <c r="H87" s="35" t="s">
        <v>54</v>
      </c>
      <c r="I87" s="35" t="s">
        <v>91</v>
      </c>
      <c r="J87" s="35" t="s">
        <v>88</v>
      </c>
      <c r="K87" s="35"/>
      <c r="L87" s="48" t="str">
        <f aca="false">IFERROR(AVERAGEIFS('Score Entry'!$M$5:$M$1276,'Score Entry'!$B$5:$B$1276,A87,'Score Entry'!$E$5:$E$1276,"Primary"),"")</f>
        <v/>
      </c>
      <c r="M87" s="48" t="n">
        <f aca="false">IFERROR(AVERAGEIFS('Score Entry'!$M$5:$M$1276,'Score Entry'!$B$5:$B$1276,A87,'Score Entry'!$E$5:$E$1276,"Secondary"),"")</f>
        <v>51</v>
      </c>
      <c r="N87" s="48" t="str">
        <f aca="false">IF(COUNT(L87:M87)=2,ABS(L87-M87),"")</f>
        <v/>
      </c>
      <c r="O87" s="37" t="str">
        <f aca="false">IF(N87="","",IF(N87&gt;=Threshold,"Yes","No"))</f>
        <v/>
      </c>
      <c r="P87" s="48" t="str">
        <f aca="false">IFERROR(AVERAGEIFS('Score Entry'!$M$5:$M$1276,'Score Entry'!$B$5:$B$1276,A87,'Score Entry'!$E$5:$E$1276,"Third"),"")</f>
        <v/>
      </c>
      <c r="Q87" s="48" t="str">
        <f aca="false">IF(H87&lt;&gt;"Eligible","",IF(O87="Yes",IF(ISNUMBER(P87),ROUND(AVERAGE(L87,M87,P87),1),""),IF(O87="No",ROUND(AVERAGE(L87:M87),1),"")))</f>
        <v/>
      </c>
      <c r="R87" s="37" t="str">
        <f aca="false">IF(H87&lt;&gt;"Eligible","Screened out",IF(COUNT(L87:M87)=0,"Not started",IF(COUNT(L87:M87)=1,"One read done",IF(O87="Yes",IF(ISNUMBER(P87),"Complete","Needs third read"),"Complete"))))</f>
        <v>One read done</v>
      </c>
      <c r="S87" s="37" t="str">
        <f aca="false">IF(Q87="","",COUNTIFS($C$5:$C$600,C87,$Q$5:$Q$600,"&gt;"&amp;Q87)+1)</f>
        <v/>
      </c>
      <c r="T87" s="37" t="str">
        <f aca="false">IF(Q87="","",IF(Q87&gt;=Cutoff,"Yes","No"))</f>
        <v/>
      </c>
      <c r="U87" s="49" t="n">
        <f aca="false">IF(T87="Yes",MIN(F87,INDEX(Settings!$G:$G,MATCH(C87,Settings!$E:$E,0))),0)</f>
        <v>0</v>
      </c>
      <c r="V87" s="49" t="str">
        <f aca="false">IF(T87="Yes",SUMIFS($U$5:$U$600,$C$5:$C$600,C87,$Q$5:$Q$600,"&gt;"&amp;Q87)+U87,"")</f>
        <v/>
      </c>
      <c r="W87" s="37" t="str">
        <f aca="false">IF(T87="Yes",IF(V87&lt;=INDEX(PoolList,MATCH(C87,ProgramList,0)),"Within pool","Over pool"),"")</f>
        <v/>
      </c>
      <c r="X87" s="37" t="str">
        <f aca="false">IF(O87="Yes",COUNTIF($O$5:O87,"Yes"),"")</f>
        <v/>
      </c>
    </row>
    <row r="88" customFormat="false" ht="15" hidden="false" customHeight="false" outlineLevel="0" collapsed="false">
      <c r="A88" s="35" t="s">
        <v>357</v>
      </c>
      <c r="B88" s="35" t="s">
        <v>358</v>
      </c>
      <c r="C88" s="35" t="s">
        <v>103</v>
      </c>
      <c r="D88" s="35" t="s">
        <v>180</v>
      </c>
      <c r="E88" s="35" t="s">
        <v>181</v>
      </c>
      <c r="F88" s="42" t="n">
        <v>64500</v>
      </c>
      <c r="G88" s="36" t="n">
        <v>45924</v>
      </c>
      <c r="H88" s="35" t="s">
        <v>54</v>
      </c>
      <c r="I88" s="35" t="s">
        <v>91</v>
      </c>
      <c r="J88" s="35" t="s">
        <v>78</v>
      </c>
      <c r="K88" s="35"/>
      <c r="L88" s="48" t="str">
        <f aca="false">IFERROR(AVERAGEIFS('Score Entry'!$M$5:$M$1276,'Score Entry'!$B$5:$B$1276,A88,'Score Entry'!$E$5:$E$1276,"Primary"),"")</f>
        <v/>
      </c>
      <c r="M88" s="48" t="n">
        <f aca="false">IFERROR(AVERAGEIFS('Score Entry'!$M$5:$M$1276,'Score Entry'!$B$5:$B$1276,A88,'Score Entry'!$E$5:$E$1276,"Secondary"),"")</f>
        <v>65</v>
      </c>
      <c r="N88" s="48" t="str">
        <f aca="false">IF(COUNT(L88:M88)=2,ABS(L88-M88),"")</f>
        <v/>
      </c>
      <c r="O88" s="37" t="str">
        <f aca="false">IF(N88="","",IF(N88&gt;=Threshold,"Yes","No"))</f>
        <v/>
      </c>
      <c r="P88" s="48" t="str">
        <f aca="false">IFERROR(AVERAGEIFS('Score Entry'!$M$5:$M$1276,'Score Entry'!$B$5:$B$1276,A88,'Score Entry'!$E$5:$E$1276,"Third"),"")</f>
        <v/>
      </c>
      <c r="Q88" s="48" t="str">
        <f aca="false">IF(H88&lt;&gt;"Eligible","",IF(O88="Yes",IF(ISNUMBER(P88),ROUND(AVERAGE(L88,M88,P88),1),""),IF(O88="No",ROUND(AVERAGE(L88:M88),1),"")))</f>
        <v/>
      </c>
      <c r="R88" s="37" t="str">
        <f aca="false">IF(H88&lt;&gt;"Eligible","Screened out",IF(COUNT(L88:M88)=0,"Not started",IF(COUNT(L88:M88)=1,"One read done",IF(O88="Yes",IF(ISNUMBER(P88),"Complete","Needs third read"),"Complete"))))</f>
        <v>One read done</v>
      </c>
      <c r="S88" s="37" t="str">
        <f aca="false">IF(Q88="","",COUNTIFS($C$5:$C$600,C88,$Q$5:$Q$600,"&gt;"&amp;Q88)+1)</f>
        <v/>
      </c>
      <c r="T88" s="37" t="str">
        <f aca="false">IF(Q88="","",IF(Q88&gt;=Cutoff,"Yes","No"))</f>
        <v/>
      </c>
      <c r="U88" s="49" t="n">
        <f aca="false">IF(T88="Yes",MIN(F88,INDEX(Settings!$G:$G,MATCH(C88,Settings!$E:$E,0))),0)</f>
        <v>0</v>
      </c>
      <c r="V88" s="49" t="str">
        <f aca="false">IF(T88="Yes",SUMIFS($U$5:$U$600,$C$5:$C$600,C88,$Q$5:$Q$600,"&gt;"&amp;Q88)+U88,"")</f>
        <v/>
      </c>
      <c r="W88" s="37" t="str">
        <f aca="false">IF(T88="Yes",IF(V88&lt;=INDEX(PoolList,MATCH(C88,ProgramList,0)),"Within pool","Over pool"),"")</f>
        <v/>
      </c>
      <c r="X88" s="37" t="str">
        <f aca="false">IF(O88="Yes",COUNTIF($O$5:O88,"Yes"),"")</f>
        <v/>
      </c>
    </row>
    <row r="89" customFormat="false" ht="15" hidden="false" customHeight="false" outlineLevel="0" collapsed="false">
      <c r="A89" s="35" t="s">
        <v>359</v>
      </c>
      <c r="B89" s="35" t="s">
        <v>360</v>
      </c>
      <c r="C89" s="35" t="s">
        <v>104</v>
      </c>
      <c r="D89" s="35" t="s">
        <v>174</v>
      </c>
      <c r="E89" s="35" t="s">
        <v>175</v>
      </c>
      <c r="F89" s="42" t="n">
        <v>200500</v>
      </c>
      <c r="G89" s="36" t="n">
        <v>45927</v>
      </c>
      <c r="H89" s="35" t="s">
        <v>54</v>
      </c>
      <c r="I89" s="35" t="s">
        <v>82</v>
      </c>
      <c r="J89" s="35" t="s">
        <v>85</v>
      </c>
      <c r="K89" s="35"/>
      <c r="L89" s="48" t="n">
        <f aca="false">IFERROR(AVERAGEIFS('Score Entry'!$M$5:$M$1276,'Score Entry'!$B$5:$B$1276,A89,'Score Entry'!$E$5:$E$1276,"Primary"),"")</f>
        <v>71</v>
      </c>
      <c r="M89" s="48" t="n">
        <f aca="false">IFERROR(AVERAGEIFS('Score Entry'!$M$5:$M$1276,'Score Entry'!$B$5:$B$1276,A89,'Score Entry'!$E$5:$E$1276,"Secondary"),"")</f>
        <v>72</v>
      </c>
      <c r="N89" s="48" t="n">
        <f aca="false">IF(COUNT(L89:M89)=2,ABS(L89-M89),"")</f>
        <v>1</v>
      </c>
      <c r="O89" s="37" t="str">
        <f aca="false">IF(N89="","",IF(N89&gt;=Threshold,"Yes","No"))</f>
        <v>No</v>
      </c>
      <c r="P89" s="48" t="str">
        <f aca="false">IFERROR(AVERAGEIFS('Score Entry'!$M$5:$M$1276,'Score Entry'!$B$5:$B$1276,A89,'Score Entry'!$E$5:$E$1276,"Third"),"")</f>
        <v/>
      </c>
      <c r="Q89" s="48" t="n">
        <f aca="false">IF(H89&lt;&gt;"Eligible","",IF(O89="Yes",IF(ISNUMBER(P89),ROUND(AVERAGE(L89,M89,P89),1),""),IF(O89="No",ROUND(AVERAGE(L89:M89),1),"")))</f>
        <v>71.5</v>
      </c>
      <c r="R89" s="37" t="str">
        <f aca="false">IF(H89&lt;&gt;"Eligible","Screened out",IF(COUNT(L89:M89)=0,"Not started",IF(COUNT(L89:M89)=1,"One read done",IF(O89="Yes",IF(ISNUMBER(P89),"Complete","Needs third read"),"Complete"))))</f>
        <v>Complete</v>
      </c>
      <c r="S89" s="37" t="n">
        <f aca="false">IF(Q89="","",COUNTIFS($C$5:$C$600,C89,$Q$5:$Q$600,"&gt;"&amp;Q89)+1)</f>
        <v>43</v>
      </c>
      <c r="T89" s="37" t="str">
        <f aca="false">IF(Q89="","",IF(Q89&gt;=Cutoff,"Yes","No"))</f>
        <v>No</v>
      </c>
      <c r="U89" s="49" t="n">
        <f aca="false">IF(T89="Yes",MIN(F89,INDEX(Settings!$G:$G,MATCH(C89,Settings!$E:$E,0))),0)</f>
        <v>0</v>
      </c>
      <c r="V89" s="49" t="str">
        <f aca="false">IF(T89="Yes",SUMIFS($U$5:$U$600,$C$5:$C$600,C89,$Q$5:$Q$600,"&gt;"&amp;Q89)+U89,"")</f>
        <v/>
      </c>
      <c r="W89" s="37" t="str">
        <f aca="false">IF(T89="Yes",IF(V89&lt;=INDEX(PoolList,MATCH(C89,ProgramList,0)),"Within pool","Over pool"),"")</f>
        <v/>
      </c>
      <c r="X89" s="37" t="str">
        <f aca="false">IF(O89="Yes",COUNTIF($O$5:O89,"Yes"),"")</f>
        <v/>
      </c>
    </row>
    <row r="90" customFormat="false" ht="15" hidden="false" customHeight="false" outlineLevel="0" collapsed="false">
      <c r="A90" s="35" t="s">
        <v>361</v>
      </c>
      <c r="B90" s="35" t="s">
        <v>362</v>
      </c>
      <c r="C90" s="35" t="s">
        <v>106</v>
      </c>
      <c r="D90" s="35" t="s">
        <v>190</v>
      </c>
      <c r="E90" s="35" t="s">
        <v>363</v>
      </c>
      <c r="F90" s="42" t="n">
        <v>126000</v>
      </c>
      <c r="G90" s="36" t="n">
        <v>45920</v>
      </c>
      <c r="H90" s="35" t="s">
        <v>54</v>
      </c>
      <c r="I90" s="35" t="s">
        <v>88</v>
      </c>
      <c r="J90" s="35" t="s">
        <v>78</v>
      </c>
      <c r="K90" s="35" t="s">
        <v>82</v>
      </c>
      <c r="L90" s="48" t="n">
        <f aca="false">IFERROR(AVERAGEIFS('Score Entry'!$M$5:$M$1276,'Score Entry'!$B$5:$B$1276,A90,'Score Entry'!$E$5:$E$1276,"Primary"),"")</f>
        <v>40</v>
      </c>
      <c r="M90" s="48" t="n">
        <f aca="false">IFERROR(AVERAGEIFS('Score Entry'!$M$5:$M$1276,'Score Entry'!$B$5:$B$1276,A90,'Score Entry'!$E$5:$E$1276,"Secondary"),"")</f>
        <v>68</v>
      </c>
      <c r="N90" s="48" t="n">
        <f aca="false">IF(COUNT(L90:M90)=2,ABS(L90-M90),"")</f>
        <v>28</v>
      </c>
      <c r="O90" s="37" t="str">
        <f aca="false">IF(N90="","",IF(N90&gt;=Threshold,"Yes","No"))</f>
        <v>Yes</v>
      </c>
      <c r="P90" s="48" t="str">
        <f aca="false">IFERROR(AVERAGEIFS('Score Entry'!$M$5:$M$1276,'Score Entry'!$B$5:$B$1276,A90,'Score Entry'!$E$5:$E$1276,"Third"),"")</f>
        <v/>
      </c>
      <c r="Q90" s="48" t="str">
        <f aca="false">IF(H90&lt;&gt;"Eligible","",IF(O90="Yes",IF(ISNUMBER(P90),ROUND(AVERAGE(L90,M90,P90),1),""),IF(O90="No",ROUND(AVERAGE(L90:M90),1),"")))</f>
        <v/>
      </c>
      <c r="R90" s="37" t="str">
        <f aca="false">IF(H90&lt;&gt;"Eligible","Screened out",IF(COUNT(L90:M90)=0,"Not started",IF(COUNT(L90:M90)=1,"One read done",IF(O90="Yes",IF(ISNUMBER(P90),"Complete","Needs third read"),"Complete"))))</f>
        <v>Needs third read</v>
      </c>
      <c r="S90" s="37" t="str">
        <f aca="false">IF(Q90="","",COUNTIFS($C$5:$C$600,C90,$Q$5:$Q$600,"&gt;"&amp;Q90)+1)</f>
        <v/>
      </c>
      <c r="T90" s="37" t="str">
        <f aca="false">IF(Q90="","",IF(Q90&gt;=Cutoff,"Yes","No"))</f>
        <v/>
      </c>
      <c r="U90" s="49" t="n">
        <f aca="false">IF(T90="Yes",MIN(F90,INDEX(Settings!$G:$G,MATCH(C90,Settings!$E:$E,0))),0)</f>
        <v>0</v>
      </c>
      <c r="V90" s="49" t="str">
        <f aca="false">IF(T90="Yes",SUMIFS($U$5:$U$600,$C$5:$C$600,C90,$Q$5:$Q$600,"&gt;"&amp;Q90)+U90,"")</f>
        <v/>
      </c>
      <c r="W90" s="37" t="str">
        <f aca="false">IF(T90="Yes",IF(V90&lt;=INDEX(PoolList,MATCH(C90,ProgramList,0)),"Within pool","Over pool"),"")</f>
        <v/>
      </c>
      <c r="X90" s="37" t="n">
        <f aca="false">IF(O90="Yes",COUNTIF($O$5:O90,"Yes"),"")</f>
        <v>12</v>
      </c>
    </row>
    <row r="91" customFormat="false" ht="15" hidden="false" customHeight="false" outlineLevel="0" collapsed="false">
      <c r="A91" s="35" t="s">
        <v>364</v>
      </c>
      <c r="B91" s="35" t="s">
        <v>365</v>
      </c>
      <c r="C91" s="35" t="s">
        <v>103</v>
      </c>
      <c r="D91" s="35" t="s">
        <v>239</v>
      </c>
      <c r="E91" s="35" t="s">
        <v>247</v>
      </c>
      <c r="F91" s="42" t="n">
        <v>128500</v>
      </c>
      <c r="G91" s="36" t="n">
        <v>45909</v>
      </c>
      <c r="H91" s="35" t="s">
        <v>54</v>
      </c>
      <c r="I91" s="35" t="s">
        <v>85</v>
      </c>
      <c r="J91" s="35" t="s">
        <v>94</v>
      </c>
      <c r="K91" s="35" t="s">
        <v>88</v>
      </c>
      <c r="L91" s="48" t="n">
        <f aca="false">IFERROR(AVERAGEIFS('Score Entry'!$M$5:$M$1276,'Score Entry'!$B$5:$B$1276,A91,'Score Entry'!$E$5:$E$1276,"Primary"),"")</f>
        <v>27</v>
      </c>
      <c r="M91" s="48" t="n">
        <f aca="false">IFERROR(AVERAGEIFS('Score Entry'!$M$5:$M$1276,'Score Entry'!$B$5:$B$1276,A91,'Score Entry'!$E$5:$E$1276,"Secondary"),"")</f>
        <v>57</v>
      </c>
      <c r="N91" s="48" t="n">
        <f aca="false">IF(COUNT(L91:M91)=2,ABS(L91-M91),"")</f>
        <v>30</v>
      </c>
      <c r="O91" s="37" t="str">
        <f aca="false">IF(N91="","",IF(N91&gt;=Threshold,"Yes","No"))</f>
        <v>Yes</v>
      </c>
      <c r="P91" s="48" t="str">
        <f aca="false">IFERROR(AVERAGEIFS('Score Entry'!$M$5:$M$1276,'Score Entry'!$B$5:$B$1276,A91,'Score Entry'!$E$5:$E$1276,"Third"),"")</f>
        <v/>
      </c>
      <c r="Q91" s="48" t="str">
        <f aca="false">IF(H91&lt;&gt;"Eligible","",IF(O91="Yes",IF(ISNUMBER(P91),ROUND(AVERAGE(L91,M91,P91),1),""),IF(O91="No",ROUND(AVERAGE(L91:M91),1),"")))</f>
        <v/>
      </c>
      <c r="R91" s="37" t="str">
        <f aca="false">IF(H91&lt;&gt;"Eligible","Screened out",IF(COUNT(L91:M91)=0,"Not started",IF(COUNT(L91:M91)=1,"One read done",IF(O91="Yes",IF(ISNUMBER(P91),"Complete","Needs third read"),"Complete"))))</f>
        <v>Needs third read</v>
      </c>
      <c r="S91" s="37" t="str">
        <f aca="false">IF(Q91="","",COUNTIFS($C$5:$C$600,C91,$Q$5:$Q$600,"&gt;"&amp;Q91)+1)</f>
        <v/>
      </c>
      <c r="T91" s="37" t="str">
        <f aca="false">IF(Q91="","",IF(Q91&gt;=Cutoff,"Yes","No"))</f>
        <v/>
      </c>
      <c r="U91" s="49" t="n">
        <f aca="false">IF(T91="Yes",MIN(F91,INDEX(Settings!$G:$G,MATCH(C91,Settings!$E:$E,0))),0)</f>
        <v>0</v>
      </c>
      <c r="V91" s="49" t="str">
        <f aca="false">IF(T91="Yes",SUMIFS($U$5:$U$600,$C$5:$C$600,C91,$Q$5:$Q$600,"&gt;"&amp;Q91)+U91,"")</f>
        <v/>
      </c>
      <c r="W91" s="37" t="str">
        <f aca="false">IF(T91="Yes",IF(V91&lt;=INDEX(PoolList,MATCH(C91,ProgramList,0)),"Within pool","Over pool"),"")</f>
        <v/>
      </c>
      <c r="X91" s="37" t="n">
        <f aca="false">IF(O91="Yes",COUNTIF($O$5:O91,"Yes"),"")</f>
        <v>13</v>
      </c>
    </row>
    <row r="92" customFormat="false" ht="15" hidden="false" customHeight="false" outlineLevel="0" collapsed="false">
      <c r="A92" s="35" t="s">
        <v>366</v>
      </c>
      <c r="B92" s="35" t="s">
        <v>367</v>
      </c>
      <c r="C92" s="35" t="s">
        <v>103</v>
      </c>
      <c r="D92" s="35" t="s">
        <v>174</v>
      </c>
      <c r="E92" s="35" t="s">
        <v>175</v>
      </c>
      <c r="F92" s="42" t="n">
        <v>138500</v>
      </c>
      <c r="G92" s="36" t="n">
        <v>45917</v>
      </c>
      <c r="H92" s="35" t="s">
        <v>54</v>
      </c>
      <c r="I92" s="35" t="s">
        <v>88</v>
      </c>
      <c r="J92" s="35" t="s">
        <v>82</v>
      </c>
      <c r="K92" s="35"/>
      <c r="L92" s="48" t="n">
        <f aca="false">IFERROR(AVERAGEIFS('Score Entry'!$M$5:$M$1276,'Score Entry'!$B$5:$B$1276,A92,'Score Entry'!$E$5:$E$1276,"Primary"),"")</f>
        <v>78</v>
      </c>
      <c r="M92" s="48" t="n">
        <f aca="false">IFERROR(AVERAGEIFS('Score Entry'!$M$5:$M$1276,'Score Entry'!$B$5:$B$1276,A92,'Score Entry'!$E$5:$E$1276,"Secondary"),"")</f>
        <v>76</v>
      </c>
      <c r="N92" s="48" t="n">
        <f aca="false">IF(COUNT(L92:M92)=2,ABS(L92-M92),"")</f>
        <v>2</v>
      </c>
      <c r="O92" s="37" t="str">
        <f aca="false">IF(N92="","",IF(N92&gt;=Threshold,"Yes","No"))</f>
        <v>No</v>
      </c>
      <c r="P92" s="48" t="str">
        <f aca="false">IFERROR(AVERAGEIFS('Score Entry'!$M$5:$M$1276,'Score Entry'!$B$5:$B$1276,A92,'Score Entry'!$E$5:$E$1276,"Third"),"")</f>
        <v/>
      </c>
      <c r="Q92" s="48" t="n">
        <f aca="false">IF(H92&lt;&gt;"Eligible","",IF(O92="Yes",IF(ISNUMBER(P92),ROUND(AVERAGE(L92,M92,P92),1),""),IF(O92="No",ROUND(AVERAGE(L92:M92),1),"")))</f>
        <v>77</v>
      </c>
      <c r="R92" s="37" t="str">
        <f aca="false">IF(H92&lt;&gt;"Eligible","Screened out",IF(COUNT(L92:M92)=0,"Not started",IF(COUNT(L92:M92)=1,"One read done",IF(O92="Yes",IF(ISNUMBER(P92),"Complete","Needs third read"),"Complete"))))</f>
        <v>Complete</v>
      </c>
      <c r="S92" s="37" t="n">
        <f aca="false">IF(Q92="","",COUNTIFS($C$5:$C$600,C92,$Q$5:$Q$600,"&gt;"&amp;Q92)+1)</f>
        <v>29</v>
      </c>
      <c r="T92" s="37" t="str">
        <f aca="false">IF(Q92="","",IF(Q92&gt;=Cutoff,"Yes","No"))</f>
        <v>No</v>
      </c>
      <c r="U92" s="49" t="n">
        <f aca="false">IF(T92="Yes",MIN(F92,INDEX(Settings!$G:$G,MATCH(C92,Settings!$E:$E,0))),0)</f>
        <v>0</v>
      </c>
      <c r="V92" s="49" t="str">
        <f aca="false">IF(T92="Yes",SUMIFS($U$5:$U$600,$C$5:$C$600,C92,$Q$5:$Q$600,"&gt;"&amp;Q92)+U92,"")</f>
        <v/>
      </c>
      <c r="W92" s="37" t="str">
        <f aca="false">IF(T92="Yes",IF(V92&lt;=INDEX(PoolList,MATCH(C92,ProgramList,0)),"Within pool","Over pool"),"")</f>
        <v/>
      </c>
      <c r="X92" s="37" t="str">
        <f aca="false">IF(O92="Yes",COUNTIF($O$5:O92,"Yes"),"")</f>
        <v/>
      </c>
    </row>
    <row r="93" customFormat="false" ht="15" hidden="false" customHeight="false" outlineLevel="0" collapsed="false">
      <c r="A93" s="35" t="s">
        <v>368</v>
      </c>
      <c r="B93" s="35" t="s">
        <v>369</v>
      </c>
      <c r="C93" s="35" t="s">
        <v>103</v>
      </c>
      <c r="D93" s="35" t="s">
        <v>174</v>
      </c>
      <c r="E93" s="35" t="s">
        <v>175</v>
      </c>
      <c r="F93" s="42" t="n">
        <v>55500</v>
      </c>
      <c r="G93" s="36" t="n">
        <v>45927</v>
      </c>
      <c r="H93" s="35" t="s">
        <v>54</v>
      </c>
      <c r="I93" s="35" t="s">
        <v>91</v>
      </c>
      <c r="J93" s="35" t="s">
        <v>82</v>
      </c>
      <c r="K93" s="35" t="s">
        <v>85</v>
      </c>
      <c r="L93" s="48" t="n">
        <f aca="false">IFERROR(AVERAGEIFS('Score Entry'!$M$5:$M$1276,'Score Entry'!$B$5:$B$1276,A93,'Score Entry'!$E$5:$E$1276,"Primary"),"")</f>
        <v>71</v>
      </c>
      <c r="M93" s="48" t="n">
        <f aca="false">IFERROR(AVERAGEIFS('Score Entry'!$M$5:$M$1276,'Score Entry'!$B$5:$B$1276,A93,'Score Entry'!$E$5:$E$1276,"Secondary"),"")</f>
        <v>53</v>
      </c>
      <c r="N93" s="48" t="n">
        <f aca="false">IF(COUNT(L93:M93)=2,ABS(L93-M93),"")</f>
        <v>18</v>
      </c>
      <c r="O93" s="37" t="str">
        <f aca="false">IF(N93="","",IF(N93&gt;=Threshold,"Yes","No"))</f>
        <v>Yes</v>
      </c>
      <c r="P93" s="48" t="str">
        <f aca="false">IFERROR(AVERAGEIFS('Score Entry'!$M$5:$M$1276,'Score Entry'!$B$5:$B$1276,A93,'Score Entry'!$E$5:$E$1276,"Third"),"")</f>
        <v/>
      </c>
      <c r="Q93" s="48" t="str">
        <f aca="false">IF(H93&lt;&gt;"Eligible","",IF(O93="Yes",IF(ISNUMBER(P93),ROUND(AVERAGE(L93,M93,P93),1),""),IF(O93="No",ROUND(AVERAGE(L93:M93),1),"")))</f>
        <v/>
      </c>
      <c r="R93" s="37" t="str">
        <f aca="false">IF(H93&lt;&gt;"Eligible","Screened out",IF(COUNT(L93:M93)=0,"Not started",IF(COUNT(L93:M93)=1,"One read done",IF(O93="Yes",IF(ISNUMBER(P93),"Complete","Needs third read"),"Complete"))))</f>
        <v>Needs third read</v>
      </c>
      <c r="S93" s="37" t="str">
        <f aca="false">IF(Q93="","",COUNTIFS($C$5:$C$600,C93,$Q$5:$Q$600,"&gt;"&amp;Q93)+1)</f>
        <v/>
      </c>
      <c r="T93" s="37" t="str">
        <f aca="false">IF(Q93="","",IF(Q93&gt;=Cutoff,"Yes","No"))</f>
        <v/>
      </c>
      <c r="U93" s="49" t="n">
        <f aca="false">IF(T93="Yes",MIN(F93,INDEX(Settings!$G:$G,MATCH(C93,Settings!$E:$E,0))),0)</f>
        <v>0</v>
      </c>
      <c r="V93" s="49" t="str">
        <f aca="false">IF(T93="Yes",SUMIFS($U$5:$U$600,$C$5:$C$600,C93,$Q$5:$Q$600,"&gt;"&amp;Q93)+U93,"")</f>
        <v/>
      </c>
      <c r="W93" s="37" t="str">
        <f aca="false">IF(T93="Yes",IF(V93&lt;=INDEX(PoolList,MATCH(C93,ProgramList,0)),"Within pool","Over pool"),"")</f>
        <v/>
      </c>
      <c r="X93" s="37" t="n">
        <f aca="false">IF(O93="Yes",COUNTIF($O$5:O93,"Yes"),"")</f>
        <v>14</v>
      </c>
    </row>
    <row r="94" customFormat="false" ht="15" hidden="false" customHeight="false" outlineLevel="0" collapsed="false">
      <c r="A94" s="35" t="s">
        <v>370</v>
      </c>
      <c r="B94" s="35" t="s">
        <v>371</v>
      </c>
      <c r="C94" s="35" t="s">
        <v>106</v>
      </c>
      <c r="D94" s="35" t="s">
        <v>174</v>
      </c>
      <c r="E94" s="35" t="s">
        <v>175</v>
      </c>
      <c r="F94" s="42" t="n">
        <v>87000</v>
      </c>
      <c r="G94" s="36" t="n">
        <v>45922</v>
      </c>
      <c r="H94" s="35" t="s">
        <v>54</v>
      </c>
      <c r="I94" s="35" t="s">
        <v>88</v>
      </c>
      <c r="J94" s="35" t="s">
        <v>91</v>
      </c>
      <c r="K94" s="35"/>
      <c r="L94" s="48" t="n">
        <f aca="false">IFERROR(AVERAGEIFS('Score Entry'!$M$5:$M$1276,'Score Entry'!$B$5:$B$1276,A94,'Score Entry'!$E$5:$E$1276,"Primary"),"")</f>
        <v>66</v>
      </c>
      <c r="M94" s="48" t="n">
        <f aca="false">IFERROR(AVERAGEIFS('Score Entry'!$M$5:$M$1276,'Score Entry'!$B$5:$B$1276,A94,'Score Entry'!$E$5:$E$1276,"Secondary"),"")</f>
        <v>71</v>
      </c>
      <c r="N94" s="48" t="n">
        <f aca="false">IF(COUNT(L94:M94)=2,ABS(L94-M94),"")</f>
        <v>5</v>
      </c>
      <c r="O94" s="37" t="str">
        <f aca="false">IF(N94="","",IF(N94&gt;=Threshold,"Yes","No"))</f>
        <v>No</v>
      </c>
      <c r="P94" s="48" t="str">
        <f aca="false">IFERROR(AVERAGEIFS('Score Entry'!$M$5:$M$1276,'Score Entry'!$B$5:$B$1276,A94,'Score Entry'!$E$5:$E$1276,"Third"),"")</f>
        <v/>
      </c>
      <c r="Q94" s="48" t="n">
        <f aca="false">IF(H94&lt;&gt;"Eligible","",IF(O94="Yes",IF(ISNUMBER(P94),ROUND(AVERAGE(L94,M94,P94),1),""),IF(O94="No",ROUND(AVERAGE(L94:M94),1),"")))</f>
        <v>68.5</v>
      </c>
      <c r="R94" s="37" t="str">
        <f aca="false">IF(H94&lt;&gt;"Eligible","Screened out",IF(COUNT(L94:M94)=0,"Not started",IF(COUNT(L94:M94)=1,"One read done",IF(O94="Yes",IF(ISNUMBER(P94),"Complete","Needs third read"),"Complete"))))</f>
        <v>Complete</v>
      </c>
      <c r="S94" s="37" t="n">
        <f aca="false">IF(Q94="","",COUNTIFS($C$5:$C$600,C94,$Q$5:$Q$600,"&gt;"&amp;Q94)+1)</f>
        <v>61</v>
      </c>
      <c r="T94" s="37" t="str">
        <f aca="false">IF(Q94="","",IF(Q94&gt;=Cutoff,"Yes","No"))</f>
        <v>No</v>
      </c>
      <c r="U94" s="49" t="n">
        <f aca="false">IF(T94="Yes",MIN(F94,INDEX(Settings!$G:$G,MATCH(C94,Settings!$E:$E,0))),0)</f>
        <v>0</v>
      </c>
      <c r="V94" s="49" t="str">
        <f aca="false">IF(T94="Yes",SUMIFS($U$5:$U$600,$C$5:$C$600,C94,$Q$5:$Q$600,"&gt;"&amp;Q94)+U94,"")</f>
        <v/>
      </c>
      <c r="W94" s="37" t="str">
        <f aca="false">IF(T94="Yes",IF(V94&lt;=INDEX(PoolList,MATCH(C94,ProgramList,0)),"Within pool","Over pool"),"")</f>
        <v/>
      </c>
      <c r="X94" s="37" t="str">
        <f aca="false">IF(O94="Yes",COUNTIF($O$5:O94,"Yes"),"")</f>
        <v/>
      </c>
    </row>
    <row r="95" customFormat="false" ht="15" hidden="false" customHeight="false" outlineLevel="0" collapsed="false">
      <c r="A95" s="35" t="s">
        <v>372</v>
      </c>
      <c r="B95" s="35" t="s">
        <v>373</v>
      </c>
      <c r="C95" s="35" t="s">
        <v>105</v>
      </c>
      <c r="D95" s="35" t="s">
        <v>239</v>
      </c>
      <c r="E95" s="35" t="s">
        <v>255</v>
      </c>
      <c r="F95" s="42" t="n">
        <v>56000</v>
      </c>
      <c r="G95" s="36" t="n">
        <v>45927</v>
      </c>
      <c r="H95" s="35" t="s">
        <v>54</v>
      </c>
      <c r="I95" s="35" t="s">
        <v>85</v>
      </c>
      <c r="J95" s="35" t="s">
        <v>94</v>
      </c>
      <c r="K95" s="35"/>
      <c r="L95" s="48" t="n">
        <f aca="false">IFERROR(AVERAGEIFS('Score Entry'!$M$5:$M$1276,'Score Entry'!$B$5:$B$1276,A95,'Score Entry'!$E$5:$E$1276,"Primary"),"")</f>
        <v>46</v>
      </c>
      <c r="M95" s="48" t="n">
        <f aca="false">IFERROR(AVERAGEIFS('Score Entry'!$M$5:$M$1276,'Score Entry'!$B$5:$B$1276,A95,'Score Entry'!$E$5:$E$1276,"Secondary"),"")</f>
        <v>47</v>
      </c>
      <c r="N95" s="48" t="n">
        <f aca="false">IF(COUNT(L95:M95)=2,ABS(L95-M95),"")</f>
        <v>1</v>
      </c>
      <c r="O95" s="37" t="str">
        <f aca="false">IF(N95="","",IF(N95&gt;=Threshold,"Yes","No"))</f>
        <v>No</v>
      </c>
      <c r="P95" s="48" t="str">
        <f aca="false">IFERROR(AVERAGEIFS('Score Entry'!$M$5:$M$1276,'Score Entry'!$B$5:$B$1276,A95,'Score Entry'!$E$5:$E$1276,"Third"),"")</f>
        <v/>
      </c>
      <c r="Q95" s="48" t="n">
        <f aca="false">IF(H95&lt;&gt;"Eligible","",IF(O95="Yes",IF(ISNUMBER(P95),ROUND(AVERAGE(L95,M95,P95),1),""),IF(O95="No",ROUND(AVERAGE(L95:M95),1),"")))</f>
        <v>46.5</v>
      </c>
      <c r="R95" s="37" t="str">
        <f aca="false">IF(H95&lt;&gt;"Eligible","Screened out",IF(COUNT(L95:M95)=0,"Not started",IF(COUNT(L95:M95)=1,"One read done",IF(O95="Yes",IF(ISNUMBER(P95),"Complete","Needs third read"),"Complete"))))</f>
        <v>Complete</v>
      </c>
      <c r="S95" s="37" t="n">
        <f aca="false">IF(Q95="","",COUNTIFS($C$5:$C$600,C95,$Q$5:$Q$600,"&gt;"&amp;Q95)+1)</f>
        <v>97</v>
      </c>
      <c r="T95" s="37" t="str">
        <f aca="false">IF(Q95="","",IF(Q95&gt;=Cutoff,"Yes","No"))</f>
        <v>No</v>
      </c>
      <c r="U95" s="49" t="n">
        <f aca="false">IF(T95="Yes",MIN(F95,INDEX(Settings!$G:$G,MATCH(C95,Settings!$E:$E,0))),0)</f>
        <v>0</v>
      </c>
      <c r="V95" s="49" t="str">
        <f aca="false">IF(T95="Yes",SUMIFS($U$5:$U$600,$C$5:$C$600,C95,$Q$5:$Q$600,"&gt;"&amp;Q95)+U95,"")</f>
        <v/>
      </c>
      <c r="W95" s="37" t="str">
        <f aca="false">IF(T95="Yes",IF(V95&lt;=INDEX(PoolList,MATCH(C95,ProgramList,0)),"Within pool","Over pool"),"")</f>
        <v/>
      </c>
      <c r="X95" s="37" t="str">
        <f aca="false">IF(O95="Yes",COUNTIF($O$5:O95,"Yes"),"")</f>
        <v/>
      </c>
    </row>
    <row r="96" customFormat="false" ht="15" hidden="false" customHeight="false" outlineLevel="0" collapsed="false">
      <c r="A96" s="35" t="s">
        <v>374</v>
      </c>
      <c r="B96" s="35" t="s">
        <v>375</v>
      </c>
      <c r="C96" s="35" t="s">
        <v>105</v>
      </c>
      <c r="D96" s="35" t="s">
        <v>174</v>
      </c>
      <c r="E96" s="35" t="s">
        <v>175</v>
      </c>
      <c r="F96" s="42" t="n">
        <v>77500</v>
      </c>
      <c r="G96" s="36" t="n">
        <v>45914</v>
      </c>
      <c r="H96" s="35" t="s">
        <v>54</v>
      </c>
      <c r="I96" s="35" t="s">
        <v>78</v>
      </c>
      <c r="J96" s="35" t="s">
        <v>85</v>
      </c>
      <c r="K96" s="35"/>
      <c r="L96" s="48" t="n">
        <f aca="false">IFERROR(AVERAGEIFS('Score Entry'!$M$5:$M$1276,'Score Entry'!$B$5:$B$1276,A96,'Score Entry'!$E$5:$E$1276,"Primary"),"")</f>
        <v>50</v>
      </c>
      <c r="M96" s="48" t="n">
        <f aca="false">IFERROR(AVERAGEIFS('Score Entry'!$M$5:$M$1276,'Score Entry'!$B$5:$B$1276,A96,'Score Entry'!$E$5:$E$1276,"Secondary"),"")</f>
        <v>49</v>
      </c>
      <c r="N96" s="48" t="n">
        <f aca="false">IF(COUNT(L96:M96)=2,ABS(L96-M96),"")</f>
        <v>1</v>
      </c>
      <c r="O96" s="37" t="str">
        <f aca="false">IF(N96="","",IF(N96&gt;=Threshold,"Yes","No"))</f>
        <v>No</v>
      </c>
      <c r="P96" s="48" t="str">
        <f aca="false">IFERROR(AVERAGEIFS('Score Entry'!$M$5:$M$1276,'Score Entry'!$B$5:$B$1276,A96,'Score Entry'!$E$5:$E$1276,"Third"),"")</f>
        <v/>
      </c>
      <c r="Q96" s="48" t="n">
        <f aca="false">IF(H96&lt;&gt;"Eligible","",IF(O96="Yes",IF(ISNUMBER(P96),ROUND(AVERAGE(L96,M96,P96),1),""),IF(O96="No",ROUND(AVERAGE(L96:M96),1),"")))</f>
        <v>49.5</v>
      </c>
      <c r="R96" s="37" t="str">
        <f aca="false">IF(H96&lt;&gt;"Eligible","Screened out",IF(COUNT(L96:M96)=0,"Not started",IF(COUNT(L96:M96)=1,"One read done",IF(O96="Yes",IF(ISNUMBER(P96),"Complete","Needs third read"),"Complete"))))</f>
        <v>Complete</v>
      </c>
      <c r="S96" s="37" t="n">
        <f aca="false">IF(Q96="","",COUNTIFS($C$5:$C$600,C96,$Q$5:$Q$600,"&gt;"&amp;Q96)+1)</f>
        <v>93</v>
      </c>
      <c r="T96" s="37" t="str">
        <f aca="false">IF(Q96="","",IF(Q96&gt;=Cutoff,"Yes","No"))</f>
        <v>No</v>
      </c>
      <c r="U96" s="49" t="n">
        <f aca="false">IF(T96="Yes",MIN(F96,INDEX(Settings!$G:$G,MATCH(C96,Settings!$E:$E,0))),0)</f>
        <v>0</v>
      </c>
      <c r="V96" s="49" t="str">
        <f aca="false">IF(T96="Yes",SUMIFS($U$5:$U$600,$C$5:$C$600,C96,$Q$5:$Q$600,"&gt;"&amp;Q96)+U96,"")</f>
        <v/>
      </c>
      <c r="W96" s="37" t="str">
        <f aca="false">IF(T96="Yes",IF(V96&lt;=INDEX(PoolList,MATCH(C96,ProgramList,0)),"Within pool","Over pool"),"")</f>
        <v/>
      </c>
      <c r="X96" s="37" t="str">
        <f aca="false">IF(O96="Yes",COUNTIF($O$5:O96,"Yes"),"")</f>
        <v/>
      </c>
    </row>
    <row r="97" customFormat="false" ht="15" hidden="false" customHeight="false" outlineLevel="0" collapsed="false">
      <c r="A97" s="35" t="s">
        <v>376</v>
      </c>
      <c r="B97" s="35" t="s">
        <v>377</v>
      </c>
      <c r="C97" s="35" t="s">
        <v>106</v>
      </c>
      <c r="D97" s="35" t="s">
        <v>174</v>
      </c>
      <c r="E97" s="35" t="s">
        <v>175</v>
      </c>
      <c r="F97" s="42" t="n">
        <v>55000</v>
      </c>
      <c r="G97" s="36" t="n">
        <v>45918</v>
      </c>
      <c r="H97" s="35" t="s">
        <v>54</v>
      </c>
      <c r="I97" s="35" t="s">
        <v>85</v>
      </c>
      <c r="J97" s="35" t="s">
        <v>88</v>
      </c>
      <c r="K97" s="35"/>
      <c r="L97" s="48" t="n">
        <f aca="false">IFERROR(AVERAGEIFS('Score Entry'!$M$5:$M$1276,'Score Entry'!$B$5:$B$1276,A97,'Score Entry'!$E$5:$E$1276,"Primary"),"")</f>
        <v>94</v>
      </c>
      <c r="M97" s="48" t="str">
        <f aca="false">IFERROR(AVERAGEIFS('Score Entry'!$M$5:$M$1276,'Score Entry'!$B$5:$B$1276,A97,'Score Entry'!$E$5:$E$1276,"Secondary"),"")</f>
        <v/>
      </c>
      <c r="N97" s="48" t="str">
        <f aca="false">IF(COUNT(L97:M97)=2,ABS(L97-M97),"")</f>
        <v/>
      </c>
      <c r="O97" s="37" t="str">
        <f aca="false">IF(N97="","",IF(N97&gt;=Threshold,"Yes","No"))</f>
        <v/>
      </c>
      <c r="P97" s="48" t="str">
        <f aca="false">IFERROR(AVERAGEIFS('Score Entry'!$M$5:$M$1276,'Score Entry'!$B$5:$B$1276,A97,'Score Entry'!$E$5:$E$1276,"Third"),"")</f>
        <v/>
      </c>
      <c r="Q97" s="48" t="str">
        <f aca="false">IF(H97&lt;&gt;"Eligible","",IF(O97="Yes",IF(ISNUMBER(P97),ROUND(AVERAGE(L97,M97,P97),1),""),IF(O97="No",ROUND(AVERAGE(L97:M97),1),"")))</f>
        <v/>
      </c>
      <c r="R97" s="37" t="str">
        <f aca="false">IF(H97&lt;&gt;"Eligible","Screened out",IF(COUNT(L97:M97)=0,"Not started",IF(COUNT(L97:M97)=1,"One read done",IF(O97="Yes",IF(ISNUMBER(P97),"Complete","Needs third read"),"Complete"))))</f>
        <v>One read done</v>
      </c>
      <c r="S97" s="37" t="str">
        <f aca="false">IF(Q97="","",COUNTIFS($C$5:$C$600,C97,$Q$5:$Q$600,"&gt;"&amp;Q97)+1)</f>
        <v/>
      </c>
      <c r="T97" s="37" t="str">
        <f aca="false">IF(Q97="","",IF(Q97&gt;=Cutoff,"Yes","No"))</f>
        <v/>
      </c>
      <c r="U97" s="49" t="n">
        <f aca="false">IF(T97="Yes",MIN(F97,INDEX(Settings!$G:$G,MATCH(C97,Settings!$E:$E,0))),0)</f>
        <v>0</v>
      </c>
      <c r="V97" s="49" t="str">
        <f aca="false">IF(T97="Yes",SUMIFS($U$5:$U$600,$C$5:$C$600,C97,$Q$5:$Q$600,"&gt;"&amp;Q97)+U97,"")</f>
        <v/>
      </c>
      <c r="W97" s="37" t="str">
        <f aca="false">IF(T97="Yes",IF(V97&lt;=INDEX(PoolList,MATCH(C97,ProgramList,0)),"Within pool","Over pool"),"")</f>
        <v/>
      </c>
      <c r="X97" s="37" t="str">
        <f aca="false">IF(O97="Yes",COUNTIF($O$5:O97,"Yes"),"")</f>
        <v/>
      </c>
    </row>
    <row r="98" customFormat="false" ht="15" hidden="false" customHeight="false" outlineLevel="0" collapsed="false">
      <c r="A98" s="35" t="s">
        <v>378</v>
      </c>
      <c r="B98" s="35" t="s">
        <v>379</v>
      </c>
      <c r="C98" s="35" t="s">
        <v>103</v>
      </c>
      <c r="D98" s="35" t="s">
        <v>174</v>
      </c>
      <c r="E98" s="35" t="s">
        <v>232</v>
      </c>
      <c r="F98" s="42" t="n">
        <v>96000</v>
      </c>
      <c r="G98" s="36" t="n">
        <v>45916</v>
      </c>
      <c r="H98" s="35" t="s">
        <v>54</v>
      </c>
      <c r="I98" s="35" t="s">
        <v>94</v>
      </c>
      <c r="J98" s="35" t="s">
        <v>82</v>
      </c>
      <c r="K98" s="35"/>
      <c r="L98" s="48" t="n">
        <f aca="false">IFERROR(AVERAGEIFS('Score Entry'!$M$5:$M$1276,'Score Entry'!$B$5:$B$1276,A98,'Score Entry'!$E$5:$E$1276,"Primary"),"")</f>
        <v>62</v>
      </c>
      <c r="M98" s="48" t="n">
        <f aca="false">IFERROR(AVERAGEIFS('Score Entry'!$M$5:$M$1276,'Score Entry'!$B$5:$B$1276,A98,'Score Entry'!$E$5:$E$1276,"Secondary"),"")</f>
        <v>56</v>
      </c>
      <c r="N98" s="48" t="n">
        <f aca="false">IF(COUNT(L98:M98)=2,ABS(L98-M98),"")</f>
        <v>6</v>
      </c>
      <c r="O98" s="37" t="str">
        <f aca="false">IF(N98="","",IF(N98&gt;=Threshold,"Yes","No"))</f>
        <v>No</v>
      </c>
      <c r="P98" s="48" t="str">
        <f aca="false">IFERROR(AVERAGEIFS('Score Entry'!$M$5:$M$1276,'Score Entry'!$B$5:$B$1276,A98,'Score Entry'!$E$5:$E$1276,"Third"),"")</f>
        <v/>
      </c>
      <c r="Q98" s="48" t="n">
        <f aca="false">IF(H98&lt;&gt;"Eligible","",IF(O98="Yes",IF(ISNUMBER(P98),ROUND(AVERAGE(L98,M98,P98),1),""),IF(O98="No",ROUND(AVERAGE(L98:M98),1),"")))</f>
        <v>59</v>
      </c>
      <c r="R98" s="37" t="str">
        <f aca="false">IF(H98&lt;&gt;"Eligible","Screened out",IF(COUNT(L98:M98)=0,"Not started",IF(COUNT(L98:M98)=1,"One read done",IF(O98="Yes",IF(ISNUMBER(P98),"Complete","Needs third read"),"Complete"))))</f>
        <v>Complete</v>
      </c>
      <c r="S98" s="37" t="n">
        <f aca="false">IF(Q98="","",COUNTIFS($C$5:$C$600,C98,$Q$5:$Q$600,"&gt;"&amp;Q98)+1)</f>
        <v>117</v>
      </c>
      <c r="T98" s="37" t="str">
        <f aca="false">IF(Q98="","",IF(Q98&gt;=Cutoff,"Yes","No"))</f>
        <v>No</v>
      </c>
      <c r="U98" s="49" t="n">
        <f aca="false">IF(T98="Yes",MIN(F98,INDEX(Settings!$G:$G,MATCH(C98,Settings!$E:$E,0))),0)</f>
        <v>0</v>
      </c>
      <c r="V98" s="49" t="str">
        <f aca="false">IF(T98="Yes",SUMIFS($U$5:$U$600,$C$5:$C$600,C98,$Q$5:$Q$600,"&gt;"&amp;Q98)+U98,"")</f>
        <v/>
      </c>
      <c r="W98" s="37" t="str">
        <f aca="false">IF(T98="Yes",IF(V98&lt;=INDEX(PoolList,MATCH(C98,ProgramList,0)),"Within pool","Over pool"),"")</f>
        <v/>
      </c>
      <c r="X98" s="37" t="str">
        <f aca="false">IF(O98="Yes",COUNTIF($O$5:O98,"Yes"),"")</f>
        <v/>
      </c>
    </row>
    <row r="99" customFormat="false" ht="15" hidden="false" customHeight="false" outlineLevel="0" collapsed="false">
      <c r="A99" s="35" t="s">
        <v>380</v>
      </c>
      <c r="B99" s="35" t="s">
        <v>381</v>
      </c>
      <c r="C99" s="35" t="s">
        <v>103</v>
      </c>
      <c r="D99" s="35" t="s">
        <v>180</v>
      </c>
      <c r="E99" s="35" t="s">
        <v>218</v>
      </c>
      <c r="F99" s="42" t="n">
        <v>36000</v>
      </c>
      <c r="G99" s="36" t="n">
        <v>45919</v>
      </c>
      <c r="H99" s="35" t="s">
        <v>54</v>
      </c>
      <c r="I99" s="35" t="s">
        <v>91</v>
      </c>
      <c r="J99" s="35" t="s">
        <v>78</v>
      </c>
      <c r="K99" s="35"/>
      <c r="L99" s="48" t="n">
        <f aca="false">IFERROR(AVERAGEIFS('Score Entry'!$M$5:$M$1276,'Score Entry'!$B$5:$B$1276,A99,'Score Entry'!$E$5:$E$1276,"Primary"),"")</f>
        <v>78</v>
      </c>
      <c r="M99" s="48" t="n">
        <f aca="false">IFERROR(AVERAGEIFS('Score Entry'!$M$5:$M$1276,'Score Entry'!$B$5:$B$1276,A99,'Score Entry'!$E$5:$E$1276,"Secondary"),"")</f>
        <v>75</v>
      </c>
      <c r="N99" s="48" t="n">
        <f aca="false">IF(COUNT(L99:M99)=2,ABS(L99-M99),"")</f>
        <v>3</v>
      </c>
      <c r="O99" s="37" t="str">
        <f aca="false">IF(N99="","",IF(N99&gt;=Threshold,"Yes","No"))</f>
        <v>No</v>
      </c>
      <c r="P99" s="48" t="str">
        <f aca="false">IFERROR(AVERAGEIFS('Score Entry'!$M$5:$M$1276,'Score Entry'!$B$5:$B$1276,A99,'Score Entry'!$E$5:$E$1276,"Third"),"")</f>
        <v/>
      </c>
      <c r="Q99" s="48" t="n">
        <f aca="false">IF(H99&lt;&gt;"Eligible","",IF(O99="Yes",IF(ISNUMBER(P99),ROUND(AVERAGE(L99,M99,P99),1),""),IF(O99="No",ROUND(AVERAGE(L99:M99),1),"")))</f>
        <v>76.5</v>
      </c>
      <c r="R99" s="37" t="str">
        <f aca="false">IF(H99&lt;&gt;"Eligible","Screened out",IF(COUNT(L99:M99)=0,"Not started",IF(COUNT(L99:M99)=1,"One read done",IF(O99="Yes",IF(ISNUMBER(P99),"Complete","Needs third read"),"Complete"))))</f>
        <v>Complete</v>
      </c>
      <c r="S99" s="37" t="n">
        <f aca="false">IF(Q99="","",COUNTIFS($C$5:$C$600,C99,$Q$5:$Q$600,"&gt;"&amp;Q99)+1)</f>
        <v>33</v>
      </c>
      <c r="T99" s="37" t="str">
        <f aca="false">IF(Q99="","",IF(Q99&gt;=Cutoff,"Yes","No"))</f>
        <v>No</v>
      </c>
      <c r="U99" s="49" t="n">
        <f aca="false">IF(T99="Yes",MIN(F99,INDEX(Settings!$G:$G,MATCH(C99,Settings!$E:$E,0))),0)</f>
        <v>0</v>
      </c>
      <c r="V99" s="49" t="str">
        <f aca="false">IF(T99="Yes",SUMIFS($U$5:$U$600,$C$5:$C$600,C99,$Q$5:$Q$600,"&gt;"&amp;Q99)+U99,"")</f>
        <v/>
      </c>
      <c r="W99" s="37" t="str">
        <f aca="false">IF(T99="Yes",IF(V99&lt;=INDEX(PoolList,MATCH(C99,ProgramList,0)),"Within pool","Over pool"),"")</f>
        <v/>
      </c>
      <c r="X99" s="37" t="str">
        <f aca="false">IF(O99="Yes",COUNTIF($O$5:O99,"Yes"),"")</f>
        <v/>
      </c>
    </row>
    <row r="100" customFormat="false" ht="15" hidden="false" customHeight="false" outlineLevel="0" collapsed="false">
      <c r="A100" s="35" t="s">
        <v>382</v>
      </c>
      <c r="B100" s="35" t="s">
        <v>383</v>
      </c>
      <c r="C100" s="35" t="s">
        <v>106</v>
      </c>
      <c r="D100" s="35" t="s">
        <v>174</v>
      </c>
      <c r="E100" s="35" t="s">
        <v>175</v>
      </c>
      <c r="F100" s="42" t="n">
        <v>80000</v>
      </c>
      <c r="G100" s="36" t="n">
        <v>45923</v>
      </c>
      <c r="H100" s="35" t="s">
        <v>54</v>
      </c>
      <c r="I100" s="35" t="s">
        <v>94</v>
      </c>
      <c r="J100" s="35" t="s">
        <v>78</v>
      </c>
      <c r="K100" s="35"/>
      <c r="L100" s="48" t="n">
        <f aca="false">IFERROR(AVERAGEIFS('Score Entry'!$M$5:$M$1276,'Score Entry'!$B$5:$B$1276,A100,'Score Entry'!$E$5:$E$1276,"Primary"),"")</f>
        <v>48</v>
      </c>
      <c r="M100" s="48" t="n">
        <f aca="false">IFERROR(AVERAGEIFS('Score Entry'!$M$5:$M$1276,'Score Entry'!$B$5:$B$1276,A100,'Score Entry'!$E$5:$E$1276,"Secondary"),"")</f>
        <v>65</v>
      </c>
      <c r="N100" s="48" t="n">
        <f aca="false">IF(COUNT(L100:M100)=2,ABS(L100-M100),"")</f>
        <v>17</v>
      </c>
      <c r="O100" s="37" t="str">
        <f aca="false">IF(N100="","",IF(N100&gt;=Threshold,"Yes","No"))</f>
        <v>No</v>
      </c>
      <c r="P100" s="48" t="str">
        <f aca="false">IFERROR(AVERAGEIFS('Score Entry'!$M$5:$M$1276,'Score Entry'!$B$5:$B$1276,A100,'Score Entry'!$E$5:$E$1276,"Third"),"")</f>
        <v/>
      </c>
      <c r="Q100" s="48" t="n">
        <f aca="false">IF(H100&lt;&gt;"Eligible","",IF(O100="Yes",IF(ISNUMBER(P100),ROUND(AVERAGE(L100,M100,P100),1),""),IF(O100="No",ROUND(AVERAGE(L100:M100),1),"")))</f>
        <v>56.5</v>
      </c>
      <c r="R100" s="37" t="str">
        <f aca="false">IF(H100&lt;&gt;"Eligible","Screened out",IF(COUNT(L100:M100)=0,"Not started",IF(COUNT(L100:M100)=1,"One read done",IF(O100="Yes",IF(ISNUMBER(P100),"Complete","Needs third read"),"Complete"))))</f>
        <v>Complete</v>
      </c>
      <c r="S100" s="37" t="n">
        <f aca="false">IF(Q100="","",COUNTIFS($C$5:$C$600,C100,$Q$5:$Q$600,"&gt;"&amp;Q100)+1)</f>
        <v>96</v>
      </c>
      <c r="T100" s="37" t="str">
        <f aca="false">IF(Q100="","",IF(Q100&gt;=Cutoff,"Yes","No"))</f>
        <v>No</v>
      </c>
      <c r="U100" s="49" t="n">
        <f aca="false">IF(T100="Yes",MIN(F100,INDEX(Settings!$G:$G,MATCH(C100,Settings!$E:$E,0))),0)</f>
        <v>0</v>
      </c>
      <c r="V100" s="49" t="str">
        <f aca="false">IF(T100="Yes",SUMIFS($U$5:$U$600,$C$5:$C$600,C100,$Q$5:$Q$600,"&gt;"&amp;Q100)+U100,"")</f>
        <v/>
      </c>
      <c r="W100" s="37" t="str">
        <f aca="false">IF(T100="Yes",IF(V100&lt;=INDEX(PoolList,MATCH(C100,ProgramList,0)),"Within pool","Over pool"),"")</f>
        <v/>
      </c>
      <c r="X100" s="37" t="str">
        <f aca="false">IF(O100="Yes",COUNTIF($O$5:O100,"Yes"),"")</f>
        <v/>
      </c>
    </row>
    <row r="101" customFormat="false" ht="15" hidden="false" customHeight="false" outlineLevel="0" collapsed="false">
      <c r="A101" s="35" t="s">
        <v>384</v>
      </c>
      <c r="B101" s="35" t="s">
        <v>385</v>
      </c>
      <c r="C101" s="35" t="s">
        <v>103</v>
      </c>
      <c r="D101" s="35" t="s">
        <v>221</v>
      </c>
      <c r="E101" s="35" t="s">
        <v>258</v>
      </c>
      <c r="F101" s="42" t="n">
        <v>63500</v>
      </c>
      <c r="G101" s="36" t="n">
        <v>45922</v>
      </c>
      <c r="H101" s="35" t="s">
        <v>54</v>
      </c>
      <c r="I101" s="35" t="s">
        <v>85</v>
      </c>
      <c r="J101" s="35" t="s">
        <v>88</v>
      </c>
      <c r="K101" s="35"/>
      <c r="L101" s="48" t="n">
        <f aca="false">IFERROR(AVERAGEIFS('Score Entry'!$M$5:$M$1276,'Score Entry'!$B$5:$B$1276,A101,'Score Entry'!$E$5:$E$1276,"Primary"),"")</f>
        <v>75</v>
      </c>
      <c r="M101" s="48" t="n">
        <f aca="false">IFERROR(AVERAGEIFS('Score Entry'!$M$5:$M$1276,'Score Entry'!$B$5:$B$1276,A101,'Score Entry'!$E$5:$E$1276,"Secondary"),"")</f>
        <v>64</v>
      </c>
      <c r="N101" s="48" t="n">
        <f aca="false">IF(COUNT(L101:M101)=2,ABS(L101-M101),"")</f>
        <v>11</v>
      </c>
      <c r="O101" s="37" t="str">
        <f aca="false">IF(N101="","",IF(N101&gt;=Threshold,"Yes","No"))</f>
        <v>No</v>
      </c>
      <c r="P101" s="48" t="str">
        <f aca="false">IFERROR(AVERAGEIFS('Score Entry'!$M$5:$M$1276,'Score Entry'!$B$5:$B$1276,A101,'Score Entry'!$E$5:$E$1276,"Third"),"")</f>
        <v/>
      </c>
      <c r="Q101" s="48" t="n">
        <f aca="false">IF(H101&lt;&gt;"Eligible","",IF(O101="Yes",IF(ISNUMBER(P101),ROUND(AVERAGE(L101,M101,P101),1),""),IF(O101="No",ROUND(AVERAGE(L101:M101),1),"")))</f>
        <v>69.5</v>
      </c>
      <c r="R101" s="37" t="str">
        <f aca="false">IF(H101&lt;&gt;"Eligible","Screened out",IF(COUNT(L101:M101)=0,"Not started",IF(COUNT(L101:M101)=1,"One read done",IF(O101="Yes",IF(ISNUMBER(P101),"Complete","Needs third read"),"Complete"))))</f>
        <v>Complete</v>
      </c>
      <c r="S101" s="37" t="n">
        <f aca="false">IF(Q101="","",COUNTIFS($C$5:$C$600,C101,$Q$5:$Q$600,"&gt;"&amp;Q101)+1)</f>
        <v>67</v>
      </c>
      <c r="T101" s="37" t="str">
        <f aca="false">IF(Q101="","",IF(Q101&gt;=Cutoff,"Yes","No"))</f>
        <v>No</v>
      </c>
      <c r="U101" s="49" t="n">
        <f aca="false">IF(T101="Yes",MIN(F101,INDEX(Settings!$G:$G,MATCH(C101,Settings!$E:$E,0))),0)</f>
        <v>0</v>
      </c>
      <c r="V101" s="49" t="str">
        <f aca="false">IF(T101="Yes",SUMIFS($U$5:$U$600,$C$5:$C$600,C101,$Q$5:$Q$600,"&gt;"&amp;Q101)+U101,"")</f>
        <v/>
      </c>
      <c r="W101" s="37" t="str">
        <f aca="false">IF(T101="Yes",IF(V101&lt;=INDEX(PoolList,MATCH(C101,ProgramList,0)),"Within pool","Over pool"),"")</f>
        <v/>
      </c>
      <c r="X101" s="37" t="str">
        <f aca="false">IF(O101="Yes",COUNTIF($O$5:O101,"Yes"),"")</f>
        <v/>
      </c>
    </row>
    <row r="102" customFormat="false" ht="15" hidden="false" customHeight="false" outlineLevel="0" collapsed="false">
      <c r="A102" s="35" t="s">
        <v>386</v>
      </c>
      <c r="B102" s="35" t="s">
        <v>387</v>
      </c>
      <c r="C102" s="35" t="s">
        <v>106</v>
      </c>
      <c r="D102" s="35" t="s">
        <v>180</v>
      </c>
      <c r="E102" s="35" t="s">
        <v>181</v>
      </c>
      <c r="F102" s="42" t="n">
        <v>139500</v>
      </c>
      <c r="G102" s="36" t="n">
        <v>45927</v>
      </c>
      <c r="H102" s="35" t="s">
        <v>54</v>
      </c>
      <c r="I102" s="35" t="s">
        <v>91</v>
      </c>
      <c r="J102" s="35" t="s">
        <v>82</v>
      </c>
      <c r="K102" s="35" t="s">
        <v>94</v>
      </c>
      <c r="L102" s="48" t="n">
        <f aca="false">IFERROR(AVERAGEIFS('Score Entry'!$M$5:$M$1276,'Score Entry'!$B$5:$B$1276,A102,'Score Entry'!$E$5:$E$1276,"Primary"),"")</f>
        <v>66</v>
      </c>
      <c r="M102" s="48" t="n">
        <f aca="false">IFERROR(AVERAGEIFS('Score Entry'!$M$5:$M$1276,'Score Entry'!$B$5:$B$1276,A102,'Score Entry'!$E$5:$E$1276,"Secondary"),"")</f>
        <v>47</v>
      </c>
      <c r="N102" s="48" t="n">
        <f aca="false">IF(COUNT(L102:M102)=2,ABS(L102-M102),"")</f>
        <v>19</v>
      </c>
      <c r="O102" s="37" t="str">
        <f aca="false">IF(N102="","",IF(N102&gt;=Threshold,"Yes","No"))</f>
        <v>Yes</v>
      </c>
      <c r="P102" s="48" t="n">
        <f aca="false">IFERROR(AVERAGEIFS('Score Entry'!$M$5:$M$1276,'Score Entry'!$B$5:$B$1276,A102,'Score Entry'!$E$5:$E$1276,"Third"),"")</f>
        <v>48</v>
      </c>
      <c r="Q102" s="48" t="n">
        <f aca="false">IF(H102&lt;&gt;"Eligible","",IF(O102="Yes",IF(ISNUMBER(P102),ROUND(AVERAGE(L102,M102,P102),1),""),IF(O102="No",ROUND(AVERAGE(L102:M102),1),"")))</f>
        <v>53.7</v>
      </c>
      <c r="R102" s="37" t="str">
        <f aca="false">IF(H102&lt;&gt;"Eligible","Screened out",IF(COUNT(L102:M102)=0,"Not started",IF(COUNT(L102:M102)=1,"One read done",IF(O102="Yes",IF(ISNUMBER(P102),"Complete","Needs third read"),"Complete"))))</f>
        <v>Complete</v>
      </c>
      <c r="S102" s="37" t="n">
        <f aca="false">IF(Q102="","",COUNTIFS($C$5:$C$600,C102,$Q$5:$Q$600,"&gt;"&amp;Q102)+1)</f>
        <v>101</v>
      </c>
      <c r="T102" s="37" t="str">
        <f aca="false">IF(Q102="","",IF(Q102&gt;=Cutoff,"Yes","No"))</f>
        <v>No</v>
      </c>
      <c r="U102" s="49" t="n">
        <f aca="false">IF(T102="Yes",MIN(F102,INDEX(Settings!$G:$G,MATCH(C102,Settings!$E:$E,0))),0)</f>
        <v>0</v>
      </c>
      <c r="V102" s="49" t="str">
        <f aca="false">IF(T102="Yes",SUMIFS($U$5:$U$600,$C$5:$C$600,C102,$Q$5:$Q$600,"&gt;"&amp;Q102)+U102,"")</f>
        <v/>
      </c>
      <c r="W102" s="37" t="str">
        <f aca="false">IF(T102="Yes",IF(V102&lt;=INDEX(PoolList,MATCH(C102,ProgramList,0)),"Within pool","Over pool"),"")</f>
        <v/>
      </c>
      <c r="X102" s="37" t="n">
        <f aca="false">IF(O102="Yes",COUNTIF($O$5:O102,"Yes"),"")</f>
        <v>15</v>
      </c>
    </row>
    <row r="103" customFormat="false" ht="15" hidden="false" customHeight="false" outlineLevel="0" collapsed="false">
      <c r="A103" s="35" t="s">
        <v>388</v>
      </c>
      <c r="B103" s="35" t="s">
        <v>389</v>
      </c>
      <c r="C103" s="35" t="s">
        <v>105</v>
      </c>
      <c r="D103" s="35" t="s">
        <v>174</v>
      </c>
      <c r="E103" s="35" t="s">
        <v>175</v>
      </c>
      <c r="F103" s="42" t="n">
        <v>31000</v>
      </c>
      <c r="G103" s="36" t="n">
        <v>45925</v>
      </c>
      <c r="H103" s="35" t="s">
        <v>54</v>
      </c>
      <c r="I103" s="35" t="s">
        <v>85</v>
      </c>
      <c r="J103" s="35" t="s">
        <v>82</v>
      </c>
      <c r="K103" s="35"/>
      <c r="L103" s="48" t="n">
        <f aca="false">IFERROR(AVERAGEIFS('Score Entry'!$M$5:$M$1276,'Score Entry'!$B$5:$B$1276,A103,'Score Entry'!$E$5:$E$1276,"Primary"),"")</f>
        <v>75</v>
      </c>
      <c r="M103" s="48" t="n">
        <f aca="false">IFERROR(AVERAGEIFS('Score Entry'!$M$5:$M$1276,'Score Entry'!$B$5:$B$1276,A103,'Score Entry'!$E$5:$E$1276,"Secondary"),"")</f>
        <v>78</v>
      </c>
      <c r="N103" s="48" t="n">
        <f aca="false">IF(COUNT(L103:M103)=2,ABS(L103-M103),"")</f>
        <v>3</v>
      </c>
      <c r="O103" s="37" t="str">
        <f aca="false">IF(N103="","",IF(N103&gt;=Threshold,"Yes","No"))</f>
        <v>No</v>
      </c>
      <c r="P103" s="48" t="str">
        <f aca="false">IFERROR(AVERAGEIFS('Score Entry'!$M$5:$M$1276,'Score Entry'!$B$5:$B$1276,A103,'Score Entry'!$E$5:$E$1276,"Third"),"")</f>
        <v/>
      </c>
      <c r="Q103" s="48" t="n">
        <f aca="false">IF(H103&lt;&gt;"Eligible","",IF(O103="Yes",IF(ISNUMBER(P103),ROUND(AVERAGE(L103,M103,P103),1),""),IF(O103="No",ROUND(AVERAGE(L103:M103),1),"")))</f>
        <v>76.5</v>
      </c>
      <c r="R103" s="37" t="str">
        <f aca="false">IF(H103&lt;&gt;"Eligible","Screened out",IF(COUNT(L103:M103)=0,"Not started",IF(COUNT(L103:M103)=1,"One read done",IF(O103="Yes",IF(ISNUMBER(P103),"Complete","Needs third read"),"Complete"))))</f>
        <v>Complete</v>
      </c>
      <c r="S103" s="37" t="n">
        <f aca="false">IF(Q103="","",COUNTIFS($C$5:$C$600,C103,$Q$5:$Q$600,"&gt;"&amp;Q103)+1)</f>
        <v>25</v>
      </c>
      <c r="T103" s="37" t="str">
        <f aca="false">IF(Q103="","",IF(Q103&gt;=Cutoff,"Yes","No"))</f>
        <v>No</v>
      </c>
      <c r="U103" s="49" t="n">
        <f aca="false">IF(T103="Yes",MIN(F103,INDEX(Settings!$G:$G,MATCH(C103,Settings!$E:$E,0))),0)</f>
        <v>0</v>
      </c>
      <c r="V103" s="49" t="str">
        <f aca="false">IF(T103="Yes",SUMIFS($U$5:$U$600,$C$5:$C$600,C103,$Q$5:$Q$600,"&gt;"&amp;Q103)+U103,"")</f>
        <v/>
      </c>
      <c r="W103" s="37" t="str">
        <f aca="false">IF(T103="Yes",IF(V103&lt;=INDEX(PoolList,MATCH(C103,ProgramList,0)),"Within pool","Over pool"),"")</f>
        <v/>
      </c>
      <c r="X103" s="37" t="str">
        <f aca="false">IF(O103="Yes",COUNTIF($O$5:O103,"Yes"),"")</f>
        <v/>
      </c>
    </row>
    <row r="104" customFormat="false" ht="15" hidden="false" customHeight="false" outlineLevel="0" collapsed="false">
      <c r="A104" s="35" t="s">
        <v>390</v>
      </c>
      <c r="B104" s="35" t="s">
        <v>391</v>
      </c>
      <c r="C104" s="35" t="s">
        <v>104</v>
      </c>
      <c r="D104" s="35" t="s">
        <v>221</v>
      </c>
      <c r="E104" s="35" t="s">
        <v>258</v>
      </c>
      <c r="F104" s="42" t="n">
        <v>71000</v>
      </c>
      <c r="G104" s="36" t="n">
        <v>45923</v>
      </c>
      <c r="H104" s="35" t="s">
        <v>54</v>
      </c>
      <c r="I104" s="35" t="s">
        <v>78</v>
      </c>
      <c r="J104" s="35" t="s">
        <v>88</v>
      </c>
      <c r="K104" s="35"/>
      <c r="L104" s="48" t="n">
        <f aca="false">IFERROR(AVERAGEIFS('Score Entry'!$M$5:$M$1276,'Score Entry'!$B$5:$B$1276,A104,'Score Entry'!$E$5:$E$1276,"Primary"),"")</f>
        <v>69</v>
      </c>
      <c r="M104" s="48" t="n">
        <f aca="false">IFERROR(AVERAGEIFS('Score Entry'!$M$5:$M$1276,'Score Entry'!$B$5:$B$1276,A104,'Score Entry'!$E$5:$E$1276,"Secondary"),"")</f>
        <v>66</v>
      </c>
      <c r="N104" s="48" t="n">
        <f aca="false">IF(COUNT(L104:M104)=2,ABS(L104-M104),"")</f>
        <v>3</v>
      </c>
      <c r="O104" s="37" t="str">
        <f aca="false">IF(N104="","",IF(N104&gt;=Threshold,"Yes","No"))</f>
        <v>No</v>
      </c>
      <c r="P104" s="48" t="str">
        <f aca="false">IFERROR(AVERAGEIFS('Score Entry'!$M$5:$M$1276,'Score Entry'!$B$5:$B$1276,A104,'Score Entry'!$E$5:$E$1276,"Third"),"")</f>
        <v/>
      </c>
      <c r="Q104" s="48" t="n">
        <f aca="false">IF(H104&lt;&gt;"Eligible","",IF(O104="Yes",IF(ISNUMBER(P104),ROUND(AVERAGE(L104,M104,P104),1),""),IF(O104="No",ROUND(AVERAGE(L104:M104),1),"")))</f>
        <v>67.5</v>
      </c>
      <c r="R104" s="37" t="str">
        <f aca="false">IF(H104&lt;&gt;"Eligible","Screened out",IF(COUNT(L104:M104)=0,"Not started",IF(COUNT(L104:M104)=1,"One read done",IF(O104="Yes",IF(ISNUMBER(P104),"Complete","Needs third read"),"Complete"))))</f>
        <v>Complete</v>
      </c>
      <c r="S104" s="37" t="n">
        <f aca="false">IF(Q104="","",COUNTIFS($C$5:$C$600,C104,$Q$5:$Q$600,"&gt;"&amp;Q104)+1)</f>
        <v>49</v>
      </c>
      <c r="T104" s="37" t="str">
        <f aca="false">IF(Q104="","",IF(Q104&gt;=Cutoff,"Yes","No"))</f>
        <v>No</v>
      </c>
      <c r="U104" s="49" t="n">
        <f aca="false">IF(T104="Yes",MIN(F104,INDEX(Settings!$G:$G,MATCH(C104,Settings!$E:$E,0))),0)</f>
        <v>0</v>
      </c>
      <c r="V104" s="49" t="str">
        <f aca="false">IF(T104="Yes",SUMIFS($U$5:$U$600,$C$5:$C$600,C104,$Q$5:$Q$600,"&gt;"&amp;Q104)+U104,"")</f>
        <v/>
      </c>
      <c r="W104" s="37" t="str">
        <f aca="false">IF(T104="Yes",IF(V104&lt;=INDEX(PoolList,MATCH(C104,ProgramList,0)),"Within pool","Over pool"),"")</f>
        <v/>
      </c>
      <c r="X104" s="37" t="str">
        <f aca="false">IF(O104="Yes",COUNTIF($O$5:O104,"Yes"),"")</f>
        <v/>
      </c>
    </row>
    <row r="105" customFormat="false" ht="15" hidden="false" customHeight="false" outlineLevel="0" collapsed="false">
      <c r="A105" s="35" t="s">
        <v>392</v>
      </c>
      <c r="B105" s="35" t="s">
        <v>393</v>
      </c>
      <c r="C105" s="35" t="s">
        <v>104</v>
      </c>
      <c r="D105" s="35" t="s">
        <v>174</v>
      </c>
      <c r="E105" s="35" t="s">
        <v>232</v>
      </c>
      <c r="F105" s="42" t="n">
        <v>60500</v>
      </c>
      <c r="G105" s="36" t="n">
        <v>45927</v>
      </c>
      <c r="H105" s="35" t="s">
        <v>54</v>
      </c>
      <c r="I105" s="35" t="s">
        <v>91</v>
      </c>
      <c r="J105" s="35" t="s">
        <v>85</v>
      </c>
      <c r="K105" s="35"/>
      <c r="L105" s="48" t="n">
        <f aca="false">IFERROR(AVERAGEIFS('Score Entry'!$M$5:$M$1276,'Score Entry'!$B$5:$B$1276,A105,'Score Entry'!$E$5:$E$1276,"Primary"),"")</f>
        <v>69</v>
      </c>
      <c r="M105" s="48" t="n">
        <f aca="false">IFERROR(AVERAGEIFS('Score Entry'!$M$5:$M$1276,'Score Entry'!$B$5:$B$1276,A105,'Score Entry'!$E$5:$E$1276,"Secondary"),"")</f>
        <v>65</v>
      </c>
      <c r="N105" s="48" t="n">
        <f aca="false">IF(COUNT(L105:M105)=2,ABS(L105-M105),"")</f>
        <v>4</v>
      </c>
      <c r="O105" s="37" t="str">
        <f aca="false">IF(N105="","",IF(N105&gt;=Threshold,"Yes","No"))</f>
        <v>No</v>
      </c>
      <c r="P105" s="48" t="str">
        <f aca="false">IFERROR(AVERAGEIFS('Score Entry'!$M$5:$M$1276,'Score Entry'!$B$5:$B$1276,A105,'Score Entry'!$E$5:$E$1276,"Third"),"")</f>
        <v/>
      </c>
      <c r="Q105" s="48" t="n">
        <f aca="false">IF(H105&lt;&gt;"Eligible","",IF(O105="Yes",IF(ISNUMBER(P105),ROUND(AVERAGE(L105,M105,P105),1),""),IF(O105="No",ROUND(AVERAGE(L105:M105),1),"")))</f>
        <v>67</v>
      </c>
      <c r="R105" s="37" t="str">
        <f aca="false">IF(H105&lt;&gt;"Eligible","Screened out",IF(COUNT(L105:M105)=0,"Not started",IF(COUNT(L105:M105)=1,"One read done",IF(O105="Yes",IF(ISNUMBER(P105),"Complete","Needs third read"),"Complete"))))</f>
        <v>Complete</v>
      </c>
      <c r="S105" s="37" t="n">
        <f aca="false">IF(Q105="","",COUNTIFS($C$5:$C$600,C105,$Q$5:$Q$600,"&gt;"&amp;Q105)+1)</f>
        <v>51</v>
      </c>
      <c r="T105" s="37" t="str">
        <f aca="false">IF(Q105="","",IF(Q105&gt;=Cutoff,"Yes","No"))</f>
        <v>No</v>
      </c>
      <c r="U105" s="49" t="n">
        <f aca="false">IF(T105="Yes",MIN(F105,INDEX(Settings!$G:$G,MATCH(C105,Settings!$E:$E,0))),0)</f>
        <v>0</v>
      </c>
      <c r="V105" s="49" t="str">
        <f aca="false">IF(T105="Yes",SUMIFS($U$5:$U$600,$C$5:$C$600,C105,$Q$5:$Q$600,"&gt;"&amp;Q105)+U105,"")</f>
        <v/>
      </c>
      <c r="W105" s="37" t="str">
        <f aca="false">IF(T105="Yes",IF(V105&lt;=INDEX(PoolList,MATCH(C105,ProgramList,0)),"Within pool","Over pool"),"")</f>
        <v/>
      </c>
      <c r="X105" s="37" t="str">
        <f aca="false">IF(O105="Yes",COUNTIF($O$5:O105,"Yes"),"")</f>
        <v/>
      </c>
    </row>
    <row r="106" customFormat="false" ht="15" hidden="false" customHeight="false" outlineLevel="0" collapsed="false">
      <c r="A106" s="35" t="s">
        <v>394</v>
      </c>
      <c r="B106" s="35" t="s">
        <v>395</v>
      </c>
      <c r="C106" s="35" t="s">
        <v>106</v>
      </c>
      <c r="D106" s="35" t="s">
        <v>174</v>
      </c>
      <c r="E106" s="35" t="s">
        <v>175</v>
      </c>
      <c r="F106" s="42" t="n">
        <v>104000</v>
      </c>
      <c r="G106" s="36" t="n">
        <v>45918</v>
      </c>
      <c r="H106" s="35" t="s">
        <v>54</v>
      </c>
      <c r="I106" s="35" t="s">
        <v>88</v>
      </c>
      <c r="J106" s="35" t="s">
        <v>94</v>
      </c>
      <c r="K106" s="35"/>
      <c r="L106" s="48" t="n">
        <f aca="false">IFERROR(AVERAGEIFS('Score Entry'!$M$5:$M$1276,'Score Entry'!$B$5:$B$1276,A106,'Score Entry'!$E$5:$E$1276,"Primary"),"")</f>
        <v>39</v>
      </c>
      <c r="M106" s="48" t="n">
        <f aca="false">IFERROR(AVERAGEIFS('Score Entry'!$M$5:$M$1276,'Score Entry'!$B$5:$B$1276,A106,'Score Entry'!$E$5:$E$1276,"Secondary"),"")</f>
        <v>40</v>
      </c>
      <c r="N106" s="48" t="n">
        <f aca="false">IF(COUNT(L106:M106)=2,ABS(L106-M106),"")</f>
        <v>1</v>
      </c>
      <c r="O106" s="37" t="str">
        <f aca="false">IF(N106="","",IF(N106&gt;=Threshold,"Yes","No"))</f>
        <v>No</v>
      </c>
      <c r="P106" s="48" t="str">
        <f aca="false">IFERROR(AVERAGEIFS('Score Entry'!$M$5:$M$1276,'Score Entry'!$B$5:$B$1276,A106,'Score Entry'!$E$5:$E$1276,"Third"),"")</f>
        <v/>
      </c>
      <c r="Q106" s="48" t="n">
        <f aca="false">IF(H106&lt;&gt;"Eligible","",IF(O106="Yes",IF(ISNUMBER(P106),ROUND(AVERAGE(L106,M106,P106),1),""),IF(O106="No",ROUND(AVERAGE(L106:M106),1),"")))</f>
        <v>39.5</v>
      </c>
      <c r="R106" s="37" t="str">
        <f aca="false">IF(H106&lt;&gt;"Eligible","Screened out",IF(COUNT(L106:M106)=0,"Not started",IF(COUNT(L106:M106)=1,"One read done",IF(O106="Yes",IF(ISNUMBER(P106),"Complete","Needs third read"),"Complete"))))</f>
        <v>Complete</v>
      </c>
      <c r="S106" s="37" t="n">
        <f aca="false">IF(Q106="","",COUNTIFS($C$5:$C$600,C106,$Q$5:$Q$600,"&gt;"&amp;Q106)+1)</f>
        <v>118</v>
      </c>
      <c r="T106" s="37" t="str">
        <f aca="false">IF(Q106="","",IF(Q106&gt;=Cutoff,"Yes","No"))</f>
        <v>No</v>
      </c>
      <c r="U106" s="49" t="n">
        <f aca="false">IF(T106="Yes",MIN(F106,INDEX(Settings!$G:$G,MATCH(C106,Settings!$E:$E,0))),0)</f>
        <v>0</v>
      </c>
      <c r="V106" s="49" t="str">
        <f aca="false">IF(T106="Yes",SUMIFS($U$5:$U$600,$C$5:$C$600,C106,$Q$5:$Q$600,"&gt;"&amp;Q106)+U106,"")</f>
        <v/>
      </c>
      <c r="W106" s="37" t="str">
        <f aca="false">IF(T106="Yes",IF(V106&lt;=INDEX(PoolList,MATCH(C106,ProgramList,0)),"Within pool","Over pool"),"")</f>
        <v/>
      </c>
      <c r="X106" s="37" t="str">
        <f aca="false">IF(O106="Yes",COUNTIF($O$5:O106,"Yes"),"")</f>
        <v/>
      </c>
    </row>
    <row r="107" customFormat="false" ht="15" hidden="false" customHeight="false" outlineLevel="0" collapsed="false">
      <c r="A107" s="35" t="s">
        <v>396</v>
      </c>
      <c r="B107" s="35" t="s">
        <v>397</v>
      </c>
      <c r="C107" s="35" t="s">
        <v>103</v>
      </c>
      <c r="D107" s="35" t="s">
        <v>180</v>
      </c>
      <c r="E107" s="35" t="s">
        <v>252</v>
      </c>
      <c r="F107" s="42" t="n">
        <v>43500</v>
      </c>
      <c r="G107" s="36" t="n">
        <v>45907</v>
      </c>
      <c r="H107" s="35" t="s">
        <v>54</v>
      </c>
      <c r="I107" s="35" t="s">
        <v>78</v>
      </c>
      <c r="J107" s="35" t="s">
        <v>91</v>
      </c>
      <c r="K107" s="35"/>
      <c r="L107" s="48" t="n">
        <f aca="false">IFERROR(AVERAGEIFS('Score Entry'!$M$5:$M$1276,'Score Entry'!$B$5:$B$1276,A107,'Score Entry'!$E$5:$E$1276,"Primary"),"")</f>
        <v>56</v>
      </c>
      <c r="M107" s="48" t="n">
        <f aca="false">IFERROR(AVERAGEIFS('Score Entry'!$M$5:$M$1276,'Score Entry'!$B$5:$B$1276,A107,'Score Entry'!$E$5:$E$1276,"Secondary"),"")</f>
        <v>60</v>
      </c>
      <c r="N107" s="48" t="n">
        <f aca="false">IF(COUNT(L107:M107)=2,ABS(L107-M107),"")</f>
        <v>4</v>
      </c>
      <c r="O107" s="37" t="str">
        <f aca="false">IF(N107="","",IF(N107&gt;=Threshold,"Yes","No"))</f>
        <v>No</v>
      </c>
      <c r="P107" s="48" t="str">
        <f aca="false">IFERROR(AVERAGEIFS('Score Entry'!$M$5:$M$1276,'Score Entry'!$B$5:$B$1276,A107,'Score Entry'!$E$5:$E$1276,"Third"),"")</f>
        <v/>
      </c>
      <c r="Q107" s="48" t="n">
        <f aca="false">IF(H107&lt;&gt;"Eligible","",IF(O107="Yes",IF(ISNUMBER(P107),ROUND(AVERAGE(L107,M107,P107),1),""),IF(O107="No",ROUND(AVERAGE(L107:M107),1),"")))</f>
        <v>58</v>
      </c>
      <c r="R107" s="37" t="str">
        <f aca="false">IF(H107&lt;&gt;"Eligible","Screened out",IF(COUNT(L107:M107)=0,"Not started",IF(COUNT(L107:M107)=1,"One read done",IF(O107="Yes",IF(ISNUMBER(P107),"Complete","Needs third read"),"Complete"))))</f>
        <v>Complete</v>
      </c>
      <c r="S107" s="37" t="n">
        <f aca="false">IF(Q107="","",COUNTIFS($C$5:$C$600,C107,$Q$5:$Q$600,"&gt;"&amp;Q107)+1)</f>
        <v>120</v>
      </c>
      <c r="T107" s="37" t="str">
        <f aca="false">IF(Q107="","",IF(Q107&gt;=Cutoff,"Yes","No"))</f>
        <v>No</v>
      </c>
      <c r="U107" s="49" t="n">
        <f aca="false">IF(T107="Yes",MIN(F107,INDEX(Settings!$G:$G,MATCH(C107,Settings!$E:$E,0))),0)</f>
        <v>0</v>
      </c>
      <c r="V107" s="49" t="str">
        <f aca="false">IF(T107="Yes",SUMIFS($U$5:$U$600,$C$5:$C$600,C107,$Q$5:$Q$600,"&gt;"&amp;Q107)+U107,"")</f>
        <v/>
      </c>
      <c r="W107" s="37" t="str">
        <f aca="false">IF(T107="Yes",IF(V107&lt;=INDEX(PoolList,MATCH(C107,ProgramList,0)),"Within pool","Over pool"),"")</f>
        <v/>
      </c>
      <c r="X107" s="37" t="str">
        <f aca="false">IF(O107="Yes",COUNTIF($O$5:O107,"Yes"),"")</f>
        <v/>
      </c>
    </row>
    <row r="108" customFormat="false" ht="15" hidden="false" customHeight="false" outlineLevel="0" collapsed="false">
      <c r="A108" s="35" t="s">
        <v>398</v>
      </c>
      <c r="B108" s="35" t="s">
        <v>399</v>
      </c>
      <c r="C108" s="35" t="s">
        <v>104</v>
      </c>
      <c r="D108" s="35" t="s">
        <v>174</v>
      </c>
      <c r="E108" s="35" t="s">
        <v>175</v>
      </c>
      <c r="F108" s="42" t="n">
        <v>73000</v>
      </c>
      <c r="G108" s="36" t="n">
        <v>45922</v>
      </c>
      <c r="H108" s="35" t="s">
        <v>96</v>
      </c>
      <c r="I108" s="35"/>
      <c r="J108" s="35"/>
      <c r="K108" s="35"/>
      <c r="L108" s="48" t="str">
        <f aca="false">IFERROR(AVERAGEIFS('Score Entry'!$M$5:$M$1276,'Score Entry'!$B$5:$B$1276,A108,'Score Entry'!$E$5:$E$1276,"Primary"),"")</f>
        <v/>
      </c>
      <c r="M108" s="48" t="str">
        <f aca="false">IFERROR(AVERAGEIFS('Score Entry'!$M$5:$M$1276,'Score Entry'!$B$5:$B$1276,A108,'Score Entry'!$E$5:$E$1276,"Secondary"),"")</f>
        <v/>
      </c>
      <c r="N108" s="48" t="str">
        <f aca="false">IF(COUNT(L108:M108)=2,ABS(L108-M108),"")</f>
        <v/>
      </c>
      <c r="O108" s="37" t="str">
        <f aca="false">IF(N108="","",IF(N108&gt;=Threshold,"Yes","No"))</f>
        <v/>
      </c>
      <c r="P108" s="48" t="str">
        <f aca="false">IFERROR(AVERAGEIFS('Score Entry'!$M$5:$M$1276,'Score Entry'!$B$5:$B$1276,A108,'Score Entry'!$E$5:$E$1276,"Third"),"")</f>
        <v/>
      </c>
      <c r="Q108" s="48" t="str">
        <f aca="false">IF(H108&lt;&gt;"Eligible","",IF(O108="Yes",IF(ISNUMBER(P108),ROUND(AVERAGE(L108,M108,P108),1),""),IF(O108="No",ROUND(AVERAGE(L108:M108),1),"")))</f>
        <v/>
      </c>
      <c r="R108" s="37" t="str">
        <f aca="false">IF(H108&lt;&gt;"Eligible","Screened out",IF(COUNT(L108:M108)=0,"Not started",IF(COUNT(L108:M108)=1,"One read done",IF(O108="Yes",IF(ISNUMBER(P108),"Complete","Needs third read"),"Complete"))))</f>
        <v>Screened out</v>
      </c>
      <c r="S108" s="37" t="str">
        <f aca="false">IF(Q108="","",COUNTIFS($C$5:$C$600,C108,$Q$5:$Q$600,"&gt;"&amp;Q108)+1)</f>
        <v/>
      </c>
      <c r="T108" s="37" t="str">
        <f aca="false">IF(Q108="","",IF(Q108&gt;=Cutoff,"Yes","No"))</f>
        <v/>
      </c>
      <c r="U108" s="49" t="n">
        <f aca="false">IF(T108="Yes",MIN(F108,INDEX(Settings!$G:$G,MATCH(C108,Settings!$E:$E,0))),0)</f>
        <v>0</v>
      </c>
      <c r="V108" s="49" t="str">
        <f aca="false">IF(T108="Yes",SUMIFS($U$5:$U$600,$C$5:$C$600,C108,$Q$5:$Q$600,"&gt;"&amp;Q108)+U108,"")</f>
        <v/>
      </c>
      <c r="W108" s="37" t="str">
        <f aca="false">IF(T108="Yes",IF(V108&lt;=INDEX(PoolList,MATCH(C108,ProgramList,0)),"Within pool","Over pool"),"")</f>
        <v/>
      </c>
      <c r="X108" s="37" t="str">
        <f aca="false">IF(O108="Yes",COUNTIF($O$5:O108,"Yes"),"")</f>
        <v/>
      </c>
    </row>
    <row r="109" customFormat="false" ht="15" hidden="false" customHeight="false" outlineLevel="0" collapsed="false">
      <c r="A109" s="35" t="s">
        <v>400</v>
      </c>
      <c r="B109" s="35" t="s">
        <v>401</v>
      </c>
      <c r="C109" s="35" t="s">
        <v>106</v>
      </c>
      <c r="D109" s="35" t="s">
        <v>190</v>
      </c>
      <c r="E109" s="35" t="s">
        <v>363</v>
      </c>
      <c r="F109" s="42" t="n">
        <v>110500</v>
      </c>
      <c r="G109" s="36" t="n">
        <v>45927</v>
      </c>
      <c r="H109" s="35" t="s">
        <v>54</v>
      </c>
      <c r="I109" s="35" t="s">
        <v>82</v>
      </c>
      <c r="J109" s="35" t="s">
        <v>88</v>
      </c>
      <c r="K109" s="35"/>
      <c r="L109" s="48" t="str">
        <f aca="false">IFERROR(AVERAGEIFS('Score Entry'!$M$5:$M$1276,'Score Entry'!$B$5:$B$1276,A109,'Score Entry'!$E$5:$E$1276,"Primary"),"")</f>
        <v/>
      </c>
      <c r="M109" s="48" t="n">
        <f aca="false">IFERROR(AVERAGEIFS('Score Entry'!$M$5:$M$1276,'Score Entry'!$B$5:$B$1276,A109,'Score Entry'!$E$5:$E$1276,"Secondary"),"")</f>
        <v>60</v>
      </c>
      <c r="N109" s="48" t="str">
        <f aca="false">IF(COUNT(L109:M109)=2,ABS(L109-M109),"")</f>
        <v/>
      </c>
      <c r="O109" s="37" t="str">
        <f aca="false">IF(N109="","",IF(N109&gt;=Threshold,"Yes","No"))</f>
        <v/>
      </c>
      <c r="P109" s="48" t="str">
        <f aca="false">IFERROR(AVERAGEIFS('Score Entry'!$M$5:$M$1276,'Score Entry'!$B$5:$B$1276,A109,'Score Entry'!$E$5:$E$1276,"Third"),"")</f>
        <v/>
      </c>
      <c r="Q109" s="48" t="str">
        <f aca="false">IF(H109&lt;&gt;"Eligible","",IF(O109="Yes",IF(ISNUMBER(P109),ROUND(AVERAGE(L109,M109,P109),1),""),IF(O109="No",ROUND(AVERAGE(L109:M109),1),"")))</f>
        <v/>
      </c>
      <c r="R109" s="37" t="str">
        <f aca="false">IF(H109&lt;&gt;"Eligible","Screened out",IF(COUNT(L109:M109)=0,"Not started",IF(COUNT(L109:M109)=1,"One read done",IF(O109="Yes",IF(ISNUMBER(P109),"Complete","Needs third read"),"Complete"))))</f>
        <v>One read done</v>
      </c>
      <c r="S109" s="37" t="str">
        <f aca="false">IF(Q109="","",COUNTIFS($C$5:$C$600,C109,$Q$5:$Q$600,"&gt;"&amp;Q109)+1)</f>
        <v/>
      </c>
      <c r="T109" s="37" t="str">
        <f aca="false">IF(Q109="","",IF(Q109&gt;=Cutoff,"Yes","No"))</f>
        <v/>
      </c>
      <c r="U109" s="49" t="n">
        <f aca="false">IF(T109="Yes",MIN(F109,INDEX(Settings!$G:$G,MATCH(C109,Settings!$E:$E,0))),0)</f>
        <v>0</v>
      </c>
      <c r="V109" s="49" t="str">
        <f aca="false">IF(T109="Yes",SUMIFS($U$5:$U$600,$C$5:$C$600,C109,$Q$5:$Q$600,"&gt;"&amp;Q109)+U109,"")</f>
        <v/>
      </c>
      <c r="W109" s="37" t="str">
        <f aca="false">IF(T109="Yes",IF(V109&lt;=INDEX(PoolList,MATCH(C109,ProgramList,0)),"Within pool","Over pool"),"")</f>
        <v/>
      </c>
      <c r="X109" s="37" t="str">
        <f aca="false">IF(O109="Yes",COUNTIF($O$5:O109,"Yes"),"")</f>
        <v/>
      </c>
    </row>
    <row r="110" customFormat="false" ht="15" hidden="false" customHeight="false" outlineLevel="0" collapsed="false">
      <c r="A110" s="35" t="s">
        <v>402</v>
      </c>
      <c r="B110" s="35" t="s">
        <v>403</v>
      </c>
      <c r="C110" s="35" t="s">
        <v>103</v>
      </c>
      <c r="D110" s="35" t="s">
        <v>174</v>
      </c>
      <c r="E110" s="35" t="s">
        <v>175</v>
      </c>
      <c r="F110" s="42" t="n">
        <v>88000</v>
      </c>
      <c r="G110" s="36" t="n">
        <v>45916</v>
      </c>
      <c r="H110" s="35" t="s">
        <v>54</v>
      </c>
      <c r="I110" s="35" t="s">
        <v>85</v>
      </c>
      <c r="J110" s="35" t="s">
        <v>82</v>
      </c>
      <c r="K110" s="35"/>
      <c r="L110" s="48" t="n">
        <f aca="false">IFERROR(AVERAGEIFS('Score Entry'!$M$5:$M$1276,'Score Entry'!$B$5:$B$1276,A110,'Score Entry'!$E$5:$E$1276,"Primary"),"")</f>
        <v>76</v>
      </c>
      <c r="M110" s="48" t="n">
        <f aca="false">IFERROR(AVERAGEIFS('Score Entry'!$M$5:$M$1276,'Score Entry'!$B$5:$B$1276,A110,'Score Entry'!$E$5:$E$1276,"Secondary"),"")</f>
        <v>65</v>
      </c>
      <c r="N110" s="48" t="n">
        <f aca="false">IF(COUNT(L110:M110)=2,ABS(L110-M110),"")</f>
        <v>11</v>
      </c>
      <c r="O110" s="37" t="str">
        <f aca="false">IF(N110="","",IF(N110&gt;=Threshold,"Yes","No"))</f>
        <v>No</v>
      </c>
      <c r="P110" s="48" t="str">
        <f aca="false">IFERROR(AVERAGEIFS('Score Entry'!$M$5:$M$1276,'Score Entry'!$B$5:$B$1276,A110,'Score Entry'!$E$5:$E$1276,"Third"),"")</f>
        <v/>
      </c>
      <c r="Q110" s="48" t="n">
        <f aca="false">IF(H110&lt;&gt;"Eligible","",IF(O110="Yes",IF(ISNUMBER(P110),ROUND(AVERAGE(L110,M110,P110),1),""),IF(O110="No",ROUND(AVERAGE(L110:M110),1),"")))</f>
        <v>70.5</v>
      </c>
      <c r="R110" s="37" t="str">
        <f aca="false">IF(H110&lt;&gt;"Eligible","Screened out",IF(COUNT(L110:M110)=0,"Not started",IF(COUNT(L110:M110)=1,"One read done",IF(O110="Yes",IF(ISNUMBER(P110),"Complete","Needs third read"),"Complete"))))</f>
        <v>Complete</v>
      </c>
      <c r="S110" s="37" t="n">
        <f aca="false">IF(Q110="","",COUNTIFS($C$5:$C$600,C110,$Q$5:$Q$600,"&gt;"&amp;Q110)+1)</f>
        <v>63</v>
      </c>
      <c r="T110" s="37" t="str">
        <f aca="false">IF(Q110="","",IF(Q110&gt;=Cutoff,"Yes","No"))</f>
        <v>No</v>
      </c>
      <c r="U110" s="49" t="n">
        <f aca="false">IF(T110="Yes",MIN(F110,INDEX(Settings!$G:$G,MATCH(C110,Settings!$E:$E,0))),0)</f>
        <v>0</v>
      </c>
      <c r="V110" s="49" t="str">
        <f aca="false">IF(T110="Yes",SUMIFS($U$5:$U$600,$C$5:$C$600,C110,$Q$5:$Q$600,"&gt;"&amp;Q110)+U110,"")</f>
        <v/>
      </c>
      <c r="W110" s="37" t="str">
        <f aca="false">IF(T110="Yes",IF(V110&lt;=INDEX(PoolList,MATCH(C110,ProgramList,0)),"Within pool","Over pool"),"")</f>
        <v/>
      </c>
      <c r="X110" s="37" t="str">
        <f aca="false">IF(O110="Yes",COUNTIF($O$5:O110,"Yes"),"")</f>
        <v/>
      </c>
    </row>
    <row r="111" customFormat="false" ht="15" hidden="false" customHeight="false" outlineLevel="0" collapsed="false">
      <c r="A111" s="35" t="s">
        <v>404</v>
      </c>
      <c r="B111" s="35" t="s">
        <v>405</v>
      </c>
      <c r="C111" s="35" t="s">
        <v>105</v>
      </c>
      <c r="D111" s="35" t="s">
        <v>221</v>
      </c>
      <c r="E111" s="35" t="s">
        <v>258</v>
      </c>
      <c r="F111" s="42" t="n">
        <v>84500</v>
      </c>
      <c r="G111" s="36" t="n">
        <v>45927</v>
      </c>
      <c r="H111" s="35" t="s">
        <v>54</v>
      </c>
      <c r="I111" s="35" t="s">
        <v>78</v>
      </c>
      <c r="J111" s="35" t="s">
        <v>91</v>
      </c>
      <c r="K111" s="35"/>
      <c r="L111" s="48" t="n">
        <f aca="false">IFERROR(AVERAGEIFS('Score Entry'!$M$5:$M$1276,'Score Entry'!$B$5:$B$1276,A111,'Score Entry'!$E$5:$E$1276,"Primary"),"")</f>
        <v>67</v>
      </c>
      <c r="M111" s="48" t="n">
        <f aca="false">IFERROR(AVERAGEIFS('Score Entry'!$M$5:$M$1276,'Score Entry'!$B$5:$B$1276,A111,'Score Entry'!$E$5:$E$1276,"Secondary"),"")</f>
        <v>69</v>
      </c>
      <c r="N111" s="48" t="n">
        <f aca="false">IF(COUNT(L111:M111)=2,ABS(L111-M111),"")</f>
        <v>2</v>
      </c>
      <c r="O111" s="37" t="str">
        <f aca="false">IF(N111="","",IF(N111&gt;=Threshold,"Yes","No"))</f>
        <v>No</v>
      </c>
      <c r="P111" s="48" t="str">
        <f aca="false">IFERROR(AVERAGEIFS('Score Entry'!$M$5:$M$1276,'Score Entry'!$B$5:$B$1276,A111,'Score Entry'!$E$5:$E$1276,"Third"),"")</f>
        <v/>
      </c>
      <c r="Q111" s="48" t="n">
        <f aca="false">IF(H111&lt;&gt;"Eligible","",IF(O111="Yes",IF(ISNUMBER(P111),ROUND(AVERAGE(L111,M111,P111),1),""),IF(O111="No",ROUND(AVERAGE(L111:M111),1),"")))</f>
        <v>68</v>
      </c>
      <c r="R111" s="37" t="str">
        <f aca="false">IF(H111&lt;&gt;"Eligible","Screened out",IF(COUNT(L111:M111)=0,"Not started",IF(COUNT(L111:M111)=1,"One read done",IF(O111="Yes",IF(ISNUMBER(P111),"Complete","Needs third read"),"Complete"))))</f>
        <v>Complete</v>
      </c>
      <c r="S111" s="37" t="n">
        <f aca="false">IF(Q111="","",COUNTIFS($C$5:$C$600,C111,$Q$5:$Q$600,"&gt;"&amp;Q111)+1)</f>
        <v>48</v>
      </c>
      <c r="T111" s="37" t="str">
        <f aca="false">IF(Q111="","",IF(Q111&gt;=Cutoff,"Yes","No"))</f>
        <v>No</v>
      </c>
      <c r="U111" s="49" t="n">
        <f aca="false">IF(T111="Yes",MIN(F111,INDEX(Settings!$G:$G,MATCH(C111,Settings!$E:$E,0))),0)</f>
        <v>0</v>
      </c>
      <c r="V111" s="49" t="str">
        <f aca="false">IF(T111="Yes",SUMIFS($U$5:$U$600,$C$5:$C$600,C111,$Q$5:$Q$600,"&gt;"&amp;Q111)+U111,"")</f>
        <v/>
      </c>
      <c r="W111" s="37" t="str">
        <f aca="false">IF(T111="Yes",IF(V111&lt;=INDEX(PoolList,MATCH(C111,ProgramList,0)),"Within pool","Over pool"),"")</f>
        <v/>
      </c>
      <c r="X111" s="37" t="str">
        <f aca="false">IF(O111="Yes",COUNTIF($O$5:O111,"Yes"),"")</f>
        <v/>
      </c>
    </row>
    <row r="112" customFormat="false" ht="15" hidden="false" customHeight="false" outlineLevel="0" collapsed="false">
      <c r="A112" s="35" t="s">
        <v>406</v>
      </c>
      <c r="B112" s="35" t="s">
        <v>407</v>
      </c>
      <c r="C112" s="35" t="s">
        <v>106</v>
      </c>
      <c r="D112" s="35" t="s">
        <v>174</v>
      </c>
      <c r="E112" s="35" t="s">
        <v>175</v>
      </c>
      <c r="F112" s="42" t="n">
        <v>206000</v>
      </c>
      <c r="G112" s="36" t="n">
        <v>45925</v>
      </c>
      <c r="H112" s="35" t="s">
        <v>54</v>
      </c>
      <c r="I112" s="35" t="s">
        <v>91</v>
      </c>
      <c r="J112" s="35" t="s">
        <v>94</v>
      </c>
      <c r="K112" s="35"/>
      <c r="L112" s="48" t="n">
        <f aca="false">IFERROR(AVERAGEIFS('Score Entry'!$M$5:$M$1276,'Score Entry'!$B$5:$B$1276,A112,'Score Entry'!$E$5:$E$1276,"Primary"),"")</f>
        <v>78</v>
      </c>
      <c r="M112" s="48" t="n">
        <f aca="false">IFERROR(AVERAGEIFS('Score Entry'!$M$5:$M$1276,'Score Entry'!$B$5:$B$1276,A112,'Score Entry'!$E$5:$E$1276,"Secondary"),"")</f>
        <v>69</v>
      </c>
      <c r="N112" s="48" t="n">
        <f aca="false">IF(COUNT(L112:M112)=2,ABS(L112-M112),"")</f>
        <v>9</v>
      </c>
      <c r="O112" s="37" t="str">
        <f aca="false">IF(N112="","",IF(N112&gt;=Threshold,"Yes","No"))</f>
        <v>No</v>
      </c>
      <c r="P112" s="48" t="str">
        <f aca="false">IFERROR(AVERAGEIFS('Score Entry'!$M$5:$M$1276,'Score Entry'!$B$5:$B$1276,A112,'Score Entry'!$E$5:$E$1276,"Third"),"")</f>
        <v/>
      </c>
      <c r="Q112" s="48" t="n">
        <f aca="false">IF(H112&lt;&gt;"Eligible","",IF(O112="Yes",IF(ISNUMBER(P112),ROUND(AVERAGE(L112,M112,P112),1),""),IF(O112="No",ROUND(AVERAGE(L112:M112),1),"")))</f>
        <v>73.5</v>
      </c>
      <c r="R112" s="37" t="str">
        <f aca="false">IF(H112&lt;&gt;"Eligible","Screened out",IF(COUNT(L112:M112)=0,"Not started",IF(COUNT(L112:M112)=1,"One read done",IF(O112="Yes",IF(ISNUMBER(P112),"Complete","Needs third read"),"Complete"))))</f>
        <v>Complete</v>
      </c>
      <c r="S112" s="37" t="n">
        <f aca="false">IF(Q112="","",COUNTIFS($C$5:$C$600,C112,$Q$5:$Q$600,"&gt;"&amp;Q112)+1)</f>
        <v>43</v>
      </c>
      <c r="T112" s="37" t="str">
        <f aca="false">IF(Q112="","",IF(Q112&gt;=Cutoff,"Yes","No"))</f>
        <v>No</v>
      </c>
      <c r="U112" s="49" t="n">
        <f aca="false">IF(T112="Yes",MIN(F112,INDEX(Settings!$G:$G,MATCH(C112,Settings!$E:$E,0))),0)</f>
        <v>0</v>
      </c>
      <c r="V112" s="49" t="str">
        <f aca="false">IF(T112="Yes",SUMIFS($U$5:$U$600,$C$5:$C$600,C112,$Q$5:$Q$600,"&gt;"&amp;Q112)+U112,"")</f>
        <v/>
      </c>
      <c r="W112" s="37" t="str">
        <f aca="false">IF(T112="Yes",IF(V112&lt;=INDEX(PoolList,MATCH(C112,ProgramList,0)),"Within pool","Over pool"),"")</f>
        <v/>
      </c>
      <c r="X112" s="37" t="str">
        <f aca="false">IF(O112="Yes",COUNTIF($O$5:O112,"Yes"),"")</f>
        <v/>
      </c>
    </row>
    <row r="113" customFormat="false" ht="15" hidden="false" customHeight="false" outlineLevel="0" collapsed="false">
      <c r="A113" s="35" t="s">
        <v>408</v>
      </c>
      <c r="B113" s="35" t="s">
        <v>409</v>
      </c>
      <c r="C113" s="35" t="s">
        <v>106</v>
      </c>
      <c r="D113" s="35" t="s">
        <v>190</v>
      </c>
      <c r="E113" s="35" t="s">
        <v>298</v>
      </c>
      <c r="F113" s="42" t="n">
        <v>119000</v>
      </c>
      <c r="G113" s="36" t="n">
        <v>45911</v>
      </c>
      <c r="H113" s="35" t="s">
        <v>54</v>
      </c>
      <c r="I113" s="35" t="s">
        <v>85</v>
      </c>
      <c r="J113" s="35" t="s">
        <v>82</v>
      </c>
      <c r="K113" s="35"/>
      <c r="L113" s="48" t="n">
        <f aca="false">IFERROR(AVERAGEIFS('Score Entry'!$M$5:$M$1276,'Score Entry'!$B$5:$B$1276,A113,'Score Entry'!$E$5:$E$1276,"Primary"),"")</f>
        <v>56</v>
      </c>
      <c r="M113" s="48" t="n">
        <f aca="false">IFERROR(AVERAGEIFS('Score Entry'!$M$5:$M$1276,'Score Entry'!$B$5:$B$1276,A113,'Score Entry'!$E$5:$E$1276,"Secondary"),"")</f>
        <v>58</v>
      </c>
      <c r="N113" s="48" t="n">
        <f aca="false">IF(COUNT(L113:M113)=2,ABS(L113-M113),"")</f>
        <v>2</v>
      </c>
      <c r="O113" s="37" t="str">
        <f aca="false">IF(N113="","",IF(N113&gt;=Threshold,"Yes","No"))</f>
        <v>No</v>
      </c>
      <c r="P113" s="48" t="str">
        <f aca="false">IFERROR(AVERAGEIFS('Score Entry'!$M$5:$M$1276,'Score Entry'!$B$5:$B$1276,A113,'Score Entry'!$E$5:$E$1276,"Third"),"")</f>
        <v/>
      </c>
      <c r="Q113" s="48" t="n">
        <f aca="false">IF(H113&lt;&gt;"Eligible","",IF(O113="Yes",IF(ISNUMBER(P113),ROUND(AVERAGE(L113,M113,P113),1),""),IF(O113="No",ROUND(AVERAGE(L113:M113),1),"")))</f>
        <v>57</v>
      </c>
      <c r="R113" s="37" t="str">
        <f aca="false">IF(H113&lt;&gt;"Eligible","Screened out",IF(COUNT(L113:M113)=0,"Not started",IF(COUNT(L113:M113)=1,"One read done",IF(O113="Yes",IF(ISNUMBER(P113),"Complete","Needs third read"),"Complete"))))</f>
        <v>Complete</v>
      </c>
      <c r="S113" s="37" t="n">
        <f aca="false">IF(Q113="","",COUNTIFS($C$5:$C$600,C113,$Q$5:$Q$600,"&gt;"&amp;Q113)+1)</f>
        <v>94</v>
      </c>
      <c r="T113" s="37" t="str">
        <f aca="false">IF(Q113="","",IF(Q113&gt;=Cutoff,"Yes","No"))</f>
        <v>No</v>
      </c>
      <c r="U113" s="49" t="n">
        <f aca="false">IF(T113="Yes",MIN(F113,INDEX(Settings!$G:$G,MATCH(C113,Settings!$E:$E,0))),0)</f>
        <v>0</v>
      </c>
      <c r="V113" s="49" t="str">
        <f aca="false">IF(T113="Yes",SUMIFS($U$5:$U$600,$C$5:$C$600,C113,$Q$5:$Q$600,"&gt;"&amp;Q113)+U113,"")</f>
        <v/>
      </c>
      <c r="W113" s="37" t="str">
        <f aca="false">IF(T113="Yes",IF(V113&lt;=INDEX(PoolList,MATCH(C113,ProgramList,0)),"Within pool","Over pool"),"")</f>
        <v/>
      </c>
      <c r="X113" s="37" t="str">
        <f aca="false">IF(O113="Yes",COUNTIF($O$5:O113,"Yes"),"")</f>
        <v/>
      </c>
    </row>
    <row r="114" customFormat="false" ht="15" hidden="false" customHeight="false" outlineLevel="0" collapsed="false">
      <c r="A114" s="35" t="s">
        <v>410</v>
      </c>
      <c r="B114" s="35" t="s">
        <v>411</v>
      </c>
      <c r="C114" s="35" t="s">
        <v>103</v>
      </c>
      <c r="D114" s="35" t="s">
        <v>190</v>
      </c>
      <c r="E114" s="35" t="s">
        <v>363</v>
      </c>
      <c r="F114" s="42" t="n">
        <v>25500</v>
      </c>
      <c r="G114" s="36" t="n">
        <v>45919</v>
      </c>
      <c r="H114" s="35" t="s">
        <v>54</v>
      </c>
      <c r="I114" s="35" t="s">
        <v>88</v>
      </c>
      <c r="J114" s="35" t="s">
        <v>78</v>
      </c>
      <c r="K114" s="35"/>
      <c r="L114" s="48" t="n">
        <f aca="false">IFERROR(AVERAGEIFS('Score Entry'!$M$5:$M$1276,'Score Entry'!$B$5:$B$1276,A114,'Score Entry'!$E$5:$E$1276,"Primary"),"")</f>
        <v>66</v>
      </c>
      <c r="M114" s="48" t="n">
        <f aca="false">IFERROR(AVERAGEIFS('Score Entry'!$M$5:$M$1276,'Score Entry'!$B$5:$B$1276,A114,'Score Entry'!$E$5:$E$1276,"Secondary"),"")</f>
        <v>59</v>
      </c>
      <c r="N114" s="48" t="n">
        <f aca="false">IF(COUNT(L114:M114)=2,ABS(L114-M114),"")</f>
        <v>7</v>
      </c>
      <c r="O114" s="37" t="str">
        <f aca="false">IF(N114="","",IF(N114&gt;=Threshold,"Yes","No"))</f>
        <v>No</v>
      </c>
      <c r="P114" s="48" t="str">
        <f aca="false">IFERROR(AVERAGEIFS('Score Entry'!$M$5:$M$1276,'Score Entry'!$B$5:$B$1276,A114,'Score Entry'!$E$5:$E$1276,"Third"),"")</f>
        <v/>
      </c>
      <c r="Q114" s="48" t="n">
        <f aca="false">IF(H114&lt;&gt;"Eligible","",IF(O114="Yes",IF(ISNUMBER(P114),ROUND(AVERAGE(L114,M114,P114),1),""),IF(O114="No",ROUND(AVERAGE(L114:M114),1),"")))</f>
        <v>62.5</v>
      </c>
      <c r="R114" s="37" t="str">
        <f aca="false">IF(H114&lt;&gt;"Eligible","Screened out",IF(COUNT(L114:M114)=0,"Not started",IF(COUNT(L114:M114)=1,"One read done",IF(O114="Yes",IF(ISNUMBER(P114),"Complete","Needs third read"),"Complete"))))</f>
        <v>Complete</v>
      </c>
      <c r="S114" s="37" t="n">
        <f aca="false">IF(Q114="","",COUNTIFS($C$5:$C$600,C114,$Q$5:$Q$600,"&gt;"&amp;Q114)+1)</f>
        <v>101</v>
      </c>
      <c r="T114" s="37" t="str">
        <f aca="false">IF(Q114="","",IF(Q114&gt;=Cutoff,"Yes","No"))</f>
        <v>No</v>
      </c>
      <c r="U114" s="49" t="n">
        <f aca="false">IF(T114="Yes",MIN(F114,INDEX(Settings!$G:$G,MATCH(C114,Settings!$E:$E,0))),0)</f>
        <v>0</v>
      </c>
      <c r="V114" s="49" t="str">
        <f aca="false">IF(T114="Yes",SUMIFS($U$5:$U$600,$C$5:$C$600,C114,$Q$5:$Q$600,"&gt;"&amp;Q114)+U114,"")</f>
        <v/>
      </c>
      <c r="W114" s="37" t="str">
        <f aca="false">IF(T114="Yes",IF(V114&lt;=INDEX(PoolList,MATCH(C114,ProgramList,0)),"Within pool","Over pool"),"")</f>
        <v/>
      </c>
      <c r="X114" s="37" t="str">
        <f aca="false">IF(O114="Yes",COUNTIF($O$5:O114,"Yes"),"")</f>
        <v/>
      </c>
    </row>
    <row r="115" customFormat="false" ht="15" hidden="false" customHeight="false" outlineLevel="0" collapsed="false">
      <c r="A115" s="35" t="s">
        <v>412</v>
      </c>
      <c r="B115" s="35" t="s">
        <v>413</v>
      </c>
      <c r="C115" s="35" t="s">
        <v>106</v>
      </c>
      <c r="D115" s="35" t="s">
        <v>180</v>
      </c>
      <c r="E115" s="35" t="s">
        <v>181</v>
      </c>
      <c r="F115" s="42" t="n">
        <v>74000</v>
      </c>
      <c r="G115" s="36" t="n">
        <v>45927</v>
      </c>
      <c r="H115" s="35" t="s">
        <v>54</v>
      </c>
      <c r="I115" s="35" t="s">
        <v>85</v>
      </c>
      <c r="J115" s="35" t="s">
        <v>88</v>
      </c>
      <c r="K115" s="35"/>
      <c r="L115" s="48" t="n">
        <f aca="false">IFERROR(AVERAGEIFS('Score Entry'!$M$5:$M$1276,'Score Entry'!$B$5:$B$1276,A115,'Score Entry'!$E$5:$E$1276,"Primary"),"")</f>
        <v>65</v>
      </c>
      <c r="M115" s="48" t="n">
        <f aca="false">IFERROR(AVERAGEIFS('Score Entry'!$M$5:$M$1276,'Score Entry'!$B$5:$B$1276,A115,'Score Entry'!$E$5:$E$1276,"Secondary"),"")</f>
        <v>54</v>
      </c>
      <c r="N115" s="48" t="n">
        <f aca="false">IF(COUNT(L115:M115)=2,ABS(L115-M115),"")</f>
        <v>11</v>
      </c>
      <c r="O115" s="37" t="str">
        <f aca="false">IF(N115="","",IF(N115&gt;=Threshold,"Yes","No"))</f>
        <v>No</v>
      </c>
      <c r="P115" s="48" t="str">
        <f aca="false">IFERROR(AVERAGEIFS('Score Entry'!$M$5:$M$1276,'Score Entry'!$B$5:$B$1276,A115,'Score Entry'!$E$5:$E$1276,"Third"),"")</f>
        <v/>
      </c>
      <c r="Q115" s="48" t="n">
        <f aca="false">IF(H115&lt;&gt;"Eligible","",IF(O115="Yes",IF(ISNUMBER(P115),ROUND(AVERAGE(L115,M115,P115),1),""),IF(O115="No",ROUND(AVERAGE(L115:M115),1),"")))</f>
        <v>59.5</v>
      </c>
      <c r="R115" s="37" t="str">
        <f aca="false">IF(H115&lt;&gt;"Eligible","Screened out",IF(COUNT(L115:M115)=0,"Not started",IF(COUNT(L115:M115)=1,"One read done",IF(O115="Yes",IF(ISNUMBER(P115),"Complete","Needs third read"),"Complete"))))</f>
        <v>Complete</v>
      </c>
      <c r="S115" s="37" t="n">
        <f aca="false">IF(Q115="","",COUNTIFS($C$5:$C$600,C115,$Q$5:$Q$600,"&gt;"&amp;Q115)+1)</f>
        <v>86</v>
      </c>
      <c r="T115" s="37" t="str">
        <f aca="false">IF(Q115="","",IF(Q115&gt;=Cutoff,"Yes","No"))</f>
        <v>No</v>
      </c>
      <c r="U115" s="49" t="n">
        <f aca="false">IF(T115="Yes",MIN(F115,INDEX(Settings!$G:$G,MATCH(C115,Settings!$E:$E,0))),0)</f>
        <v>0</v>
      </c>
      <c r="V115" s="49" t="str">
        <f aca="false">IF(T115="Yes",SUMIFS($U$5:$U$600,$C$5:$C$600,C115,$Q$5:$Q$600,"&gt;"&amp;Q115)+U115,"")</f>
        <v/>
      </c>
      <c r="W115" s="37" t="str">
        <f aca="false">IF(T115="Yes",IF(V115&lt;=INDEX(PoolList,MATCH(C115,ProgramList,0)),"Within pool","Over pool"),"")</f>
        <v/>
      </c>
      <c r="X115" s="37" t="str">
        <f aca="false">IF(O115="Yes",COUNTIF($O$5:O115,"Yes"),"")</f>
        <v/>
      </c>
    </row>
    <row r="116" customFormat="false" ht="15" hidden="false" customHeight="false" outlineLevel="0" collapsed="false">
      <c r="A116" s="35" t="s">
        <v>414</v>
      </c>
      <c r="B116" s="35" t="s">
        <v>415</v>
      </c>
      <c r="C116" s="35" t="s">
        <v>105</v>
      </c>
      <c r="D116" s="35" t="s">
        <v>174</v>
      </c>
      <c r="E116" s="35" t="s">
        <v>175</v>
      </c>
      <c r="F116" s="42" t="n">
        <v>98000</v>
      </c>
      <c r="G116" s="36" t="n">
        <v>45922</v>
      </c>
      <c r="H116" s="35" t="s">
        <v>54</v>
      </c>
      <c r="I116" s="35" t="s">
        <v>94</v>
      </c>
      <c r="J116" s="35" t="s">
        <v>82</v>
      </c>
      <c r="K116" s="35"/>
      <c r="L116" s="48" t="n">
        <f aca="false">IFERROR(AVERAGEIFS('Score Entry'!$M$5:$M$1276,'Score Entry'!$B$5:$B$1276,A116,'Score Entry'!$E$5:$E$1276,"Primary"),"")</f>
        <v>57</v>
      </c>
      <c r="M116" s="48" t="n">
        <f aca="false">IFERROR(AVERAGEIFS('Score Entry'!$M$5:$M$1276,'Score Entry'!$B$5:$B$1276,A116,'Score Entry'!$E$5:$E$1276,"Secondary"),"")</f>
        <v>67</v>
      </c>
      <c r="N116" s="48" t="n">
        <f aca="false">IF(COUNT(L116:M116)=2,ABS(L116-M116),"")</f>
        <v>10</v>
      </c>
      <c r="O116" s="37" t="str">
        <f aca="false">IF(N116="","",IF(N116&gt;=Threshold,"Yes","No"))</f>
        <v>No</v>
      </c>
      <c r="P116" s="48" t="str">
        <f aca="false">IFERROR(AVERAGEIFS('Score Entry'!$M$5:$M$1276,'Score Entry'!$B$5:$B$1276,A116,'Score Entry'!$E$5:$E$1276,"Third"),"")</f>
        <v/>
      </c>
      <c r="Q116" s="48" t="n">
        <f aca="false">IF(H116&lt;&gt;"Eligible","",IF(O116="Yes",IF(ISNUMBER(P116),ROUND(AVERAGE(L116,M116,P116),1),""),IF(O116="No",ROUND(AVERAGE(L116:M116),1),"")))</f>
        <v>62</v>
      </c>
      <c r="R116" s="37" t="str">
        <f aca="false">IF(H116&lt;&gt;"Eligible","Screened out",IF(COUNT(L116:M116)=0,"Not started",IF(COUNT(L116:M116)=1,"One read done",IF(O116="Yes",IF(ISNUMBER(P116),"Complete","Needs third read"),"Complete"))))</f>
        <v>Complete</v>
      </c>
      <c r="S116" s="37" t="n">
        <f aca="false">IF(Q116="","",COUNTIFS($C$5:$C$600,C116,$Q$5:$Q$600,"&gt;"&amp;Q116)+1)</f>
        <v>66</v>
      </c>
      <c r="T116" s="37" t="str">
        <f aca="false">IF(Q116="","",IF(Q116&gt;=Cutoff,"Yes","No"))</f>
        <v>No</v>
      </c>
      <c r="U116" s="49" t="n">
        <f aca="false">IF(T116="Yes",MIN(F116,INDEX(Settings!$G:$G,MATCH(C116,Settings!$E:$E,0))),0)</f>
        <v>0</v>
      </c>
      <c r="V116" s="49" t="str">
        <f aca="false">IF(T116="Yes",SUMIFS($U$5:$U$600,$C$5:$C$600,C116,$Q$5:$Q$600,"&gt;"&amp;Q116)+U116,"")</f>
        <v/>
      </c>
      <c r="W116" s="37" t="str">
        <f aca="false">IF(T116="Yes",IF(V116&lt;=INDEX(PoolList,MATCH(C116,ProgramList,0)),"Within pool","Over pool"),"")</f>
        <v/>
      </c>
      <c r="X116" s="37" t="str">
        <f aca="false">IF(O116="Yes",COUNTIF($O$5:O116,"Yes"),"")</f>
        <v/>
      </c>
    </row>
    <row r="117" customFormat="false" ht="15" hidden="false" customHeight="false" outlineLevel="0" collapsed="false">
      <c r="A117" s="35" t="s">
        <v>416</v>
      </c>
      <c r="B117" s="35" t="s">
        <v>417</v>
      </c>
      <c r="C117" s="35" t="s">
        <v>103</v>
      </c>
      <c r="D117" s="35" t="s">
        <v>221</v>
      </c>
      <c r="E117" s="35" t="s">
        <v>258</v>
      </c>
      <c r="F117" s="42" t="n">
        <v>52000</v>
      </c>
      <c r="G117" s="36" t="n">
        <v>45907</v>
      </c>
      <c r="H117" s="35" t="s">
        <v>54</v>
      </c>
      <c r="I117" s="35" t="s">
        <v>91</v>
      </c>
      <c r="J117" s="35" t="s">
        <v>78</v>
      </c>
      <c r="K117" s="35"/>
      <c r="L117" s="48" t="n">
        <f aca="false">IFERROR(AVERAGEIFS('Score Entry'!$M$5:$M$1276,'Score Entry'!$B$5:$B$1276,A117,'Score Entry'!$E$5:$E$1276,"Primary"),"")</f>
        <v>67</v>
      </c>
      <c r="M117" s="48" t="n">
        <f aca="false">IFERROR(AVERAGEIFS('Score Entry'!$M$5:$M$1276,'Score Entry'!$B$5:$B$1276,A117,'Score Entry'!$E$5:$E$1276,"Secondary"),"")</f>
        <v>64</v>
      </c>
      <c r="N117" s="48" t="n">
        <f aca="false">IF(COUNT(L117:M117)=2,ABS(L117-M117),"")</f>
        <v>3</v>
      </c>
      <c r="O117" s="37" t="str">
        <f aca="false">IF(N117="","",IF(N117&gt;=Threshold,"Yes","No"))</f>
        <v>No</v>
      </c>
      <c r="P117" s="48" t="str">
        <f aca="false">IFERROR(AVERAGEIFS('Score Entry'!$M$5:$M$1276,'Score Entry'!$B$5:$B$1276,A117,'Score Entry'!$E$5:$E$1276,"Third"),"")</f>
        <v/>
      </c>
      <c r="Q117" s="48" t="n">
        <f aca="false">IF(H117&lt;&gt;"Eligible","",IF(O117="Yes",IF(ISNUMBER(P117),ROUND(AVERAGE(L117,M117,P117),1),""),IF(O117="No",ROUND(AVERAGE(L117:M117),1),"")))</f>
        <v>65.5</v>
      </c>
      <c r="R117" s="37" t="str">
        <f aca="false">IF(H117&lt;&gt;"Eligible","Screened out",IF(COUNT(L117:M117)=0,"Not started",IF(COUNT(L117:M117)=1,"One read done",IF(O117="Yes",IF(ISNUMBER(P117),"Complete","Needs third read"),"Complete"))))</f>
        <v>Complete</v>
      </c>
      <c r="S117" s="37" t="n">
        <f aca="false">IF(Q117="","",COUNTIFS($C$5:$C$600,C117,$Q$5:$Q$600,"&gt;"&amp;Q117)+1)</f>
        <v>87</v>
      </c>
      <c r="T117" s="37" t="str">
        <f aca="false">IF(Q117="","",IF(Q117&gt;=Cutoff,"Yes","No"))</f>
        <v>No</v>
      </c>
      <c r="U117" s="49" t="n">
        <f aca="false">IF(T117="Yes",MIN(F117,INDEX(Settings!$G:$G,MATCH(C117,Settings!$E:$E,0))),0)</f>
        <v>0</v>
      </c>
      <c r="V117" s="49" t="str">
        <f aca="false">IF(T117="Yes",SUMIFS($U$5:$U$600,$C$5:$C$600,C117,$Q$5:$Q$600,"&gt;"&amp;Q117)+U117,"")</f>
        <v/>
      </c>
      <c r="W117" s="37" t="str">
        <f aca="false">IF(T117="Yes",IF(V117&lt;=INDEX(PoolList,MATCH(C117,ProgramList,0)),"Within pool","Over pool"),"")</f>
        <v/>
      </c>
      <c r="X117" s="37" t="str">
        <f aca="false">IF(O117="Yes",COUNTIF($O$5:O117,"Yes"),"")</f>
        <v/>
      </c>
    </row>
    <row r="118" customFormat="false" ht="15" hidden="false" customHeight="false" outlineLevel="0" collapsed="false">
      <c r="A118" s="35" t="s">
        <v>418</v>
      </c>
      <c r="B118" s="35" t="s">
        <v>419</v>
      </c>
      <c r="C118" s="35" t="s">
        <v>105</v>
      </c>
      <c r="D118" s="35" t="s">
        <v>174</v>
      </c>
      <c r="E118" s="35" t="s">
        <v>175</v>
      </c>
      <c r="F118" s="42" t="n">
        <v>77500</v>
      </c>
      <c r="G118" s="36" t="n">
        <v>45918</v>
      </c>
      <c r="H118" s="35" t="s">
        <v>54</v>
      </c>
      <c r="I118" s="35" t="s">
        <v>85</v>
      </c>
      <c r="J118" s="35" t="s">
        <v>94</v>
      </c>
      <c r="K118" s="35"/>
      <c r="L118" s="48" t="n">
        <f aca="false">IFERROR(AVERAGEIFS('Score Entry'!$M$5:$M$1276,'Score Entry'!$B$5:$B$1276,A118,'Score Entry'!$E$5:$E$1276,"Primary"),"")</f>
        <v>49</v>
      </c>
      <c r="M118" s="48" t="n">
        <f aca="false">IFERROR(AVERAGEIFS('Score Entry'!$M$5:$M$1276,'Score Entry'!$B$5:$B$1276,A118,'Score Entry'!$E$5:$E$1276,"Secondary"),"")</f>
        <v>45</v>
      </c>
      <c r="N118" s="48" t="n">
        <f aca="false">IF(COUNT(L118:M118)=2,ABS(L118-M118),"")</f>
        <v>4</v>
      </c>
      <c r="O118" s="37" t="str">
        <f aca="false">IF(N118="","",IF(N118&gt;=Threshold,"Yes","No"))</f>
        <v>No</v>
      </c>
      <c r="P118" s="48" t="str">
        <f aca="false">IFERROR(AVERAGEIFS('Score Entry'!$M$5:$M$1276,'Score Entry'!$B$5:$B$1276,A118,'Score Entry'!$E$5:$E$1276,"Third"),"")</f>
        <v/>
      </c>
      <c r="Q118" s="48" t="n">
        <f aca="false">IF(H118&lt;&gt;"Eligible","",IF(O118="Yes",IF(ISNUMBER(P118),ROUND(AVERAGE(L118,M118,P118),1),""),IF(O118="No",ROUND(AVERAGE(L118:M118),1),"")))</f>
        <v>47</v>
      </c>
      <c r="R118" s="37" t="str">
        <f aca="false">IF(H118&lt;&gt;"Eligible","Screened out",IF(COUNT(L118:M118)=0,"Not started",IF(COUNT(L118:M118)=1,"One read done",IF(O118="Yes",IF(ISNUMBER(P118),"Complete","Needs third read"),"Complete"))))</f>
        <v>Complete</v>
      </c>
      <c r="S118" s="37" t="n">
        <f aca="false">IF(Q118="","",COUNTIFS($C$5:$C$600,C118,$Q$5:$Q$600,"&gt;"&amp;Q118)+1)</f>
        <v>96</v>
      </c>
      <c r="T118" s="37" t="str">
        <f aca="false">IF(Q118="","",IF(Q118&gt;=Cutoff,"Yes","No"))</f>
        <v>No</v>
      </c>
      <c r="U118" s="49" t="n">
        <f aca="false">IF(T118="Yes",MIN(F118,INDEX(Settings!$G:$G,MATCH(C118,Settings!$E:$E,0))),0)</f>
        <v>0</v>
      </c>
      <c r="V118" s="49" t="str">
        <f aca="false">IF(T118="Yes",SUMIFS($U$5:$U$600,$C$5:$C$600,C118,$Q$5:$Q$600,"&gt;"&amp;Q118)+U118,"")</f>
        <v/>
      </c>
      <c r="W118" s="37" t="str">
        <f aca="false">IF(T118="Yes",IF(V118&lt;=INDEX(PoolList,MATCH(C118,ProgramList,0)),"Within pool","Over pool"),"")</f>
        <v/>
      </c>
      <c r="X118" s="37" t="str">
        <f aca="false">IF(O118="Yes",COUNTIF($O$5:O118,"Yes"),"")</f>
        <v/>
      </c>
    </row>
    <row r="119" customFormat="false" ht="15" hidden="false" customHeight="false" outlineLevel="0" collapsed="false">
      <c r="A119" s="35" t="s">
        <v>420</v>
      </c>
      <c r="B119" s="35" t="s">
        <v>421</v>
      </c>
      <c r="C119" s="35" t="s">
        <v>104</v>
      </c>
      <c r="D119" s="35" t="s">
        <v>180</v>
      </c>
      <c r="E119" s="35" t="s">
        <v>181</v>
      </c>
      <c r="F119" s="42" t="n">
        <v>73000</v>
      </c>
      <c r="G119" s="36" t="n">
        <v>45919</v>
      </c>
      <c r="H119" s="35" t="s">
        <v>54</v>
      </c>
      <c r="I119" s="35" t="s">
        <v>78</v>
      </c>
      <c r="J119" s="35" t="s">
        <v>82</v>
      </c>
      <c r="K119" s="35"/>
      <c r="L119" s="48" t="n">
        <f aca="false">IFERROR(AVERAGEIFS('Score Entry'!$M$5:$M$1276,'Score Entry'!$B$5:$B$1276,A119,'Score Entry'!$E$5:$E$1276,"Primary"),"")</f>
        <v>52</v>
      </c>
      <c r="M119" s="48" t="n">
        <f aca="false">IFERROR(AVERAGEIFS('Score Entry'!$M$5:$M$1276,'Score Entry'!$B$5:$B$1276,A119,'Score Entry'!$E$5:$E$1276,"Secondary"),"")</f>
        <v>44</v>
      </c>
      <c r="N119" s="48" t="n">
        <f aca="false">IF(COUNT(L119:M119)=2,ABS(L119-M119),"")</f>
        <v>8</v>
      </c>
      <c r="O119" s="37" t="str">
        <f aca="false">IF(N119="","",IF(N119&gt;=Threshold,"Yes","No"))</f>
        <v>No</v>
      </c>
      <c r="P119" s="48" t="str">
        <f aca="false">IFERROR(AVERAGEIFS('Score Entry'!$M$5:$M$1276,'Score Entry'!$B$5:$B$1276,A119,'Score Entry'!$E$5:$E$1276,"Third"),"")</f>
        <v/>
      </c>
      <c r="Q119" s="48" t="n">
        <f aca="false">IF(H119&lt;&gt;"Eligible","",IF(O119="Yes",IF(ISNUMBER(P119),ROUND(AVERAGE(L119,M119,P119),1),""),IF(O119="No",ROUND(AVERAGE(L119:M119),1),"")))</f>
        <v>48</v>
      </c>
      <c r="R119" s="37" t="str">
        <f aca="false">IF(H119&lt;&gt;"Eligible","Screened out",IF(COUNT(L119:M119)=0,"Not started",IF(COUNT(L119:M119)=1,"One read done",IF(O119="Yes",IF(ISNUMBER(P119),"Complete","Needs third read"),"Complete"))))</f>
        <v>Complete</v>
      </c>
      <c r="S119" s="37" t="n">
        <f aca="false">IF(Q119="","",COUNTIFS($C$5:$C$600,C119,$Q$5:$Q$600,"&gt;"&amp;Q119)+1)</f>
        <v>97</v>
      </c>
      <c r="T119" s="37" t="str">
        <f aca="false">IF(Q119="","",IF(Q119&gt;=Cutoff,"Yes","No"))</f>
        <v>No</v>
      </c>
      <c r="U119" s="49" t="n">
        <f aca="false">IF(T119="Yes",MIN(F119,INDEX(Settings!$G:$G,MATCH(C119,Settings!$E:$E,0))),0)</f>
        <v>0</v>
      </c>
      <c r="V119" s="49" t="str">
        <f aca="false">IF(T119="Yes",SUMIFS($U$5:$U$600,$C$5:$C$600,C119,$Q$5:$Q$600,"&gt;"&amp;Q119)+U119,"")</f>
        <v/>
      </c>
      <c r="W119" s="37" t="str">
        <f aca="false">IF(T119="Yes",IF(V119&lt;=INDEX(PoolList,MATCH(C119,ProgramList,0)),"Within pool","Over pool"),"")</f>
        <v/>
      </c>
      <c r="X119" s="37" t="str">
        <f aca="false">IF(O119="Yes",COUNTIF($O$5:O119,"Yes"),"")</f>
        <v/>
      </c>
    </row>
    <row r="120" customFormat="false" ht="15" hidden="false" customHeight="false" outlineLevel="0" collapsed="false">
      <c r="A120" s="35" t="s">
        <v>422</v>
      </c>
      <c r="B120" s="35" t="s">
        <v>423</v>
      </c>
      <c r="C120" s="35" t="s">
        <v>103</v>
      </c>
      <c r="D120" s="35" t="s">
        <v>174</v>
      </c>
      <c r="E120" s="35" t="s">
        <v>175</v>
      </c>
      <c r="F120" s="42" t="n">
        <v>56000</v>
      </c>
      <c r="G120" s="36" t="n">
        <v>45912</v>
      </c>
      <c r="H120" s="35" t="s">
        <v>54</v>
      </c>
      <c r="I120" s="35" t="s">
        <v>85</v>
      </c>
      <c r="J120" s="35" t="s">
        <v>82</v>
      </c>
      <c r="K120" s="35"/>
      <c r="L120" s="48" t="n">
        <f aca="false">IFERROR(AVERAGEIFS('Score Entry'!$M$5:$M$1276,'Score Entry'!$B$5:$B$1276,A120,'Score Entry'!$E$5:$E$1276,"Primary"),"")</f>
        <v>67</v>
      </c>
      <c r="M120" s="48" t="n">
        <f aca="false">IFERROR(AVERAGEIFS('Score Entry'!$M$5:$M$1276,'Score Entry'!$B$5:$B$1276,A120,'Score Entry'!$E$5:$E$1276,"Secondary"),"")</f>
        <v>70</v>
      </c>
      <c r="N120" s="48" t="n">
        <f aca="false">IF(COUNT(L120:M120)=2,ABS(L120-M120),"")</f>
        <v>3</v>
      </c>
      <c r="O120" s="37" t="str">
        <f aca="false">IF(N120="","",IF(N120&gt;=Threshold,"Yes","No"))</f>
        <v>No</v>
      </c>
      <c r="P120" s="48" t="str">
        <f aca="false">IFERROR(AVERAGEIFS('Score Entry'!$M$5:$M$1276,'Score Entry'!$B$5:$B$1276,A120,'Score Entry'!$E$5:$E$1276,"Third"),"")</f>
        <v/>
      </c>
      <c r="Q120" s="48" t="n">
        <f aca="false">IF(H120&lt;&gt;"Eligible","",IF(O120="Yes",IF(ISNUMBER(P120),ROUND(AVERAGE(L120,M120,P120),1),""),IF(O120="No",ROUND(AVERAGE(L120:M120),1),"")))</f>
        <v>68.5</v>
      </c>
      <c r="R120" s="37" t="str">
        <f aca="false">IF(H120&lt;&gt;"Eligible","Screened out",IF(COUNT(L120:M120)=0,"Not started",IF(COUNT(L120:M120)=1,"One read done",IF(O120="Yes",IF(ISNUMBER(P120),"Complete","Needs third read"),"Complete"))))</f>
        <v>Complete</v>
      </c>
      <c r="S120" s="37" t="n">
        <f aca="false">IF(Q120="","",COUNTIFS($C$5:$C$600,C120,$Q$5:$Q$600,"&gt;"&amp;Q120)+1)</f>
        <v>71</v>
      </c>
      <c r="T120" s="37" t="str">
        <f aca="false">IF(Q120="","",IF(Q120&gt;=Cutoff,"Yes","No"))</f>
        <v>No</v>
      </c>
      <c r="U120" s="49" t="n">
        <f aca="false">IF(T120="Yes",MIN(F120,INDEX(Settings!$G:$G,MATCH(C120,Settings!$E:$E,0))),0)</f>
        <v>0</v>
      </c>
      <c r="V120" s="49" t="str">
        <f aca="false">IF(T120="Yes",SUMIFS($U$5:$U$600,$C$5:$C$600,C120,$Q$5:$Q$600,"&gt;"&amp;Q120)+U120,"")</f>
        <v/>
      </c>
      <c r="W120" s="37" t="str">
        <f aca="false">IF(T120="Yes",IF(V120&lt;=INDEX(PoolList,MATCH(C120,ProgramList,0)),"Within pool","Over pool"),"")</f>
        <v/>
      </c>
      <c r="X120" s="37" t="str">
        <f aca="false">IF(O120="Yes",COUNTIF($O$5:O120,"Yes"),"")</f>
        <v/>
      </c>
    </row>
    <row r="121" customFormat="false" ht="15" hidden="false" customHeight="false" outlineLevel="0" collapsed="false">
      <c r="A121" s="35" t="s">
        <v>424</v>
      </c>
      <c r="B121" s="35" t="s">
        <v>425</v>
      </c>
      <c r="C121" s="35" t="s">
        <v>106</v>
      </c>
      <c r="D121" s="35" t="s">
        <v>174</v>
      </c>
      <c r="E121" s="35" t="s">
        <v>175</v>
      </c>
      <c r="F121" s="42" t="n">
        <v>185500</v>
      </c>
      <c r="G121" s="36" t="n">
        <v>45915</v>
      </c>
      <c r="H121" s="35" t="s">
        <v>54</v>
      </c>
      <c r="I121" s="35" t="s">
        <v>88</v>
      </c>
      <c r="J121" s="35" t="s">
        <v>91</v>
      </c>
      <c r="K121" s="35"/>
      <c r="L121" s="48" t="n">
        <f aca="false">IFERROR(AVERAGEIFS('Score Entry'!$M$5:$M$1276,'Score Entry'!$B$5:$B$1276,A121,'Score Entry'!$E$5:$E$1276,"Primary"),"")</f>
        <v>72</v>
      </c>
      <c r="M121" s="48" t="n">
        <f aca="false">IFERROR(AVERAGEIFS('Score Entry'!$M$5:$M$1276,'Score Entry'!$B$5:$B$1276,A121,'Score Entry'!$E$5:$E$1276,"Secondary"),"")</f>
        <v>72</v>
      </c>
      <c r="N121" s="48" t="n">
        <f aca="false">IF(COUNT(L121:M121)=2,ABS(L121-M121),"")</f>
        <v>0</v>
      </c>
      <c r="O121" s="37" t="str">
        <f aca="false">IF(N121="","",IF(N121&gt;=Threshold,"Yes","No"))</f>
        <v>No</v>
      </c>
      <c r="P121" s="48" t="str">
        <f aca="false">IFERROR(AVERAGEIFS('Score Entry'!$M$5:$M$1276,'Score Entry'!$B$5:$B$1276,A121,'Score Entry'!$E$5:$E$1276,"Third"),"")</f>
        <v/>
      </c>
      <c r="Q121" s="48" t="n">
        <f aca="false">IF(H121&lt;&gt;"Eligible","",IF(O121="Yes",IF(ISNUMBER(P121),ROUND(AVERAGE(L121,M121,P121),1),""),IF(O121="No",ROUND(AVERAGE(L121:M121),1),"")))</f>
        <v>72</v>
      </c>
      <c r="R121" s="37" t="str">
        <f aca="false">IF(H121&lt;&gt;"Eligible","Screened out",IF(COUNT(L121:M121)=0,"Not started",IF(COUNT(L121:M121)=1,"One read done",IF(O121="Yes",IF(ISNUMBER(P121),"Complete","Needs third read"),"Complete"))))</f>
        <v>Complete</v>
      </c>
      <c r="S121" s="37" t="n">
        <f aca="false">IF(Q121="","",COUNTIFS($C$5:$C$600,C121,$Q$5:$Q$600,"&gt;"&amp;Q121)+1)</f>
        <v>45</v>
      </c>
      <c r="T121" s="37" t="str">
        <f aca="false">IF(Q121="","",IF(Q121&gt;=Cutoff,"Yes","No"))</f>
        <v>No</v>
      </c>
      <c r="U121" s="49" t="n">
        <f aca="false">IF(T121="Yes",MIN(F121,INDEX(Settings!$G:$G,MATCH(C121,Settings!$E:$E,0))),0)</f>
        <v>0</v>
      </c>
      <c r="V121" s="49" t="str">
        <f aca="false">IF(T121="Yes",SUMIFS($U$5:$U$600,$C$5:$C$600,C121,$Q$5:$Q$600,"&gt;"&amp;Q121)+U121,"")</f>
        <v/>
      </c>
      <c r="W121" s="37" t="str">
        <f aca="false">IF(T121="Yes",IF(V121&lt;=INDEX(PoolList,MATCH(C121,ProgramList,0)),"Within pool","Over pool"),"")</f>
        <v/>
      </c>
      <c r="X121" s="37" t="str">
        <f aca="false">IF(O121="Yes",COUNTIF($O$5:O121,"Yes"),"")</f>
        <v/>
      </c>
    </row>
    <row r="122" customFormat="false" ht="15" hidden="false" customHeight="false" outlineLevel="0" collapsed="false">
      <c r="A122" s="35" t="s">
        <v>426</v>
      </c>
      <c r="B122" s="35" t="s">
        <v>427</v>
      </c>
      <c r="C122" s="35" t="s">
        <v>104</v>
      </c>
      <c r="D122" s="35" t="s">
        <v>174</v>
      </c>
      <c r="E122" s="35" t="s">
        <v>175</v>
      </c>
      <c r="F122" s="42" t="n">
        <v>84000</v>
      </c>
      <c r="G122" s="36" t="n">
        <v>45907</v>
      </c>
      <c r="H122" s="35" t="s">
        <v>96</v>
      </c>
      <c r="I122" s="35"/>
      <c r="J122" s="35"/>
      <c r="K122" s="35"/>
      <c r="L122" s="48" t="str">
        <f aca="false">IFERROR(AVERAGEIFS('Score Entry'!$M$5:$M$1276,'Score Entry'!$B$5:$B$1276,A122,'Score Entry'!$E$5:$E$1276,"Primary"),"")</f>
        <v/>
      </c>
      <c r="M122" s="48" t="str">
        <f aca="false">IFERROR(AVERAGEIFS('Score Entry'!$M$5:$M$1276,'Score Entry'!$B$5:$B$1276,A122,'Score Entry'!$E$5:$E$1276,"Secondary"),"")</f>
        <v/>
      </c>
      <c r="N122" s="48" t="str">
        <f aca="false">IF(COUNT(L122:M122)=2,ABS(L122-M122),"")</f>
        <v/>
      </c>
      <c r="O122" s="37" t="str">
        <f aca="false">IF(N122="","",IF(N122&gt;=Threshold,"Yes","No"))</f>
        <v/>
      </c>
      <c r="P122" s="48" t="str">
        <f aca="false">IFERROR(AVERAGEIFS('Score Entry'!$M$5:$M$1276,'Score Entry'!$B$5:$B$1276,A122,'Score Entry'!$E$5:$E$1276,"Third"),"")</f>
        <v/>
      </c>
      <c r="Q122" s="48" t="str">
        <f aca="false">IF(H122&lt;&gt;"Eligible","",IF(O122="Yes",IF(ISNUMBER(P122),ROUND(AVERAGE(L122,M122,P122),1),""),IF(O122="No",ROUND(AVERAGE(L122:M122),1),"")))</f>
        <v/>
      </c>
      <c r="R122" s="37" t="str">
        <f aca="false">IF(H122&lt;&gt;"Eligible","Screened out",IF(COUNT(L122:M122)=0,"Not started",IF(COUNT(L122:M122)=1,"One read done",IF(O122="Yes",IF(ISNUMBER(P122),"Complete","Needs third read"),"Complete"))))</f>
        <v>Screened out</v>
      </c>
      <c r="S122" s="37" t="str">
        <f aca="false">IF(Q122="","",COUNTIFS($C$5:$C$600,C122,$Q$5:$Q$600,"&gt;"&amp;Q122)+1)</f>
        <v/>
      </c>
      <c r="T122" s="37" t="str">
        <f aca="false">IF(Q122="","",IF(Q122&gt;=Cutoff,"Yes","No"))</f>
        <v/>
      </c>
      <c r="U122" s="49" t="n">
        <f aca="false">IF(T122="Yes",MIN(F122,INDEX(Settings!$G:$G,MATCH(C122,Settings!$E:$E,0))),0)</f>
        <v>0</v>
      </c>
      <c r="V122" s="49" t="str">
        <f aca="false">IF(T122="Yes",SUMIFS($U$5:$U$600,$C$5:$C$600,C122,$Q$5:$Q$600,"&gt;"&amp;Q122)+U122,"")</f>
        <v/>
      </c>
      <c r="W122" s="37" t="str">
        <f aca="false">IF(T122="Yes",IF(V122&lt;=INDEX(PoolList,MATCH(C122,ProgramList,0)),"Within pool","Over pool"),"")</f>
        <v/>
      </c>
      <c r="X122" s="37" t="str">
        <f aca="false">IF(O122="Yes",COUNTIF($O$5:O122,"Yes"),"")</f>
        <v/>
      </c>
    </row>
    <row r="123" customFormat="false" ht="15" hidden="false" customHeight="false" outlineLevel="0" collapsed="false">
      <c r="A123" s="35" t="s">
        <v>428</v>
      </c>
      <c r="B123" s="35" t="s">
        <v>429</v>
      </c>
      <c r="C123" s="35" t="s">
        <v>105</v>
      </c>
      <c r="D123" s="35" t="s">
        <v>174</v>
      </c>
      <c r="E123" s="35" t="s">
        <v>175</v>
      </c>
      <c r="F123" s="42" t="n">
        <v>137000</v>
      </c>
      <c r="G123" s="36" t="n">
        <v>45912</v>
      </c>
      <c r="H123" s="35" t="s">
        <v>54</v>
      </c>
      <c r="I123" s="35" t="s">
        <v>78</v>
      </c>
      <c r="J123" s="35" t="s">
        <v>85</v>
      </c>
      <c r="K123" s="35"/>
      <c r="L123" s="48" t="n">
        <f aca="false">IFERROR(AVERAGEIFS('Score Entry'!$M$5:$M$1276,'Score Entry'!$B$5:$B$1276,A123,'Score Entry'!$E$5:$E$1276,"Primary"),"")</f>
        <v>76</v>
      </c>
      <c r="M123" s="48" t="n">
        <f aca="false">IFERROR(AVERAGEIFS('Score Entry'!$M$5:$M$1276,'Score Entry'!$B$5:$B$1276,A123,'Score Entry'!$E$5:$E$1276,"Secondary"),"")</f>
        <v>78</v>
      </c>
      <c r="N123" s="48" t="n">
        <f aca="false">IF(COUNT(L123:M123)=2,ABS(L123-M123),"")</f>
        <v>2</v>
      </c>
      <c r="O123" s="37" t="str">
        <f aca="false">IF(N123="","",IF(N123&gt;=Threshold,"Yes","No"))</f>
        <v>No</v>
      </c>
      <c r="P123" s="48" t="str">
        <f aca="false">IFERROR(AVERAGEIFS('Score Entry'!$M$5:$M$1276,'Score Entry'!$B$5:$B$1276,A123,'Score Entry'!$E$5:$E$1276,"Third"),"")</f>
        <v/>
      </c>
      <c r="Q123" s="48" t="n">
        <f aca="false">IF(H123&lt;&gt;"Eligible","",IF(O123="Yes",IF(ISNUMBER(P123),ROUND(AVERAGE(L123,M123,P123),1),""),IF(O123="No",ROUND(AVERAGE(L123:M123),1),"")))</f>
        <v>77</v>
      </c>
      <c r="R123" s="37" t="str">
        <f aca="false">IF(H123&lt;&gt;"Eligible","Screened out",IF(COUNT(L123:M123)=0,"Not started",IF(COUNT(L123:M123)=1,"One read done",IF(O123="Yes",IF(ISNUMBER(P123),"Complete","Needs third read"),"Complete"))))</f>
        <v>Complete</v>
      </c>
      <c r="S123" s="37" t="n">
        <f aca="false">IF(Q123="","",COUNTIFS($C$5:$C$600,C123,$Q$5:$Q$600,"&gt;"&amp;Q123)+1)</f>
        <v>24</v>
      </c>
      <c r="T123" s="37" t="str">
        <f aca="false">IF(Q123="","",IF(Q123&gt;=Cutoff,"Yes","No"))</f>
        <v>No</v>
      </c>
      <c r="U123" s="49" t="n">
        <f aca="false">IF(T123="Yes",MIN(F123,INDEX(Settings!$G:$G,MATCH(C123,Settings!$E:$E,0))),0)</f>
        <v>0</v>
      </c>
      <c r="V123" s="49" t="str">
        <f aca="false">IF(T123="Yes",SUMIFS($U$5:$U$600,$C$5:$C$600,C123,$Q$5:$Q$600,"&gt;"&amp;Q123)+U123,"")</f>
        <v/>
      </c>
      <c r="W123" s="37" t="str">
        <f aca="false">IF(T123="Yes",IF(V123&lt;=INDEX(PoolList,MATCH(C123,ProgramList,0)),"Within pool","Over pool"),"")</f>
        <v/>
      </c>
      <c r="X123" s="37" t="str">
        <f aca="false">IF(O123="Yes",COUNTIF($O$5:O123,"Yes"),"")</f>
        <v/>
      </c>
    </row>
    <row r="124" customFormat="false" ht="15" hidden="false" customHeight="false" outlineLevel="0" collapsed="false">
      <c r="A124" s="35" t="s">
        <v>430</v>
      </c>
      <c r="B124" s="35" t="s">
        <v>431</v>
      </c>
      <c r="C124" s="35" t="s">
        <v>103</v>
      </c>
      <c r="D124" s="35" t="s">
        <v>174</v>
      </c>
      <c r="E124" s="35" t="s">
        <v>175</v>
      </c>
      <c r="F124" s="42" t="n">
        <v>76500</v>
      </c>
      <c r="G124" s="36" t="n">
        <v>45913</v>
      </c>
      <c r="H124" s="35" t="s">
        <v>54</v>
      </c>
      <c r="I124" s="35" t="s">
        <v>88</v>
      </c>
      <c r="J124" s="35" t="s">
        <v>94</v>
      </c>
      <c r="K124" s="35"/>
      <c r="L124" s="48" t="n">
        <f aca="false">IFERROR(AVERAGEIFS('Score Entry'!$M$5:$M$1276,'Score Entry'!$B$5:$B$1276,A124,'Score Entry'!$E$5:$E$1276,"Primary"),"")</f>
        <v>53</v>
      </c>
      <c r="M124" s="48" t="n">
        <f aca="false">IFERROR(AVERAGEIFS('Score Entry'!$M$5:$M$1276,'Score Entry'!$B$5:$B$1276,A124,'Score Entry'!$E$5:$E$1276,"Secondary"),"")</f>
        <v>62</v>
      </c>
      <c r="N124" s="48" t="n">
        <f aca="false">IF(COUNT(L124:M124)=2,ABS(L124-M124),"")</f>
        <v>9</v>
      </c>
      <c r="O124" s="37" t="str">
        <f aca="false">IF(N124="","",IF(N124&gt;=Threshold,"Yes","No"))</f>
        <v>No</v>
      </c>
      <c r="P124" s="48" t="str">
        <f aca="false">IFERROR(AVERAGEIFS('Score Entry'!$M$5:$M$1276,'Score Entry'!$B$5:$B$1276,A124,'Score Entry'!$E$5:$E$1276,"Third"),"")</f>
        <v/>
      </c>
      <c r="Q124" s="48" t="n">
        <f aca="false">IF(H124&lt;&gt;"Eligible","",IF(O124="Yes",IF(ISNUMBER(P124),ROUND(AVERAGE(L124,M124,P124),1),""),IF(O124="No",ROUND(AVERAGE(L124:M124),1),"")))</f>
        <v>57.5</v>
      </c>
      <c r="R124" s="37" t="str">
        <f aca="false">IF(H124&lt;&gt;"Eligible","Screened out",IF(COUNT(L124:M124)=0,"Not started",IF(COUNT(L124:M124)=1,"One read done",IF(O124="Yes",IF(ISNUMBER(P124),"Complete","Needs third read"),"Complete"))))</f>
        <v>Complete</v>
      </c>
      <c r="S124" s="37" t="n">
        <f aca="false">IF(Q124="","",COUNTIFS($C$5:$C$600,C124,$Q$5:$Q$600,"&gt;"&amp;Q124)+1)</f>
        <v>123</v>
      </c>
      <c r="T124" s="37" t="str">
        <f aca="false">IF(Q124="","",IF(Q124&gt;=Cutoff,"Yes","No"))</f>
        <v>No</v>
      </c>
      <c r="U124" s="49" t="n">
        <f aca="false">IF(T124="Yes",MIN(F124,INDEX(Settings!$G:$G,MATCH(C124,Settings!$E:$E,0))),0)</f>
        <v>0</v>
      </c>
      <c r="V124" s="49" t="str">
        <f aca="false">IF(T124="Yes",SUMIFS($U$5:$U$600,$C$5:$C$600,C124,$Q$5:$Q$600,"&gt;"&amp;Q124)+U124,"")</f>
        <v/>
      </c>
      <c r="W124" s="37" t="str">
        <f aca="false">IF(T124="Yes",IF(V124&lt;=INDEX(PoolList,MATCH(C124,ProgramList,0)),"Within pool","Over pool"),"")</f>
        <v/>
      </c>
      <c r="X124" s="37" t="str">
        <f aca="false">IF(O124="Yes",COUNTIF($O$5:O124,"Yes"),"")</f>
        <v/>
      </c>
    </row>
    <row r="125" customFormat="false" ht="15" hidden="false" customHeight="false" outlineLevel="0" collapsed="false">
      <c r="A125" s="35" t="s">
        <v>432</v>
      </c>
      <c r="B125" s="35" t="s">
        <v>433</v>
      </c>
      <c r="C125" s="35" t="s">
        <v>103</v>
      </c>
      <c r="D125" s="35" t="s">
        <v>174</v>
      </c>
      <c r="E125" s="35" t="s">
        <v>175</v>
      </c>
      <c r="F125" s="42" t="n">
        <v>122500</v>
      </c>
      <c r="G125" s="36" t="n">
        <v>45918</v>
      </c>
      <c r="H125" s="35" t="s">
        <v>54</v>
      </c>
      <c r="I125" s="35" t="s">
        <v>91</v>
      </c>
      <c r="J125" s="35" t="s">
        <v>82</v>
      </c>
      <c r="K125" s="35"/>
      <c r="L125" s="48" t="n">
        <f aca="false">IFERROR(AVERAGEIFS('Score Entry'!$M$5:$M$1276,'Score Entry'!$B$5:$B$1276,A125,'Score Entry'!$E$5:$E$1276,"Primary"),"")</f>
        <v>73</v>
      </c>
      <c r="M125" s="48" t="n">
        <f aca="false">IFERROR(AVERAGEIFS('Score Entry'!$M$5:$M$1276,'Score Entry'!$B$5:$B$1276,A125,'Score Entry'!$E$5:$E$1276,"Secondary"),"")</f>
        <v>60</v>
      </c>
      <c r="N125" s="48" t="n">
        <f aca="false">IF(COUNT(L125:M125)=2,ABS(L125-M125),"")</f>
        <v>13</v>
      </c>
      <c r="O125" s="37" t="str">
        <f aca="false">IF(N125="","",IF(N125&gt;=Threshold,"Yes","No"))</f>
        <v>No</v>
      </c>
      <c r="P125" s="48" t="str">
        <f aca="false">IFERROR(AVERAGEIFS('Score Entry'!$M$5:$M$1276,'Score Entry'!$B$5:$B$1276,A125,'Score Entry'!$E$5:$E$1276,"Third"),"")</f>
        <v/>
      </c>
      <c r="Q125" s="48" t="n">
        <f aca="false">IF(H125&lt;&gt;"Eligible","",IF(O125="Yes",IF(ISNUMBER(P125),ROUND(AVERAGE(L125,M125,P125),1),""),IF(O125="No",ROUND(AVERAGE(L125:M125),1),"")))</f>
        <v>66.5</v>
      </c>
      <c r="R125" s="37" t="str">
        <f aca="false">IF(H125&lt;&gt;"Eligible","Screened out",IF(COUNT(L125:M125)=0,"Not started",IF(COUNT(L125:M125)=1,"One read done",IF(O125="Yes",IF(ISNUMBER(P125),"Complete","Needs third read"),"Complete"))))</f>
        <v>Complete</v>
      </c>
      <c r="S125" s="37" t="n">
        <f aca="false">IF(Q125="","",COUNTIFS($C$5:$C$600,C125,$Q$5:$Q$600,"&gt;"&amp;Q125)+1)</f>
        <v>82</v>
      </c>
      <c r="T125" s="37" t="str">
        <f aca="false">IF(Q125="","",IF(Q125&gt;=Cutoff,"Yes","No"))</f>
        <v>No</v>
      </c>
      <c r="U125" s="49" t="n">
        <f aca="false">IF(T125="Yes",MIN(F125,INDEX(Settings!$G:$G,MATCH(C125,Settings!$E:$E,0))),0)</f>
        <v>0</v>
      </c>
      <c r="V125" s="49" t="str">
        <f aca="false">IF(T125="Yes",SUMIFS($U$5:$U$600,$C$5:$C$600,C125,$Q$5:$Q$600,"&gt;"&amp;Q125)+U125,"")</f>
        <v/>
      </c>
      <c r="W125" s="37" t="str">
        <f aca="false">IF(T125="Yes",IF(V125&lt;=INDEX(PoolList,MATCH(C125,ProgramList,0)),"Within pool","Over pool"),"")</f>
        <v/>
      </c>
      <c r="X125" s="37" t="str">
        <f aca="false">IF(O125="Yes",COUNTIF($O$5:O125,"Yes"),"")</f>
        <v/>
      </c>
    </row>
    <row r="126" customFormat="false" ht="15" hidden="false" customHeight="false" outlineLevel="0" collapsed="false">
      <c r="A126" s="35" t="s">
        <v>434</v>
      </c>
      <c r="B126" s="35" t="s">
        <v>435</v>
      </c>
      <c r="C126" s="35" t="s">
        <v>105</v>
      </c>
      <c r="D126" s="35" t="s">
        <v>174</v>
      </c>
      <c r="E126" s="35" t="s">
        <v>175</v>
      </c>
      <c r="F126" s="42" t="n">
        <v>114000</v>
      </c>
      <c r="G126" s="36" t="n">
        <v>45911</v>
      </c>
      <c r="H126" s="35" t="s">
        <v>96</v>
      </c>
      <c r="I126" s="35"/>
      <c r="J126" s="35"/>
      <c r="K126" s="35"/>
      <c r="L126" s="48" t="str">
        <f aca="false">IFERROR(AVERAGEIFS('Score Entry'!$M$5:$M$1276,'Score Entry'!$B$5:$B$1276,A126,'Score Entry'!$E$5:$E$1276,"Primary"),"")</f>
        <v/>
      </c>
      <c r="M126" s="48" t="str">
        <f aca="false">IFERROR(AVERAGEIFS('Score Entry'!$M$5:$M$1276,'Score Entry'!$B$5:$B$1276,A126,'Score Entry'!$E$5:$E$1276,"Secondary"),"")</f>
        <v/>
      </c>
      <c r="N126" s="48" t="str">
        <f aca="false">IF(COUNT(L126:M126)=2,ABS(L126-M126),"")</f>
        <v/>
      </c>
      <c r="O126" s="37" t="str">
        <f aca="false">IF(N126="","",IF(N126&gt;=Threshold,"Yes","No"))</f>
        <v/>
      </c>
      <c r="P126" s="48" t="str">
        <f aca="false">IFERROR(AVERAGEIFS('Score Entry'!$M$5:$M$1276,'Score Entry'!$B$5:$B$1276,A126,'Score Entry'!$E$5:$E$1276,"Third"),"")</f>
        <v/>
      </c>
      <c r="Q126" s="48" t="str">
        <f aca="false">IF(H126&lt;&gt;"Eligible","",IF(O126="Yes",IF(ISNUMBER(P126),ROUND(AVERAGE(L126,M126,P126),1),""),IF(O126="No",ROUND(AVERAGE(L126:M126),1),"")))</f>
        <v/>
      </c>
      <c r="R126" s="37" t="str">
        <f aca="false">IF(H126&lt;&gt;"Eligible","Screened out",IF(COUNT(L126:M126)=0,"Not started",IF(COUNT(L126:M126)=1,"One read done",IF(O126="Yes",IF(ISNUMBER(P126),"Complete","Needs third read"),"Complete"))))</f>
        <v>Screened out</v>
      </c>
      <c r="S126" s="37" t="str">
        <f aca="false">IF(Q126="","",COUNTIFS($C$5:$C$600,C126,$Q$5:$Q$600,"&gt;"&amp;Q126)+1)</f>
        <v/>
      </c>
      <c r="T126" s="37" t="str">
        <f aca="false">IF(Q126="","",IF(Q126&gt;=Cutoff,"Yes","No"))</f>
        <v/>
      </c>
      <c r="U126" s="49" t="n">
        <f aca="false">IF(T126="Yes",MIN(F126,INDEX(Settings!$G:$G,MATCH(C126,Settings!$E:$E,0))),0)</f>
        <v>0</v>
      </c>
      <c r="V126" s="49" t="str">
        <f aca="false">IF(T126="Yes",SUMIFS($U$5:$U$600,$C$5:$C$600,C126,$Q$5:$Q$600,"&gt;"&amp;Q126)+U126,"")</f>
        <v/>
      </c>
      <c r="W126" s="37" t="str">
        <f aca="false">IF(T126="Yes",IF(V126&lt;=INDEX(PoolList,MATCH(C126,ProgramList,0)),"Within pool","Over pool"),"")</f>
        <v/>
      </c>
      <c r="X126" s="37" t="str">
        <f aca="false">IF(O126="Yes",COUNTIF($O$5:O126,"Yes"),"")</f>
        <v/>
      </c>
    </row>
    <row r="127" customFormat="false" ht="15" hidden="false" customHeight="false" outlineLevel="0" collapsed="false">
      <c r="A127" s="35" t="s">
        <v>436</v>
      </c>
      <c r="B127" s="35" t="s">
        <v>437</v>
      </c>
      <c r="C127" s="35" t="s">
        <v>103</v>
      </c>
      <c r="D127" s="35" t="s">
        <v>239</v>
      </c>
      <c r="E127" s="35" t="s">
        <v>247</v>
      </c>
      <c r="F127" s="42" t="n">
        <v>108000</v>
      </c>
      <c r="G127" s="36" t="n">
        <v>45923</v>
      </c>
      <c r="H127" s="35" t="s">
        <v>54</v>
      </c>
      <c r="I127" s="35" t="s">
        <v>85</v>
      </c>
      <c r="J127" s="35" t="s">
        <v>78</v>
      </c>
      <c r="K127" s="35" t="s">
        <v>94</v>
      </c>
      <c r="L127" s="48" t="n">
        <f aca="false">IFERROR(AVERAGEIFS('Score Entry'!$M$5:$M$1276,'Score Entry'!$B$5:$B$1276,A127,'Score Entry'!$E$5:$E$1276,"Primary"),"")</f>
        <v>78</v>
      </c>
      <c r="M127" s="48" t="n">
        <f aca="false">IFERROR(AVERAGEIFS('Score Entry'!$M$5:$M$1276,'Score Entry'!$B$5:$B$1276,A127,'Score Entry'!$E$5:$E$1276,"Secondary"),"")</f>
        <v>98</v>
      </c>
      <c r="N127" s="48" t="n">
        <f aca="false">IF(COUNT(L127:M127)=2,ABS(L127-M127),"")</f>
        <v>20</v>
      </c>
      <c r="O127" s="37" t="str">
        <f aca="false">IF(N127="","",IF(N127&gt;=Threshold,"Yes","No"))</f>
        <v>Yes</v>
      </c>
      <c r="P127" s="48" t="n">
        <f aca="false">IFERROR(AVERAGEIFS('Score Entry'!$M$5:$M$1276,'Score Entry'!$B$5:$B$1276,A127,'Score Entry'!$E$5:$E$1276,"Third"),"")</f>
        <v>77</v>
      </c>
      <c r="Q127" s="48" t="n">
        <f aca="false">IF(H127&lt;&gt;"Eligible","",IF(O127="Yes",IF(ISNUMBER(P127),ROUND(AVERAGE(L127,M127,P127),1),""),IF(O127="No",ROUND(AVERAGE(L127:M127),1),"")))</f>
        <v>84.3</v>
      </c>
      <c r="R127" s="37" t="str">
        <f aca="false">IF(H127&lt;&gt;"Eligible","Screened out",IF(COUNT(L127:M127)=0,"Not started",IF(COUNT(L127:M127)=1,"One read done",IF(O127="Yes",IF(ISNUMBER(P127),"Complete","Needs third read"),"Complete"))))</f>
        <v>Complete</v>
      </c>
      <c r="S127" s="37" t="n">
        <f aca="false">IF(Q127="","",COUNTIFS($C$5:$C$600,C127,$Q$5:$Q$600,"&gt;"&amp;Q127)+1)</f>
        <v>14</v>
      </c>
      <c r="T127" s="37" t="str">
        <f aca="false">IF(Q127="","",IF(Q127&gt;=Cutoff,"Yes","No"))</f>
        <v>No</v>
      </c>
      <c r="U127" s="49" t="n">
        <f aca="false">IF(T127="Yes",MIN(F127,INDEX(Settings!$G:$G,MATCH(C127,Settings!$E:$E,0))),0)</f>
        <v>0</v>
      </c>
      <c r="V127" s="49" t="str">
        <f aca="false">IF(T127="Yes",SUMIFS($U$5:$U$600,$C$5:$C$600,C127,$Q$5:$Q$600,"&gt;"&amp;Q127)+U127,"")</f>
        <v/>
      </c>
      <c r="W127" s="37" t="str">
        <f aca="false">IF(T127="Yes",IF(V127&lt;=INDEX(PoolList,MATCH(C127,ProgramList,0)),"Within pool","Over pool"),"")</f>
        <v/>
      </c>
      <c r="X127" s="37" t="n">
        <f aca="false">IF(O127="Yes",COUNTIF($O$5:O127,"Yes"),"")</f>
        <v>16</v>
      </c>
    </row>
    <row r="128" customFormat="false" ht="15" hidden="false" customHeight="false" outlineLevel="0" collapsed="false">
      <c r="A128" s="35" t="s">
        <v>438</v>
      </c>
      <c r="B128" s="35" t="s">
        <v>439</v>
      </c>
      <c r="C128" s="35" t="s">
        <v>103</v>
      </c>
      <c r="D128" s="35" t="s">
        <v>239</v>
      </c>
      <c r="E128" s="35" t="s">
        <v>247</v>
      </c>
      <c r="F128" s="42" t="n">
        <v>83000</v>
      </c>
      <c r="G128" s="36" t="n">
        <v>45927</v>
      </c>
      <c r="H128" s="35" t="s">
        <v>54</v>
      </c>
      <c r="I128" s="35" t="s">
        <v>85</v>
      </c>
      <c r="J128" s="35" t="s">
        <v>85</v>
      </c>
      <c r="K128" s="35"/>
      <c r="L128" s="48" t="n">
        <f aca="false">IFERROR(AVERAGEIFS('Score Entry'!$M$5:$M$1276,'Score Entry'!$B$5:$B$1276,A128,'Score Entry'!$E$5:$E$1276,"Primary"),"")</f>
        <v>79</v>
      </c>
      <c r="M128" s="48" t="n">
        <f aca="false">IFERROR(AVERAGEIFS('Score Entry'!$M$5:$M$1276,'Score Entry'!$B$5:$B$1276,A128,'Score Entry'!$E$5:$E$1276,"Secondary"),"")</f>
        <v>82</v>
      </c>
      <c r="N128" s="48" t="n">
        <f aca="false">IF(COUNT(L128:M128)=2,ABS(L128-M128),"")</f>
        <v>3</v>
      </c>
      <c r="O128" s="37" t="str">
        <f aca="false">IF(N128="","",IF(N128&gt;=Threshold,"Yes","No"))</f>
        <v>No</v>
      </c>
      <c r="P128" s="48" t="str">
        <f aca="false">IFERROR(AVERAGEIFS('Score Entry'!$M$5:$M$1276,'Score Entry'!$B$5:$B$1276,A128,'Score Entry'!$E$5:$E$1276,"Third"),"")</f>
        <v/>
      </c>
      <c r="Q128" s="48" t="n">
        <f aca="false">IF(H128&lt;&gt;"Eligible","",IF(O128="Yes",IF(ISNUMBER(P128),ROUND(AVERAGE(L128,M128,P128),1),""),IF(O128="No",ROUND(AVERAGE(L128:M128),1),"")))</f>
        <v>80.5</v>
      </c>
      <c r="R128" s="37" t="str">
        <f aca="false">IF(H128&lt;&gt;"Eligible","Screened out",IF(COUNT(L128:M128)=0,"Not started",IF(COUNT(L128:M128)=1,"One read done",IF(O128="Yes",IF(ISNUMBER(P128),"Complete","Needs third read"),"Complete"))))</f>
        <v>Complete</v>
      </c>
      <c r="S128" s="37" t="n">
        <f aca="false">IF(Q128="","",COUNTIFS($C$5:$C$600,C128,$Q$5:$Q$600,"&gt;"&amp;Q128)+1)</f>
        <v>20</v>
      </c>
      <c r="T128" s="37" t="str">
        <f aca="false">IF(Q128="","",IF(Q128&gt;=Cutoff,"Yes","No"))</f>
        <v>No</v>
      </c>
      <c r="U128" s="49" t="n">
        <f aca="false">IF(T128="Yes",MIN(F128,INDEX(Settings!$G:$G,MATCH(C128,Settings!$E:$E,0))),0)</f>
        <v>0</v>
      </c>
      <c r="V128" s="49" t="str">
        <f aca="false">IF(T128="Yes",SUMIFS($U$5:$U$600,$C$5:$C$600,C128,$Q$5:$Q$600,"&gt;"&amp;Q128)+U128,"")</f>
        <v/>
      </c>
      <c r="W128" s="37" t="str">
        <f aca="false">IF(T128="Yes",IF(V128&lt;=INDEX(PoolList,MATCH(C128,ProgramList,0)),"Within pool","Over pool"),"")</f>
        <v/>
      </c>
      <c r="X128" s="37" t="str">
        <f aca="false">IF(O128="Yes",COUNTIF($O$5:O128,"Yes"),"")</f>
        <v/>
      </c>
    </row>
    <row r="129" customFormat="false" ht="15" hidden="false" customHeight="false" outlineLevel="0" collapsed="false">
      <c r="A129" s="35" t="s">
        <v>440</v>
      </c>
      <c r="B129" s="35" t="s">
        <v>441</v>
      </c>
      <c r="C129" s="35" t="s">
        <v>103</v>
      </c>
      <c r="D129" s="35" t="s">
        <v>174</v>
      </c>
      <c r="E129" s="35" t="s">
        <v>175</v>
      </c>
      <c r="F129" s="42" t="n">
        <v>104500</v>
      </c>
      <c r="G129" s="36" t="n">
        <v>45927</v>
      </c>
      <c r="H129" s="35" t="s">
        <v>54</v>
      </c>
      <c r="I129" s="35" t="s">
        <v>88</v>
      </c>
      <c r="J129" s="35" t="s">
        <v>91</v>
      </c>
      <c r="K129" s="35"/>
      <c r="L129" s="48" t="n">
        <f aca="false">IFERROR(AVERAGEIFS('Score Entry'!$M$5:$M$1276,'Score Entry'!$B$5:$B$1276,A129,'Score Entry'!$E$5:$E$1276,"Primary"),"")</f>
        <v>58</v>
      </c>
      <c r="M129" s="48" t="n">
        <f aca="false">IFERROR(AVERAGEIFS('Score Entry'!$M$5:$M$1276,'Score Entry'!$B$5:$B$1276,A129,'Score Entry'!$E$5:$E$1276,"Secondary"),"")</f>
        <v>54</v>
      </c>
      <c r="N129" s="48" t="n">
        <f aca="false">IF(COUNT(L129:M129)=2,ABS(L129-M129),"")</f>
        <v>4</v>
      </c>
      <c r="O129" s="37" t="str">
        <f aca="false">IF(N129="","",IF(N129&gt;=Threshold,"Yes","No"))</f>
        <v>No</v>
      </c>
      <c r="P129" s="48" t="str">
        <f aca="false">IFERROR(AVERAGEIFS('Score Entry'!$M$5:$M$1276,'Score Entry'!$B$5:$B$1276,A129,'Score Entry'!$E$5:$E$1276,"Third"),"")</f>
        <v/>
      </c>
      <c r="Q129" s="48" t="n">
        <f aca="false">IF(H129&lt;&gt;"Eligible","",IF(O129="Yes",IF(ISNUMBER(P129),ROUND(AVERAGE(L129,M129,P129),1),""),IF(O129="No",ROUND(AVERAGE(L129:M129),1),"")))</f>
        <v>56</v>
      </c>
      <c r="R129" s="37" t="str">
        <f aca="false">IF(H129&lt;&gt;"Eligible","Screened out",IF(COUNT(L129:M129)=0,"Not started",IF(COUNT(L129:M129)=1,"One read done",IF(O129="Yes",IF(ISNUMBER(P129),"Complete","Needs third read"),"Complete"))))</f>
        <v>Complete</v>
      </c>
      <c r="S129" s="37" t="n">
        <f aca="false">IF(Q129="","",COUNTIFS($C$5:$C$600,C129,$Q$5:$Q$600,"&gt;"&amp;Q129)+1)</f>
        <v>126</v>
      </c>
      <c r="T129" s="37" t="str">
        <f aca="false">IF(Q129="","",IF(Q129&gt;=Cutoff,"Yes","No"))</f>
        <v>No</v>
      </c>
      <c r="U129" s="49" t="n">
        <f aca="false">IF(T129="Yes",MIN(F129,INDEX(Settings!$G:$G,MATCH(C129,Settings!$E:$E,0))),0)</f>
        <v>0</v>
      </c>
      <c r="V129" s="49" t="str">
        <f aca="false">IF(T129="Yes",SUMIFS($U$5:$U$600,$C$5:$C$600,C129,$Q$5:$Q$600,"&gt;"&amp;Q129)+U129,"")</f>
        <v/>
      </c>
      <c r="W129" s="37" t="str">
        <f aca="false">IF(T129="Yes",IF(V129&lt;=INDEX(PoolList,MATCH(C129,ProgramList,0)),"Within pool","Over pool"),"")</f>
        <v/>
      </c>
      <c r="X129" s="37" t="str">
        <f aca="false">IF(O129="Yes",COUNTIF($O$5:O129,"Yes"),"")</f>
        <v/>
      </c>
    </row>
    <row r="130" customFormat="false" ht="15" hidden="false" customHeight="false" outlineLevel="0" collapsed="false">
      <c r="A130" s="35" t="s">
        <v>442</v>
      </c>
      <c r="B130" s="35" t="s">
        <v>443</v>
      </c>
      <c r="C130" s="35" t="s">
        <v>106</v>
      </c>
      <c r="D130" s="35" t="s">
        <v>174</v>
      </c>
      <c r="E130" s="35" t="s">
        <v>175</v>
      </c>
      <c r="F130" s="42" t="n">
        <v>69000</v>
      </c>
      <c r="G130" s="36" t="n">
        <v>45927</v>
      </c>
      <c r="H130" s="35" t="s">
        <v>54</v>
      </c>
      <c r="I130" s="35" t="s">
        <v>78</v>
      </c>
      <c r="J130" s="35" t="s">
        <v>82</v>
      </c>
      <c r="K130" s="35"/>
      <c r="L130" s="48" t="n">
        <f aca="false">IFERROR(AVERAGEIFS('Score Entry'!$M$5:$M$1276,'Score Entry'!$B$5:$B$1276,A130,'Score Entry'!$E$5:$E$1276,"Primary"),"")</f>
        <v>72</v>
      </c>
      <c r="M130" s="48" t="n">
        <f aca="false">IFERROR(AVERAGEIFS('Score Entry'!$M$5:$M$1276,'Score Entry'!$B$5:$B$1276,A130,'Score Entry'!$E$5:$E$1276,"Secondary"),"")</f>
        <v>65</v>
      </c>
      <c r="N130" s="48" t="n">
        <f aca="false">IF(COUNT(L130:M130)=2,ABS(L130-M130),"")</f>
        <v>7</v>
      </c>
      <c r="O130" s="37" t="str">
        <f aca="false">IF(N130="","",IF(N130&gt;=Threshold,"Yes","No"))</f>
        <v>No</v>
      </c>
      <c r="P130" s="48" t="str">
        <f aca="false">IFERROR(AVERAGEIFS('Score Entry'!$M$5:$M$1276,'Score Entry'!$B$5:$B$1276,A130,'Score Entry'!$E$5:$E$1276,"Third"),"")</f>
        <v/>
      </c>
      <c r="Q130" s="48" t="n">
        <f aca="false">IF(H130&lt;&gt;"Eligible","",IF(O130="Yes",IF(ISNUMBER(P130),ROUND(AVERAGE(L130,M130,P130),1),""),IF(O130="No",ROUND(AVERAGE(L130:M130),1),"")))</f>
        <v>68.5</v>
      </c>
      <c r="R130" s="37" t="str">
        <f aca="false">IF(H130&lt;&gt;"Eligible","Screened out",IF(COUNT(L130:M130)=0,"Not started",IF(COUNT(L130:M130)=1,"One read done",IF(O130="Yes",IF(ISNUMBER(P130),"Complete","Needs third read"),"Complete"))))</f>
        <v>Complete</v>
      </c>
      <c r="S130" s="37" t="n">
        <f aca="false">IF(Q130="","",COUNTIFS($C$5:$C$600,C130,$Q$5:$Q$600,"&gt;"&amp;Q130)+1)</f>
        <v>61</v>
      </c>
      <c r="T130" s="37" t="str">
        <f aca="false">IF(Q130="","",IF(Q130&gt;=Cutoff,"Yes","No"))</f>
        <v>No</v>
      </c>
      <c r="U130" s="49" t="n">
        <f aca="false">IF(T130="Yes",MIN(F130,INDEX(Settings!$G:$G,MATCH(C130,Settings!$E:$E,0))),0)</f>
        <v>0</v>
      </c>
      <c r="V130" s="49" t="str">
        <f aca="false">IF(T130="Yes",SUMIFS($U$5:$U$600,$C$5:$C$600,C130,$Q$5:$Q$600,"&gt;"&amp;Q130)+U130,"")</f>
        <v/>
      </c>
      <c r="W130" s="37" t="str">
        <f aca="false">IF(T130="Yes",IF(V130&lt;=INDEX(PoolList,MATCH(C130,ProgramList,0)),"Within pool","Over pool"),"")</f>
        <v/>
      </c>
      <c r="X130" s="37" t="str">
        <f aca="false">IF(O130="Yes",COUNTIF($O$5:O130,"Yes"),"")</f>
        <v/>
      </c>
    </row>
    <row r="131" customFormat="false" ht="15" hidden="false" customHeight="false" outlineLevel="0" collapsed="false">
      <c r="A131" s="35" t="s">
        <v>444</v>
      </c>
      <c r="B131" s="35" t="s">
        <v>445</v>
      </c>
      <c r="C131" s="35" t="s">
        <v>103</v>
      </c>
      <c r="D131" s="35" t="s">
        <v>174</v>
      </c>
      <c r="E131" s="35" t="s">
        <v>175</v>
      </c>
      <c r="F131" s="42" t="n">
        <v>53000</v>
      </c>
      <c r="G131" s="36" t="n">
        <v>45916</v>
      </c>
      <c r="H131" s="35" t="s">
        <v>54</v>
      </c>
      <c r="I131" s="35" t="s">
        <v>85</v>
      </c>
      <c r="J131" s="35" t="s">
        <v>88</v>
      </c>
      <c r="K131" s="35" t="s">
        <v>82</v>
      </c>
      <c r="L131" s="48" t="n">
        <f aca="false">IFERROR(AVERAGEIFS('Score Entry'!$M$5:$M$1276,'Score Entry'!$B$5:$B$1276,A131,'Score Entry'!$E$5:$E$1276,"Primary"),"")</f>
        <v>62</v>
      </c>
      <c r="M131" s="48" t="n">
        <f aca="false">IFERROR(AVERAGEIFS('Score Entry'!$M$5:$M$1276,'Score Entry'!$B$5:$B$1276,A131,'Score Entry'!$E$5:$E$1276,"Secondary"),"")</f>
        <v>100</v>
      </c>
      <c r="N131" s="48" t="n">
        <f aca="false">IF(COUNT(L131:M131)=2,ABS(L131-M131),"")</f>
        <v>38</v>
      </c>
      <c r="O131" s="37" t="str">
        <f aca="false">IF(N131="","",IF(N131&gt;=Threshold,"Yes","No"))</f>
        <v>Yes</v>
      </c>
      <c r="P131" s="48" t="n">
        <f aca="false">IFERROR(AVERAGEIFS('Score Entry'!$M$5:$M$1276,'Score Entry'!$B$5:$B$1276,A131,'Score Entry'!$E$5:$E$1276,"Third"),"")</f>
        <v>65</v>
      </c>
      <c r="Q131" s="48" t="n">
        <f aca="false">IF(H131&lt;&gt;"Eligible","",IF(O131="Yes",IF(ISNUMBER(P131),ROUND(AVERAGE(L131,M131,P131),1),""),IF(O131="No",ROUND(AVERAGE(L131:M131),1),"")))</f>
        <v>75.7</v>
      </c>
      <c r="R131" s="37" t="str">
        <f aca="false">IF(H131&lt;&gt;"Eligible","Screened out",IF(COUNT(L131:M131)=0,"Not started",IF(COUNT(L131:M131)=1,"One read done",IF(O131="Yes",IF(ISNUMBER(P131),"Complete","Needs third read"),"Complete"))))</f>
        <v>Complete</v>
      </c>
      <c r="S131" s="37" t="n">
        <f aca="false">IF(Q131="","",COUNTIFS($C$5:$C$600,C131,$Q$5:$Q$600,"&gt;"&amp;Q131)+1)</f>
        <v>41</v>
      </c>
      <c r="T131" s="37" t="str">
        <f aca="false">IF(Q131="","",IF(Q131&gt;=Cutoff,"Yes","No"))</f>
        <v>No</v>
      </c>
      <c r="U131" s="49" t="n">
        <f aca="false">IF(T131="Yes",MIN(F131,INDEX(Settings!$G:$G,MATCH(C131,Settings!$E:$E,0))),0)</f>
        <v>0</v>
      </c>
      <c r="V131" s="49" t="str">
        <f aca="false">IF(T131="Yes",SUMIFS($U$5:$U$600,$C$5:$C$600,C131,$Q$5:$Q$600,"&gt;"&amp;Q131)+U131,"")</f>
        <v/>
      </c>
      <c r="W131" s="37" t="str">
        <f aca="false">IF(T131="Yes",IF(V131&lt;=INDEX(PoolList,MATCH(C131,ProgramList,0)),"Within pool","Over pool"),"")</f>
        <v/>
      </c>
      <c r="X131" s="37" t="n">
        <f aca="false">IF(O131="Yes",COUNTIF($O$5:O131,"Yes"),"")</f>
        <v>17</v>
      </c>
    </row>
    <row r="132" customFormat="false" ht="15" hidden="false" customHeight="false" outlineLevel="0" collapsed="false">
      <c r="A132" s="35" t="s">
        <v>446</v>
      </c>
      <c r="B132" s="35" t="s">
        <v>447</v>
      </c>
      <c r="C132" s="35" t="s">
        <v>105</v>
      </c>
      <c r="D132" s="35" t="s">
        <v>174</v>
      </c>
      <c r="E132" s="35" t="s">
        <v>175</v>
      </c>
      <c r="F132" s="42" t="n">
        <v>70000</v>
      </c>
      <c r="G132" s="36" t="n">
        <v>45913</v>
      </c>
      <c r="H132" s="35" t="s">
        <v>54</v>
      </c>
      <c r="I132" s="35" t="s">
        <v>88</v>
      </c>
      <c r="J132" s="35" t="s">
        <v>91</v>
      </c>
      <c r="K132" s="35"/>
      <c r="L132" s="48" t="n">
        <f aca="false">IFERROR(AVERAGEIFS('Score Entry'!$M$5:$M$1276,'Score Entry'!$B$5:$B$1276,A132,'Score Entry'!$E$5:$E$1276,"Primary"),"")</f>
        <v>80</v>
      </c>
      <c r="M132" s="48" t="n">
        <f aca="false">IFERROR(AVERAGEIFS('Score Entry'!$M$5:$M$1276,'Score Entry'!$B$5:$B$1276,A132,'Score Entry'!$E$5:$E$1276,"Secondary"),"")</f>
        <v>76</v>
      </c>
      <c r="N132" s="48" t="n">
        <f aca="false">IF(COUNT(L132:M132)=2,ABS(L132-M132),"")</f>
        <v>4</v>
      </c>
      <c r="O132" s="37" t="str">
        <f aca="false">IF(N132="","",IF(N132&gt;=Threshold,"Yes","No"))</f>
        <v>No</v>
      </c>
      <c r="P132" s="48" t="str">
        <f aca="false">IFERROR(AVERAGEIFS('Score Entry'!$M$5:$M$1276,'Score Entry'!$B$5:$B$1276,A132,'Score Entry'!$E$5:$E$1276,"Third"),"")</f>
        <v/>
      </c>
      <c r="Q132" s="48" t="n">
        <f aca="false">IF(H132&lt;&gt;"Eligible","",IF(O132="Yes",IF(ISNUMBER(P132),ROUND(AVERAGE(L132,M132,P132),1),""),IF(O132="No",ROUND(AVERAGE(L132:M132),1),"")))</f>
        <v>78</v>
      </c>
      <c r="R132" s="37" t="str">
        <f aca="false">IF(H132&lt;&gt;"Eligible","Screened out",IF(COUNT(L132:M132)=0,"Not started",IF(COUNT(L132:M132)=1,"One read done",IF(O132="Yes",IF(ISNUMBER(P132),"Complete","Needs third read"),"Complete"))))</f>
        <v>Complete</v>
      </c>
      <c r="S132" s="37" t="n">
        <f aca="false">IF(Q132="","",COUNTIFS($C$5:$C$600,C132,$Q$5:$Q$600,"&gt;"&amp;Q132)+1)</f>
        <v>21</v>
      </c>
      <c r="T132" s="37" t="str">
        <f aca="false">IF(Q132="","",IF(Q132&gt;=Cutoff,"Yes","No"))</f>
        <v>No</v>
      </c>
      <c r="U132" s="49" t="n">
        <f aca="false">IF(T132="Yes",MIN(F132,INDEX(Settings!$G:$G,MATCH(C132,Settings!$E:$E,0))),0)</f>
        <v>0</v>
      </c>
      <c r="V132" s="49" t="str">
        <f aca="false">IF(T132="Yes",SUMIFS($U$5:$U$600,$C$5:$C$600,C132,$Q$5:$Q$600,"&gt;"&amp;Q132)+U132,"")</f>
        <v/>
      </c>
      <c r="W132" s="37" t="str">
        <f aca="false">IF(T132="Yes",IF(V132&lt;=INDEX(PoolList,MATCH(C132,ProgramList,0)),"Within pool","Over pool"),"")</f>
        <v/>
      </c>
      <c r="X132" s="37" t="str">
        <f aca="false">IF(O132="Yes",COUNTIF($O$5:O132,"Yes"),"")</f>
        <v/>
      </c>
    </row>
    <row r="133" customFormat="false" ht="15" hidden="false" customHeight="false" outlineLevel="0" collapsed="false">
      <c r="A133" s="35" t="s">
        <v>448</v>
      </c>
      <c r="B133" s="35" t="s">
        <v>449</v>
      </c>
      <c r="C133" s="35" t="s">
        <v>103</v>
      </c>
      <c r="D133" s="35" t="s">
        <v>180</v>
      </c>
      <c r="E133" s="35" t="s">
        <v>181</v>
      </c>
      <c r="F133" s="42" t="n">
        <v>107500</v>
      </c>
      <c r="G133" s="36" t="n">
        <v>45908</v>
      </c>
      <c r="H133" s="35" t="s">
        <v>54</v>
      </c>
      <c r="I133" s="35" t="s">
        <v>78</v>
      </c>
      <c r="J133" s="35" t="s">
        <v>94</v>
      </c>
      <c r="K133" s="35"/>
      <c r="L133" s="48" t="n">
        <f aca="false">IFERROR(AVERAGEIFS('Score Entry'!$M$5:$M$1276,'Score Entry'!$B$5:$B$1276,A133,'Score Entry'!$E$5:$E$1276,"Primary"),"")</f>
        <v>70</v>
      </c>
      <c r="M133" s="48" t="n">
        <f aca="false">IFERROR(AVERAGEIFS('Score Entry'!$M$5:$M$1276,'Score Entry'!$B$5:$B$1276,A133,'Score Entry'!$E$5:$E$1276,"Secondary"),"")</f>
        <v>67</v>
      </c>
      <c r="N133" s="48" t="n">
        <f aca="false">IF(COUNT(L133:M133)=2,ABS(L133-M133),"")</f>
        <v>3</v>
      </c>
      <c r="O133" s="37" t="str">
        <f aca="false">IF(N133="","",IF(N133&gt;=Threshold,"Yes","No"))</f>
        <v>No</v>
      </c>
      <c r="P133" s="48" t="str">
        <f aca="false">IFERROR(AVERAGEIFS('Score Entry'!$M$5:$M$1276,'Score Entry'!$B$5:$B$1276,A133,'Score Entry'!$E$5:$E$1276,"Third"),"")</f>
        <v/>
      </c>
      <c r="Q133" s="48" t="n">
        <f aca="false">IF(H133&lt;&gt;"Eligible","",IF(O133="Yes",IF(ISNUMBER(P133),ROUND(AVERAGE(L133,M133,P133),1),""),IF(O133="No",ROUND(AVERAGE(L133:M133),1),"")))</f>
        <v>68.5</v>
      </c>
      <c r="R133" s="37" t="str">
        <f aca="false">IF(H133&lt;&gt;"Eligible","Screened out",IF(COUNT(L133:M133)=0,"Not started",IF(COUNT(L133:M133)=1,"One read done",IF(O133="Yes",IF(ISNUMBER(P133),"Complete","Needs third read"),"Complete"))))</f>
        <v>Complete</v>
      </c>
      <c r="S133" s="37" t="n">
        <f aca="false">IF(Q133="","",COUNTIFS($C$5:$C$600,C133,$Q$5:$Q$600,"&gt;"&amp;Q133)+1)</f>
        <v>71</v>
      </c>
      <c r="T133" s="37" t="str">
        <f aca="false">IF(Q133="","",IF(Q133&gt;=Cutoff,"Yes","No"))</f>
        <v>No</v>
      </c>
      <c r="U133" s="49" t="n">
        <f aca="false">IF(T133="Yes",MIN(F133,INDEX(Settings!$G:$G,MATCH(C133,Settings!$E:$E,0))),0)</f>
        <v>0</v>
      </c>
      <c r="V133" s="49" t="str">
        <f aca="false">IF(T133="Yes",SUMIFS($U$5:$U$600,$C$5:$C$600,C133,$Q$5:$Q$600,"&gt;"&amp;Q133)+U133,"")</f>
        <v/>
      </c>
      <c r="W133" s="37" t="str">
        <f aca="false">IF(T133="Yes",IF(V133&lt;=INDEX(PoolList,MATCH(C133,ProgramList,0)),"Within pool","Over pool"),"")</f>
        <v/>
      </c>
      <c r="X133" s="37" t="str">
        <f aca="false">IF(O133="Yes",COUNTIF($O$5:O133,"Yes"),"")</f>
        <v/>
      </c>
    </row>
    <row r="134" customFormat="false" ht="15" hidden="false" customHeight="false" outlineLevel="0" collapsed="false">
      <c r="A134" s="35" t="s">
        <v>450</v>
      </c>
      <c r="B134" s="35" t="s">
        <v>451</v>
      </c>
      <c r="C134" s="35" t="s">
        <v>103</v>
      </c>
      <c r="D134" s="35" t="s">
        <v>221</v>
      </c>
      <c r="E134" s="35" t="s">
        <v>227</v>
      </c>
      <c r="F134" s="42" t="n">
        <v>70000</v>
      </c>
      <c r="G134" s="36" t="n">
        <v>45909</v>
      </c>
      <c r="H134" s="35" t="s">
        <v>54</v>
      </c>
      <c r="I134" s="35" t="s">
        <v>85</v>
      </c>
      <c r="J134" s="35" t="s">
        <v>82</v>
      </c>
      <c r="K134" s="35"/>
      <c r="L134" s="48" t="n">
        <f aca="false">IFERROR(AVERAGEIFS('Score Entry'!$M$5:$M$1276,'Score Entry'!$B$5:$B$1276,A134,'Score Entry'!$E$5:$E$1276,"Primary"),"")</f>
        <v>55</v>
      </c>
      <c r="M134" s="48" t="n">
        <f aca="false">IFERROR(AVERAGEIFS('Score Entry'!$M$5:$M$1276,'Score Entry'!$B$5:$B$1276,A134,'Score Entry'!$E$5:$E$1276,"Secondary"),"")</f>
        <v>56</v>
      </c>
      <c r="N134" s="48" t="n">
        <f aca="false">IF(COUNT(L134:M134)=2,ABS(L134-M134),"")</f>
        <v>1</v>
      </c>
      <c r="O134" s="37" t="str">
        <f aca="false">IF(N134="","",IF(N134&gt;=Threshold,"Yes","No"))</f>
        <v>No</v>
      </c>
      <c r="P134" s="48" t="str">
        <f aca="false">IFERROR(AVERAGEIFS('Score Entry'!$M$5:$M$1276,'Score Entry'!$B$5:$B$1276,A134,'Score Entry'!$E$5:$E$1276,"Third"),"")</f>
        <v/>
      </c>
      <c r="Q134" s="48" t="n">
        <f aca="false">IF(H134&lt;&gt;"Eligible","",IF(O134="Yes",IF(ISNUMBER(P134),ROUND(AVERAGE(L134,M134,P134),1),""),IF(O134="No",ROUND(AVERAGE(L134:M134),1),"")))</f>
        <v>55.5</v>
      </c>
      <c r="R134" s="37" t="str">
        <f aca="false">IF(H134&lt;&gt;"Eligible","Screened out",IF(COUNT(L134:M134)=0,"Not started",IF(COUNT(L134:M134)=1,"One read done",IF(O134="Yes",IF(ISNUMBER(P134),"Complete","Needs third read"),"Complete"))))</f>
        <v>Complete</v>
      </c>
      <c r="S134" s="37" t="n">
        <f aca="false">IF(Q134="","",COUNTIFS($C$5:$C$600,C134,$Q$5:$Q$600,"&gt;"&amp;Q134)+1)</f>
        <v>130</v>
      </c>
      <c r="T134" s="37" t="str">
        <f aca="false">IF(Q134="","",IF(Q134&gt;=Cutoff,"Yes","No"))</f>
        <v>No</v>
      </c>
      <c r="U134" s="49" t="n">
        <f aca="false">IF(T134="Yes",MIN(F134,INDEX(Settings!$G:$G,MATCH(C134,Settings!$E:$E,0))),0)</f>
        <v>0</v>
      </c>
      <c r="V134" s="49" t="str">
        <f aca="false">IF(T134="Yes",SUMIFS($U$5:$U$600,$C$5:$C$600,C134,$Q$5:$Q$600,"&gt;"&amp;Q134)+U134,"")</f>
        <v/>
      </c>
      <c r="W134" s="37" t="str">
        <f aca="false">IF(T134="Yes",IF(V134&lt;=INDEX(PoolList,MATCH(C134,ProgramList,0)),"Within pool","Over pool"),"")</f>
        <v/>
      </c>
      <c r="X134" s="37" t="str">
        <f aca="false">IF(O134="Yes",COUNTIF($O$5:O134,"Yes"),"")</f>
        <v/>
      </c>
    </row>
    <row r="135" customFormat="false" ht="15" hidden="false" customHeight="false" outlineLevel="0" collapsed="false">
      <c r="A135" s="35" t="s">
        <v>452</v>
      </c>
      <c r="B135" s="35" t="s">
        <v>453</v>
      </c>
      <c r="C135" s="35" t="s">
        <v>106</v>
      </c>
      <c r="D135" s="35" t="s">
        <v>180</v>
      </c>
      <c r="E135" s="35" t="s">
        <v>181</v>
      </c>
      <c r="F135" s="42" t="n">
        <v>97500</v>
      </c>
      <c r="G135" s="36" t="n">
        <v>45925</v>
      </c>
      <c r="H135" s="35" t="s">
        <v>54</v>
      </c>
      <c r="I135" s="35" t="s">
        <v>91</v>
      </c>
      <c r="J135" s="35" t="s">
        <v>85</v>
      </c>
      <c r="K135" s="35"/>
      <c r="L135" s="48" t="n">
        <f aca="false">IFERROR(AVERAGEIFS('Score Entry'!$M$5:$M$1276,'Score Entry'!$B$5:$B$1276,A135,'Score Entry'!$E$5:$E$1276,"Primary"),"")</f>
        <v>78</v>
      </c>
      <c r="M135" s="48" t="n">
        <f aca="false">IFERROR(AVERAGEIFS('Score Entry'!$M$5:$M$1276,'Score Entry'!$B$5:$B$1276,A135,'Score Entry'!$E$5:$E$1276,"Secondary"),"")</f>
        <v>83</v>
      </c>
      <c r="N135" s="48" t="n">
        <f aca="false">IF(COUNT(L135:M135)=2,ABS(L135-M135),"")</f>
        <v>5</v>
      </c>
      <c r="O135" s="37" t="str">
        <f aca="false">IF(N135="","",IF(N135&gt;=Threshold,"Yes","No"))</f>
        <v>No</v>
      </c>
      <c r="P135" s="48" t="str">
        <f aca="false">IFERROR(AVERAGEIFS('Score Entry'!$M$5:$M$1276,'Score Entry'!$B$5:$B$1276,A135,'Score Entry'!$E$5:$E$1276,"Third"),"")</f>
        <v/>
      </c>
      <c r="Q135" s="48" t="n">
        <f aca="false">IF(H135&lt;&gt;"Eligible","",IF(O135="Yes",IF(ISNUMBER(P135),ROUND(AVERAGE(L135,M135,P135),1),""),IF(O135="No",ROUND(AVERAGE(L135:M135),1),"")))</f>
        <v>80.5</v>
      </c>
      <c r="R135" s="37" t="str">
        <f aca="false">IF(H135&lt;&gt;"Eligible","Screened out",IF(COUNT(L135:M135)=0,"Not started",IF(COUNT(L135:M135)=1,"One read done",IF(O135="Yes",IF(ISNUMBER(P135),"Complete","Needs third read"),"Complete"))))</f>
        <v>Complete</v>
      </c>
      <c r="S135" s="37" t="n">
        <f aca="false">IF(Q135="","",COUNTIFS($C$5:$C$600,C135,$Q$5:$Q$600,"&gt;"&amp;Q135)+1)</f>
        <v>19</v>
      </c>
      <c r="T135" s="37" t="str">
        <f aca="false">IF(Q135="","",IF(Q135&gt;=Cutoff,"Yes","No"))</f>
        <v>No</v>
      </c>
      <c r="U135" s="49" t="n">
        <f aca="false">IF(T135="Yes",MIN(F135,INDEX(Settings!$G:$G,MATCH(C135,Settings!$E:$E,0))),0)</f>
        <v>0</v>
      </c>
      <c r="V135" s="49" t="str">
        <f aca="false">IF(T135="Yes",SUMIFS($U$5:$U$600,$C$5:$C$600,C135,$Q$5:$Q$600,"&gt;"&amp;Q135)+U135,"")</f>
        <v/>
      </c>
      <c r="W135" s="37" t="str">
        <f aca="false">IF(T135="Yes",IF(V135&lt;=INDEX(PoolList,MATCH(C135,ProgramList,0)),"Within pool","Over pool"),"")</f>
        <v/>
      </c>
      <c r="X135" s="37" t="str">
        <f aca="false">IF(O135="Yes",COUNTIF($O$5:O135,"Yes"),"")</f>
        <v/>
      </c>
    </row>
    <row r="136" customFormat="false" ht="15" hidden="false" customHeight="false" outlineLevel="0" collapsed="false">
      <c r="A136" s="35" t="s">
        <v>454</v>
      </c>
      <c r="B136" s="35" t="s">
        <v>455</v>
      </c>
      <c r="C136" s="35" t="s">
        <v>106</v>
      </c>
      <c r="D136" s="35" t="s">
        <v>174</v>
      </c>
      <c r="E136" s="35" t="s">
        <v>175</v>
      </c>
      <c r="F136" s="42" t="n">
        <v>114500</v>
      </c>
      <c r="G136" s="36" t="n">
        <v>45916</v>
      </c>
      <c r="H136" s="35" t="s">
        <v>54</v>
      </c>
      <c r="I136" s="35" t="s">
        <v>88</v>
      </c>
      <c r="J136" s="35" t="s">
        <v>82</v>
      </c>
      <c r="K136" s="35"/>
      <c r="L136" s="48" t="str">
        <f aca="false">IFERROR(AVERAGEIFS('Score Entry'!$M$5:$M$1276,'Score Entry'!$B$5:$B$1276,A136,'Score Entry'!$E$5:$E$1276,"Primary"),"")</f>
        <v/>
      </c>
      <c r="M136" s="48" t="n">
        <f aca="false">IFERROR(AVERAGEIFS('Score Entry'!$M$5:$M$1276,'Score Entry'!$B$5:$B$1276,A136,'Score Entry'!$E$5:$E$1276,"Secondary"),"")</f>
        <v>80</v>
      </c>
      <c r="N136" s="48" t="str">
        <f aca="false">IF(COUNT(L136:M136)=2,ABS(L136-M136),"")</f>
        <v/>
      </c>
      <c r="O136" s="37" t="str">
        <f aca="false">IF(N136="","",IF(N136&gt;=Threshold,"Yes","No"))</f>
        <v/>
      </c>
      <c r="P136" s="48" t="str">
        <f aca="false">IFERROR(AVERAGEIFS('Score Entry'!$M$5:$M$1276,'Score Entry'!$B$5:$B$1276,A136,'Score Entry'!$E$5:$E$1276,"Third"),"")</f>
        <v/>
      </c>
      <c r="Q136" s="48" t="str">
        <f aca="false">IF(H136&lt;&gt;"Eligible","",IF(O136="Yes",IF(ISNUMBER(P136),ROUND(AVERAGE(L136,M136,P136),1),""),IF(O136="No",ROUND(AVERAGE(L136:M136),1),"")))</f>
        <v/>
      </c>
      <c r="R136" s="37" t="str">
        <f aca="false">IF(H136&lt;&gt;"Eligible","Screened out",IF(COUNT(L136:M136)=0,"Not started",IF(COUNT(L136:M136)=1,"One read done",IF(O136="Yes",IF(ISNUMBER(P136),"Complete","Needs third read"),"Complete"))))</f>
        <v>One read done</v>
      </c>
      <c r="S136" s="37" t="str">
        <f aca="false">IF(Q136="","",COUNTIFS($C$5:$C$600,C136,$Q$5:$Q$600,"&gt;"&amp;Q136)+1)</f>
        <v/>
      </c>
      <c r="T136" s="37" t="str">
        <f aca="false">IF(Q136="","",IF(Q136&gt;=Cutoff,"Yes","No"))</f>
        <v/>
      </c>
      <c r="U136" s="49" t="n">
        <f aca="false">IF(T136="Yes",MIN(F136,INDEX(Settings!$G:$G,MATCH(C136,Settings!$E:$E,0))),0)</f>
        <v>0</v>
      </c>
      <c r="V136" s="49" t="str">
        <f aca="false">IF(T136="Yes",SUMIFS($U$5:$U$600,$C$5:$C$600,C136,$Q$5:$Q$600,"&gt;"&amp;Q136)+U136,"")</f>
        <v/>
      </c>
      <c r="W136" s="37" t="str">
        <f aca="false">IF(T136="Yes",IF(V136&lt;=INDEX(PoolList,MATCH(C136,ProgramList,0)),"Within pool","Over pool"),"")</f>
        <v/>
      </c>
      <c r="X136" s="37" t="str">
        <f aca="false">IF(O136="Yes",COUNTIF($O$5:O136,"Yes"),"")</f>
        <v/>
      </c>
    </row>
    <row r="137" customFormat="false" ht="15" hidden="false" customHeight="false" outlineLevel="0" collapsed="false">
      <c r="A137" s="35" t="s">
        <v>456</v>
      </c>
      <c r="B137" s="35" t="s">
        <v>457</v>
      </c>
      <c r="C137" s="35" t="s">
        <v>103</v>
      </c>
      <c r="D137" s="35" t="s">
        <v>174</v>
      </c>
      <c r="E137" s="35" t="s">
        <v>175</v>
      </c>
      <c r="F137" s="42" t="n">
        <v>67500</v>
      </c>
      <c r="G137" s="36" t="n">
        <v>45908</v>
      </c>
      <c r="H137" s="35" t="s">
        <v>54</v>
      </c>
      <c r="I137" s="35" t="s">
        <v>78</v>
      </c>
      <c r="J137" s="35" t="s">
        <v>94</v>
      </c>
      <c r="K137" s="35" t="s">
        <v>88</v>
      </c>
      <c r="L137" s="48" t="n">
        <f aca="false">IFERROR(AVERAGEIFS('Score Entry'!$M$5:$M$1276,'Score Entry'!$B$5:$B$1276,A137,'Score Entry'!$E$5:$E$1276,"Primary"),"")</f>
        <v>60</v>
      </c>
      <c r="M137" s="48" t="n">
        <f aca="false">IFERROR(AVERAGEIFS('Score Entry'!$M$5:$M$1276,'Score Entry'!$B$5:$B$1276,A137,'Score Entry'!$E$5:$E$1276,"Secondary"),"")</f>
        <v>40</v>
      </c>
      <c r="N137" s="48" t="n">
        <f aca="false">IF(COUNT(L137:M137)=2,ABS(L137-M137),"")</f>
        <v>20</v>
      </c>
      <c r="O137" s="37" t="str">
        <f aca="false">IF(N137="","",IF(N137&gt;=Threshold,"Yes","No"))</f>
        <v>Yes</v>
      </c>
      <c r="P137" s="48" t="n">
        <f aca="false">IFERROR(AVERAGEIFS('Score Entry'!$M$5:$M$1276,'Score Entry'!$B$5:$B$1276,A137,'Score Entry'!$E$5:$E$1276,"Third"),"")</f>
        <v>44</v>
      </c>
      <c r="Q137" s="48" t="n">
        <f aca="false">IF(H137&lt;&gt;"Eligible","",IF(O137="Yes",IF(ISNUMBER(P137),ROUND(AVERAGE(L137,M137,P137),1),""),IF(O137="No",ROUND(AVERAGE(L137:M137),1),"")))</f>
        <v>48</v>
      </c>
      <c r="R137" s="37" t="str">
        <f aca="false">IF(H137&lt;&gt;"Eligible","Screened out",IF(COUNT(L137:M137)=0,"Not started",IF(COUNT(L137:M137)=1,"One read done",IF(O137="Yes",IF(ISNUMBER(P137),"Complete","Needs third read"),"Complete"))))</f>
        <v>Complete</v>
      </c>
      <c r="S137" s="37" t="n">
        <f aca="false">IF(Q137="","",COUNTIFS($C$5:$C$600,C137,$Q$5:$Q$600,"&gt;"&amp;Q137)+1)</f>
        <v>154</v>
      </c>
      <c r="T137" s="37" t="str">
        <f aca="false">IF(Q137="","",IF(Q137&gt;=Cutoff,"Yes","No"))</f>
        <v>No</v>
      </c>
      <c r="U137" s="49" t="n">
        <f aca="false">IF(T137="Yes",MIN(F137,INDEX(Settings!$G:$G,MATCH(C137,Settings!$E:$E,0))),0)</f>
        <v>0</v>
      </c>
      <c r="V137" s="49" t="str">
        <f aca="false">IF(T137="Yes",SUMIFS($U$5:$U$600,$C$5:$C$600,C137,$Q$5:$Q$600,"&gt;"&amp;Q137)+U137,"")</f>
        <v/>
      </c>
      <c r="W137" s="37" t="str">
        <f aca="false">IF(T137="Yes",IF(V137&lt;=INDEX(PoolList,MATCH(C137,ProgramList,0)),"Within pool","Over pool"),"")</f>
        <v/>
      </c>
      <c r="X137" s="37" t="n">
        <f aca="false">IF(O137="Yes",COUNTIF($O$5:O137,"Yes"),"")</f>
        <v>18</v>
      </c>
    </row>
    <row r="138" customFormat="false" ht="15" hidden="false" customHeight="false" outlineLevel="0" collapsed="false">
      <c r="A138" s="35" t="s">
        <v>458</v>
      </c>
      <c r="B138" s="35" t="s">
        <v>459</v>
      </c>
      <c r="C138" s="35" t="s">
        <v>105</v>
      </c>
      <c r="D138" s="35" t="s">
        <v>174</v>
      </c>
      <c r="E138" s="35" t="s">
        <v>232</v>
      </c>
      <c r="F138" s="42" t="n">
        <v>78000</v>
      </c>
      <c r="G138" s="36" t="n">
        <v>45919</v>
      </c>
      <c r="H138" s="35" t="s">
        <v>54</v>
      </c>
      <c r="I138" s="35" t="s">
        <v>94</v>
      </c>
      <c r="J138" s="35" t="s">
        <v>85</v>
      </c>
      <c r="K138" s="35"/>
      <c r="L138" s="48" t="n">
        <f aca="false">IFERROR(AVERAGEIFS('Score Entry'!$M$5:$M$1276,'Score Entry'!$B$5:$B$1276,A138,'Score Entry'!$E$5:$E$1276,"Primary"),"")</f>
        <v>60</v>
      </c>
      <c r="M138" s="48" t="n">
        <f aca="false">IFERROR(AVERAGEIFS('Score Entry'!$M$5:$M$1276,'Score Entry'!$B$5:$B$1276,A138,'Score Entry'!$E$5:$E$1276,"Secondary"),"")</f>
        <v>63</v>
      </c>
      <c r="N138" s="48" t="n">
        <f aca="false">IF(COUNT(L138:M138)=2,ABS(L138-M138),"")</f>
        <v>3</v>
      </c>
      <c r="O138" s="37" t="str">
        <f aca="false">IF(N138="","",IF(N138&gt;=Threshold,"Yes","No"))</f>
        <v>No</v>
      </c>
      <c r="P138" s="48" t="str">
        <f aca="false">IFERROR(AVERAGEIFS('Score Entry'!$M$5:$M$1276,'Score Entry'!$B$5:$B$1276,A138,'Score Entry'!$E$5:$E$1276,"Third"),"")</f>
        <v/>
      </c>
      <c r="Q138" s="48" t="n">
        <f aca="false">IF(H138&lt;&gt;"Eligible","",IF(O138="Yes",IF(ISNUMBER(P138),ROUND(AVERAGE(L138,M138,P138),1),""),IF(O138="No",ROUND(AVERAGE(L138:M138),1),"")))</f>
        <v>61.5</v>
      </c>
      <c r="R138" s="37" t="str">
        <f aca="false">IF(H138&lt;&gt;"Eligible","Screened out",IF(COUNT(L138:M138)=0,"Not started",IF(COUNT(L138:M138)=1,"One read done",IF(O138="Yes",IF(ISNUMBER(P138),"Complete","Needs third read"),"Complete"))))</f>
        <v>Complete</v>
      </c>
      <c r="S138" s="37" t="n">
        <f aca="false">IF(Q138="","",COUNTIFS($C$5:$C$600,C138,$Q$5:$Q$600,"&gt;"&amp;Q138)+1)</f>
        <v>67</v>
      </c>
      <c r="T138" s="37" t="str">
        <f aca="false">IF(Q138="","",IF(Q138&gt;=Cutoff,"Yes","No"))</f>
        <v>No</v>
      </c>
      <c r="U138" s="49" t="n">
        <f aca="false">IF(T138="Yes",MIN(F138,INDEX(Settings!$G:$G,MATCH(C138,Settings!$E:$E,0))),0)</f>
        <v>0</v>
      </c>
      <c r="V138" s="49" t="str">
        <f aca="false">IF(T138="Yes",SUMIFS($U$5:$U$600,$C$5:$C$600,C138,$Q$5:$Q$600,"&gt;"&amp;Q138)+U138,"")</f>
        <v/>
      </c>
      <c r="W138" s="37" t="str">
        <f aca="false">IF(T138="Yes",IF(V138&lt;=INDEX(PoolList,MATCH(C138,ProgramList,0)),"Within pool","Over pool"),"")</f>
        <v/>
      </c>
      <c r="X138" s="37" t="str">
        <f aca="false">IF(O138="Yes",COUNTIF($O$5:O138,"Yes"),"")</f>
        <v/>
      </c>
    </row>
    <row r="139" customFormat="false" ht="15" hidden="false" customHeight="false" outlineLevel="0" collapsed="false">
      <c r="A139" s="35" t="s">
        <v>460</v>
      </c>
      <c r="B139" s="35" t="s">
        <v>461</v>
      </c>
      <c r="C139" s="35" t="s">
        <v>103</v>
      </c>
      <c r="D139" s="35" t="s">
        <v>239</v>
      </c>
      <c r="E139" s="35" t="s">
        <v>240</v>
      </c>
      <c r="F139" s="42" t="n">
        <v>55500</v>
      </c>
      <c r="G139" s="36" t="n">
        <v>45920</v>
      </c>
      <c r="H139" s="35" t="s">
        <v>54</v>
      </c>
      <c r="I139" s="35" t="s">
        <v>88</v>
      </c>
      <c r="J139" s="35" t="s">
        <v>91</v>
      </c>
      <c r="K139" s="35"/>
      <c r="L139" s="48" t="n">
        <f aca="false">IFERROR(AVERAGEIFS('Score Entry'!$M$5:$M$1276,'Score Entry'!$B$5:$B$1276,A139,'Score Entry'!$E$5:$E$1276,"Primary"),"")</f>
        <v>42</v>
      </c>
      <c r="M139" s="48" t="n">
        <f aca="false">IFERROR(AVERAGEIFS('Score Entry'!$M$5:$M$1276,'Score Entry'!$B$5:$B$1276,A139,'Score Entry'!$E$5:$E$1276,"Secondary"),"")</f>
        <v>57</v>
      </c>
      <c r="N139" s="48" t="n">
        <f aca="false">IF(COUNT(L139:M139)=2,ABS(L139-M139),"")</f>
        <v>15</v>
      </c>
      <c r="O139" s="37" t="str">
        <f aca="false">IF(N139="","",IF(N139&gt;=Threshold,"Yes","No"))</f>
        <v>No</v>
      </c>
      <c r="P139" s="48" t="str">
        <f aca="false">IFERROR(AVERAGEIFS('Score Entry'!$M$5:$M$1276,'Score Entry'!$B$5:$B$1276,A139,'Score Entry'!$E$5:$E$1276,"Third"),"")</f>
        <v/>
      </c>
      <c r="Q139" s="48" t="n">
        <f aca="false">IF(H139&lt;&gt;"Eligible","",IF(O139="Yes",IF(ISNUMBER(P139),ROUND(AVERAGE(L139,M139,P139),1),""),IF(O139="No",ROUND(AVERAGE(L139:M139),1),"")))</f>
        <v>49.5</v>
      </c>
      <c r="R139" s="37" t="str">
        <f aca="false">IF(H139&lt;&gt;"Eligible","Screened out",IF(COUNT(L139:M139)=0,"Not started",IF(COUNT(L139:M139)=1,"One read done",IF(O139="Yes",IF(ISNUMBER(P139),"Complete","Needs third read"),"Complete"))))</f>
        <v>Complete</v>
      </c>
      <c r="S139" s="37" t="n">
        <f aca="false">IF(Q139="","",COUNTIFS($C$5:$C$600,C139,$Q$5:$Q$600,"&gt;"&amp;Q139)+1)</f>
        <v>153</v>
      </c>
      <c r="T139" s="37" t="str">
        <f aca="false">IF(Q139="","",IF(Q139&gt;=Cutoff,"Yes","No"))</f>
        <v>No</v>
      </c>
      <c r="U139" s="49" t="n">
        <f aca="false">IF(T139="Yes",MIN(F139,INDEX(Settings!$G:$G,MATCH(C139,Settings!$E:$E,0))),0)</f>
        <v>0</v>
      </c>
      <c r="V139" s="49" t="str">
        <f aca="false">IF(T139="Yes",SUMIFS($U$5:$U$600,$C$5:$C$600,C139,$Q$5:$Q$600,"&gt;"&amp;Q139)+U139,"")</f>
        <v/>
      </c>
      <c r="W139" s="37" t="str">
        <f aca="false">IF(T139="Yes",IF(V139&lt;=INDEX(PoolList,MATCH(C139,ProgramList,0)),"Within pool","Over pool"),"")</f>
        <v/>
      </c>
      <c r="X139" s="37" t="str">
        <f aca="false">IF(O139="Yes",COUNTIF($O$5:O139,"Yes"),"")</f>
        <v/>
      </c>
    </row>
    <row r="140" customFormat="false" ht="15" hidden="false" customHeight="false" outlineLevel="0" collapsed="false">
      <c r="A140" s="35" t="s">
        <v>462</v>
      </c>
      <c r="B140" s="35" t="s">
        <v>463</v>
      </c>
      <c r="C140" s="35" t="s">
        <v>104</v>
      </c>
      <c r="D140" s="35" t="s">
        <v>174</v>
      </c>
      <c r="E140" s="35" t="s">
        <v>232</v>
      </c>
      <c r="F140" s="42" t="n">
        <v>155500</v>
      </c>
      <c r="G140" s="36" t="n">
        <v>45908</v>
      </c>
      <c r="H140" s="35" t="s">
        <v>54</v>
      </c>
      <c r="I140" s="35" t="s">
        <v>82</v>
      </c>
      <c r="J140" s="35" t="s">
        <v>78</v>
      </c>
      <c r="K140" s="35"/>
      <c r="L140" s="48" t="n">
        <f aca="false">IFERROR(AVERAGEIFS('Score Entry'!$M$5:$M$1276,'Score Entry'!$B$5:$B$1276,A140,'Score Entry'!$E$5:$E$1276,"Primary"),"")</f>
        <v>57</v>
      </c>
      <c r="M140" s="48" t="n">
        <f aca="false">IFERROR(AVERAGEIFS('Score Entry'!$M$5:$M$1276,'Score Entry'!$B$5:$B$1276,A140,'Score Entry'!$E$5:$E$1276,"Secondary"),"")</f>
        <v>64</v>
      </c>
      <c r="N140" s="48" t="n">
        <f aca="false">IF(COUNT(L140:M140)=2,ABS(L140-M140),"")</f>
        <v>7</v>
      </c>
      <c r="O140" s="37" t="str">
        <f aca="false">IF(N140="","",IF(N140&gt;=Threshold,"Yes","No"))</f>
        <v>No</v>
      </c>
      <c r="P140" s="48" t="str">
        <f aca="false">IFERROR(AVERAGEIFS('Score Entry'!$M$5:$M$1276,'Score Entry'!$B$5:$B$1276,A140,'Score Entry'!$E$5:$E$1276,"Third"),"")</f>
        <v/>
      </c>
      <c r="Q140" s="48" t="n">
        <f aca="false">IF(H140&lt;&gt;"Eligible","",IF(O140="Yes",IF(ISNUMBER(P140),ROUND(AVERAGE(L140,M140,P140),1),""),IF(O140="No",ROUND(AVERAGE(L140:M140),1),"")))</f>
        <v>60.5</v>
      </c>
      <c r="R140" s="37" t="str">
        <f aca="false">IF(H140&lt;&gt;"Eligible","Screened out",IF(COUNT(L140:M140)=0,"Not started",IF(COUNT(L140:M140)=1,"One read done",IF(O140="Yes",IF(ISNUMBER(P140),"Complete","Needs third read"),"Complete"))))</f>
        <v>Complete</v>
      </c>
      <c r="S140" s="37" t="n">
        <f aca="false">IF(Q140="","",COUNTIFS($C$5:$C$600,C140,$Q$5:$Q$600,"&gt;"&amp;Q140)+1)</f>
        <v>76</v>
      </c>
      <c r="T140" s="37" t="str">
        <f aca="false">IF(Q140="","",IF(Q140&gt;=Cutoff,"Yes","No"))</f>
        <v>No</v>
      </c>
      <c r="U140" s="49" t="n">
        <f aca="false">IF(T140="Yes",MIN(F140,INDEX(Settings!$G:$G,MATCH(C140,Settings!$E:$E,0))),0)</f>
        <v>0</v>
      </c>
      <c r="V140" s="49" t="str">
        <f aca="false">IF(T140="Yes",SUMIFS($U$5:$U$600,$C$5:$C$600,C140,$Q$5:$Q$600,"&gt;"&amp;Q140)+U140,"")</f>
        <v/>
      </c>
      <c r="W140" s="37" t="str">
        <f aca="false">IF(T140="Yes",IF(V140&lt;=INDEX(PoolList,MATCH(C140,ProgramList,0)),"Within pool","Over pool"),"")</f>
        <v/>
      </c>
      <c r="X140" s="37" t="str">
        <f aca="false">IF(O140="Yes",COUNTIF($O$5:O140,"Yes"),"")</f>
        <v/>
      </c>
    </row>
    <row r="141" customFormat="false" ht="15" hidden="false" customHeight="false" outlineLevel="0" collapsed="false">
      <c r="A141" s="35" t="s">
        <v>464</v>
      </c>
      <c r="B141" s="35" t="s">
        <v>465</v>
      </c>
      <c r="C141" s="35" t="s">
        <v>104</v>
      </c>
      <c r="D141" s="35" t="s">
        <v>174</v>
      </c>
      <c r="E141" s="35" t="s">
        <v>232</v>
      </c>
      <c r="F141" s="42" t="n">
        <v>39500</v>
      </c>
      <c r="G141" s="36" t="n">
        <v>45917</v>
      </c>
      <c r="H141" s="35" t="s">
        <v>54</v>
      </c>
      <c r="I141" s="35" t="s">
        <v>85</v>
      </c>
      <c r="J141" s="35" t="s">
        <v>82</v>
      </c>
      <c r="K141" s="35"/>
      <c r="L141" s="48" t="n">
        <f aca="false">IFERROR(AVERAGEIFS('Score Entry'!$M$5:$M$1276,'Score Entry'!$B$5:$B$1276,A141,'Score Entry'!$E$5:$E$1276,"Primary"),"")</f>
        <v>69</v>
      </c>
      <c r="M141" s="48" t="n">
        <f aca="false">IFERROR(AVERAGEIFS('Score Entry'!$M$5:$M$1276,'Score Entry'!$B$5:$B$1276,A141,'Score Entry'!$E$5:$E$1276,"Secondary"),"")</f>
        <v>64</v>
      </c>
      <c r="N141" s="48" t="n">
        <f aca="false">IF(COUNT(L141:M141)=2,ABS(L141-M141),"")</f>
        <v>5</v>
      </c>
      <c r="O141" s="37" t="str">
        <f aca="false">IF(N141="","",IF(N141&gt;=Threshold,"Yes","No"))</f>
        <v>No</v>
      </c>
      <c r="P141" s="48" t="str">
        <f aca="false">IFERROR(AVERAGEIFS('Score Entry'!$M$5:$M$1276,'Score Entry'!$B$5:$B$1276,A141,'Score Entry'!$E$5:$E$1276,"Third"),"")</f>
        <v/>
      </c>
      <c r="Q141" s="48" t="n">
        <f aca="false">IF(H141&lt;&gt;"Eligible","",IF(O141="Yes",IF(ISNUMBER(P141),ROUND(AVERAGE(L141,M141,P141),1),""),IF(O141="No",ROUND(AVERAGE(L141:M141),1),"")))</f>
        <v>66.5</v>
      </c>
      <c r="R141" s="37" t="str">
        <f aca="false">IF(H141&lt;&gt;"Eligible","Screened out",IF(COUNT(L141:M141)=0,"Not started",IF(COUNT(L141:M141)=1,"One read done",IF(O141="Yes",IF(ISNUMBER(P141),"Complete","Needs third read"),"Complete"))))</f>
        <v>Complete</v>
      </c>
      <c r="S141" s="37" t="n">
        <f aca="false">IF(Q141="","",COUNTIFS($C$5:$C$600,C141,$Q$5:$Q$600,"&gt;"&amp;Q141)+1)</f>
        <v>53</v>
      </c>
      <c r="T141" s="37" t="str">
        <f aca="false">IF(Q141="","",IF(Q141&gt;=Cutoff,"Yes","No"))</f>
        <v>No</v>
      </c>
      <c r="U141" s="49" t="n">
        <f aca="false">IF(T141="Yes",MIN(F141,INDEX(Settings!$G:$G,MATCH(C141,Settings!$E:$E,0))),0)</f>
        <v>0</v>
      </c>
      <c r="V141" s="49" t="str">
        <f aca="false">IF(T141="Yes",SUMIFS($U$5:$U$600,$C$5:$C$600,C141,$Q$5:$Q$600,"&gt;"&amp;Q141)+U141,"")</f>
        <v/>
      </c>
      <c r="W141" s="37" t="str">
        <f aca="false">IF(T141="Yes",IF(V141&lt;=INDEX(PoolList,MATCH(C141,ProgramList,0)),"Within pool","Over pool"),"")</f>
        <v/>
      </c>
      <c r="X141" s="37" t="str">
        <f aca="false">IF(O141="Yes",COUNTIF($O$5:O141,"Yes"),"")</f>
        <v/>
      </c>
    </row>
    <row r="142" customFormat="false" ht="15" hidden="false" customHeight="false" outlineLevel="0" collapsed="false">
      <c r="A142" s="35" t="s">
        <v>466</v>
      </c>
      <c r="B142" s="35" t="s">
        <v>467</v>
      </c>
      <c r="C142" s="35" t="s">
        <v>106</v>
      </c>
      <c r="D142" s="35" t="s">
        <v>174</v>
      </c>
      <c r="E142" s="35" t="s">
        <v>175</v>
      </c>
      <c r="F142" s="42" t="n">
        <v>80000</v>
      </c>
      <c r="G142" s="36" t="n">
        <v>45913</v>
      </c>
      <c r="H142" s="35" t="s">
        <v>54</v>
      </c>
      <c r="I142" s="35" t="s">
        <v>91</v>
      </c>
      <c r="J142" s="35" t="s">
        <v>88</v>
      </c>
      <c r="K142" s="35"/>
      <c r="L142" s="48" t="str">
        <f aca="false">IFERROR(AVERAGEIFS('Score Entry'!$M$5:$M$1276,'Score Entry'!$B$5:$B$1276,A142,'Score Entry'!$E$5:$E$1276,"Primary"),"")</f>
        <v/>
      </c>
      <c r="M142" s="48" t="n">
        <f aca="false">IFERROR(AVERAGEIFS('Score Entry'!$M$5:$M$1276,'Score Entry'!$B$5:$B$1276,A142,'Score Entry'!$E$5:$E$1276,"Secondary"),"")</f>
        <v>85</v>
      </c>
      <c r="N142" s="48" t="str">
        <f aca="false">IF(COUNT(L142:M142)=2,ABS(L142-M142),"")</f>
        <v/>
      </c>
      <c r="O142" s="37" t="str">
        <f aca="false">IF(N142="","",IF(N142&gt;=Threshold,"Yes","No"))</f>
        <v/>
      </c>
      <c r="P142" s="48" t="str">
        <f aca="false">IFERROR(AVERAGEIFS('Score Entry'!$M$5:$M$1276,'Score Entry'!$B$5:$B$1276,A142,'Score Entry'!$E$5:$E$1276,"Third"),"")</f>
        <v/>
      </c>
      <c r="Q142" s="48" t="str">
        <f aca="false">IF(H142&lt;&gt;"Eligible","",IF(O142="Yes",IF(ISNUMBER(P142),ROUND(AVERAGE(L142,M142,P142),1),""),IF(O142="No",ROUND(AVERAGE(L142:M142),1),"")))</f>
        <v/>
      </c>
      <c r="R142" s="37" t="str">
        <f aca="false">IF(H142&lt;&gt;"Eligible","Screened out",IF(COUNT(L142:M142)=0,"Not started",IF(COUNT(L142:M142)=1,"One read done",IF(O142="Yes",IF(ISNUMBER(P142),"Complete","Needs third read"),"Complete"))))</f>
        <v>One read done</v>
      </c>
      <c r="S142" s="37" t="str">
        <f aca="false">IF(Q142="","",COUNTIFS($C$5:$C$600,C142,$Q$5:$Q$600,"&gt;"&amp;Q142)+1)</f>
        <v/>
      </c>
      <c r="T142" s="37" t="str">
        <f aca="false">IF(Q142="","",IF(Q142&gt;=Cutoff,"Yes","No"))</f>
        <v/>
      </c>
      <c r="U142" s="49" t="n">
        <f aca="false">IF(T142="Yes",MIN(F142,INDEX(Settings!$G:$G,MATCH(C142,Settings!$E:$E,0))),0)</f>
        <v>0</v>
      </c>
      <c r="V142" s="49" t="str">
        <f aca="false">IF(T142="Yes",SUMIFS($U$5:$U$600,$C$5:$C$600,C142,$Q$5:$Q$600,"&gt;"&amp;Q142)+U142,"")</f>
        <v/>
      </c>
      <c r="W142" s="37" t="str">
        <f aca="false">IF(T142="Yes",IF(V142&lt;=INDEX(PoolList,MATCH(C142,ProgramList,0)),"Within pool","Over pool"),"")</f>
        <v/>
      </c>
      <c r="X142" s="37" t="str">
        <f aca="false">IF(O142="Yes",COUNTIF($O$5:O142,"Yes"),"")</f>
        <v/>
      </c>
    </row>
    <row r="143" customFormat="false" ht="15" hidden="false" customHeight="false" outlineLevel="0" collapsed="false">
      <c r="A143" s="35" t="s">
        <v>468</v>
      </c>
      <c r="B143" s="35" t="s">
        <v>469</v>
      </c>
      <c r="C143" s="35" t="s">
        <v>106</v>
      </c>
      <c r="D143" s="35" t="s">
        <v>174</v>
      </c>
      <c r="E143" s="35" t="s">
        <v>232</v>
      </c>
      <c r="F143" s="42" t="n">
        <v>84000</v>
      </c>
      <c r="G143" s="36" t="n">
        <v>45918</v>
      </c>
      <c r="H143" s="35" t="s">
        <v>54</v>
      </c>
      <c r="I143" s="35" t="s">
        <v>85</v>
      </c>
      <c r="J143" s="35" t="s">
        <v>94</v>
      </c>
      <c r="K143" s="35"/>
      <c r="L143" s="48" t="n">
        <f aca="false">IFERROR(AVERAGEIFS('Score Entry'!$M$5:$M$1276,'Score Entry'!$B$5:$B$1276,A143,'Score Entry'!$E$5:$E$1276,"Primary"),"")</f>
        <v>58</v>
      </c>
      <c r="M143" s="48" t="n">
        <f aca="false">IFERROR(AVERAGEIFS('Score Entry'!$M$5:$M$1276,'Score Entry'!$B$5:$B$1276,A143,'Score Entry'!$E$5:$E$1276,"Secondary"),"")</f>
        <v>68</v>
      </c>
      <c r="N143" s="48" t="n">
        <f aca="false">IF(COUNT(L143:M143)=2,ABS(L143-M143),"")</f>
        <v>10</v>
      </c>
      <c r="O143" s="37" t="str">
        <f aca="false">IF(N143="","",IF(N143&gt;=Threshold,"Yes","No"))</f>
        <v>No</v>
      </c>
      <c r="P143" s="48" t="str">
        <f aca="false">IFERROR(AVERAGEIFS('Score Entry'!$M$5:$M$1276,'Score Entry'!$B$5:$B$1276,A143,'Score Entry'!$E$5:$E$1276,"Third"),"")</f>
        <v/>
      </c>
      <c r="Q143" s="48" t="n">
        <f aca="false">IF(H143&lt;&gt;"Eligible","",IF(O143="Yes",IF(ISNUMBER(P143),ROUND(AVERAGE(L143,M143,P143),1),""),IF(O143="No",ROUND(AVERAGE(L143:M143),1),"")))</f>
        <v>63</v>
      </c>
      <c r="R143" s="37" t="str">
        <f aca="false">IF(H143&lt;&gt;"Eligible","Screened out",IF(COUNT(L143:M143)=0,"Not started",IF(COUNT(L143:M143)=1,"One read done",IF(O143="Yes",IF(ISNUMBER(P143),"Complete","Needs third read"),"Complete"))))</f>
        <v>Complete</v>
      </c>
      <c r="S143" s="37" t="n">
        <f aca="false">IF(Q143="","",COUNTIFS($C$5:$C$600,C143,$Q$5:$Q$600,"&gt;"&amp;Q143)+1)</f>
        <v>76</v>
      </c>
      <c r="T143" s="37" t="str">
        <f aca="false">IF(Q143="","",IF(Q143&gt;=Cutoff,"Yes","No"))</f>
        <v>No</v>
      </c>
      <c r="U143" s="49" t="n">
        <f aca="false">IF(T143="Yes",MIN(F143,INDEX(Settings!$G:$G,MATCH(C143,Settings!$E:$E,0))),0)</f>
        <v>0</v>
      </c>
      <c r="V143" s="49" t="str">
        <f aca="false">IF(T143="Yes",SUMIFS($U$5:$U$600,$C$5:$C$600,C143,$Q$5:$Q$600,"&gt;"&amp;Q143)+U143,"")</f>
        <v/>
      </c>
      <c r="W143" s="37" t="str">
        <f aca="false">IF(T143="Yes",IF(V143&lt;=INDEX(PoolList,MATCH(C143,ProgramList,0)),"Within pool","Over pool"),"")</f>
        <v/>
      </c>
      <c r="X143" s="37" t="str">
        <f aca="false">IF(O143="Yes",COUNTIF($O$5:O143,"Yes"),"")</f>
        <v/>
      </c>
    </row>
    <row r="144" customFormat="false" ht="15" hidden="false" customHeight="false" outlineLevel="0" collapsed="false">
      <c r="A144" s="35" t="s">
        <v>470</v>
      </c>
      <c r="B144" s="35" t="s">
        <v>471</v>
      </c>
      <c r="C144" s="35" t="s">
        <v>104</v>
      </c>
      <c r="D144" s="35" t="s">
        <v>174</v>
      </c>
      <c r="E144" s="35" t="s">
        <v>175</v>
      </c>
      <c r="F144" s="42" t="n">
        <v>53500</v>
      </c>
      <c r="G144" s="36" t="n">
        <v>45917</v>
      </c>
      <c r="H144" s="35" t="s">
        <v>54</v>
      </c>
      <c r="I144" s="35" t="s">
        <v>78</v>
      </c>
      <c r="J144" s="35" t="s">
        <v>85</v>
      </c>
      <c r="K144" s="35" t="s">
        <v>94</v>
      </c>
      <c r="L144" s="48" t="n">
        <f aca="false">IFERROR(AVERAGEIFS('Score Entry'!$M$5:$M$1276,'Score Entry'!$B$5:$B$1276,A144,'Score Entry'!$E$5:$E$1276,"Primary"),"")</f>
        <v>42</v>
      </c>
      <c r="M144" s="48" t="n">
        <f aca="false">IFERROR(AVERAGEIFS('Score Entry'!$M$5:$M$1276,'Score Entry'!$B$5:$B$1276,A144,'Score Entry'!$E$5:$E$1276,"Secondary"),"")</f>
        <v>62</v>
      </c>
      <c r="N144" s="48" t="n">
        <f aca="false">IF(COUNT(L144:M144)=2,ABS(L144-M144),"")</f>
        <v>20</v>
      </c>
      <c r="O144" s="37" t="str">
        <f aca="false">IF(N144="","",IF(N144&gt;=Threshold,"Yes","No"))</f>
        <v>Yes</v>
      </c>
      <c r="P144" s="48" t="n">
        <f aca="false">IFERROR(AVERAGEIFS('Score Entry'!$M$5:$M$1276,'Score Entry'!$B$5:$B$1276,A144,'Score Entry'!$E$5:$E$1276,"Third"),"")</f>
        <v>63</v>
      </c>
      <c r="Q144" s="48" t="n">
        <f aca="false">IF(H144&lt;&gt;"Eligible","",IF(O144="Yes",IF(ISNUMBER(P144),ROUND(AVERAGE(L144,M144,P144),1),""),IF(O144="No",ROUND(AVERAGE(L144:M144),1),"")))</f>
        <v>55.7</v>
      </c>
      <c r="R144" s="37" t="str">
        <f aca="false">IF(H144&lt;&gt;"Eligible","Screened out",IF(COUNT(L144:M144)=0,"Not started",IF(COUNT(L144:M144)=1,"One read done",IF(O144="Yes",IF(ISNUMBER(P144),"Complete","Needs third read"),"Complete"))))</f>
        <v>Complete</v>
      </c>
      <c r="S144" s="37" t="n">
        <f aca="false">IF(Q144="","",COUNTIFS($C$5:$C$600,C144,$Q$5:$Q$600,"&gt;"&amp;Q144)+1)</f>
        <v>89</v>
      </c>
      <c r="T144" s="37" t="str">
        <f aca="false">IF(Q144="","",IF(Q144&gt;=Cutoff,"Yes","No"))</f>
        <v>No</v>
      </c>
      <c r="U144" s="49" t="n">
        <f aca="false">IF(T144="Yes",MIN(F144,INDEX(Settings!$G:$G,MATCH(C144,Settings!$E:$E,0))),0)</f>
        <v>0</v>
      </c>
      <c r="V144" s="49" t="str">
        <f aca="false">IF(T144="Yes",SUMIFS($U$5:$U$600,$C$5:$C$600,C144,$Q$5:$Q$600,"&gt;"&amp;Q144)+U144,"")</f>
        <v/>
      </c>
      <c r="W144" s="37" t="str">
        <f aca="false">IF(T144="Yes",IF(V144&lt;=INDEX(PoolList,MATCH(C144,ProgramList,0)),"Within pool","Over pool"),"")</f>
        <v/>
      </c>
      <c r="X144" s="37" t="n">
        <f aca="false">IF(O144="Yes",COUNTIF($O$5:O144,"Yes"),"")</f>
        <v>19</v>
      </c>
    </row>
    <row r="145" customFormat="false" ht="15" hidden="false" customHeight="false" outlineLevel="0" collapsed="false">
      <c r="A145" s="35" t="s">
        <v>472</v>
      </c>
      <c r="B145" s="35" t="s">
        <v>473</v>
      </c>
      <c r="C145" s="35" t="s">
        <v>106</v>
      </c>
      <c r="D145" s="35" t="s">
        <v>174</v>
      </c>
      <c r="E145" s="35" t="s">
        <v>175</v>
      </c>
      <c r="F145" s="42" t="n">
        <v>45000</v>
      </c>
      <c r="G145" s="36" t="n">
        <v>45913</v>
      </c>
      <c r="H145" s="35" t="s">
        <v>54</v>
      </c>
      <c r="I145" s="35" t="s">
        <v>88</v>
      </c>
      <c r="J145" s="35" t="s">
        <v>78</v>
      </c>
      <c r="K145" s="35"/>
      <c r="L145" s="48" t="n">
        <f aca="false">IFERROR(AVERAGEIFS('Score Entry'!$M$5:$M$1276,'Score Entry'!$B$5:$B$1276,A145,'Score Entry'!$E$5:$E$1276,"Primary"),"")</f>
        <v>80</v>
      </c>
      <c r="M145" s="48" t="n">
        <f aca="false">IFERROR(AVERAGEIFS('Score Entry'!$M$5:$M$1276,'Score Entry'!$B$5:$B$1276,A145,'Score Entry'!$E$5:$E$1276,"Secondary"),"")</f>
        <v>69</v>
      </c>
      <c r="N145" s="48" t="n">
        <f aca="false">IF(COUNT(L145:M145)=2,ABS(L145-M145),"")</f>
        <v>11</v>
      </c>
      <c r="O145" s="37" t="str">
        <f aca="false">IF(N145="","",IF(N145&gt;=Threshold,"Yes","No"))</f>
        <v>No</v>
      </c>
      <c r="P145" s="48" t="str">
        <f aca="false">IFERROR(AVERAGEIFS('Score Entry'!$M$5:$M$1276,'Score Entry'!$B$5:$B$1276,A145,'Score Entry'!$E$5:$E$1276,"Third"),"")</f>
        <v/>
      </c>
      <c r="Q145" s="48" t="n">
        <f aca="false">IF(H145&lt;&gt;"Eligible","",IF(O145="Yes",IF(ISNUMBER(P145),ROUND(AVERAGE(L145,M145,P145),1),""),IF(O145="No",ROUND(AVERAGE(L145:M145),1),"")))</f>
        <v>74.5</v>
      </c>
      <c r="R145" s="37" t="str">
        <f aca="false">IF(H145&lt;&gt;"Eligible","Screened out",IF(COUNT(L145:M145)=0,"Not started",IF(COUNT(L145:M145)=1,"One read done",IF(O145="Yes",IF(ISNUMBER(P145),"Complete","Needs third read"),"Complete"))))</f>
        <v>Complete</v>
      </c>
      <c r="S145" s="37" t="n">
        <f aca="false">IF(Q145="","",COUNTIFS($C$5:$C$600,C145,$Q$5:$Q$600,"&gt;"&amp;Q145)+1)</f>
        <v>40</v>
      </c>
      <c r="T145" s="37" t="str">
        <f aca="false">IF(Q145="","",IF(Q145&gt;=Cutoff,"Yes","No"))</f>
        <v>No</v>
      </c>
      <c r="U145" s="49" t="n">
        <f aca="false">IF(T145="Yes",MIN(F145,INDEX(Settings!$G:$G,MATCH(C145,Settings!$E:$E,0))),0)</f>
        <v>0</v>
      </c>
      <c r="V145" s="49" t="str">
        <f aca="false">IF(T145="Yes",SUMIFS($U$5:$U$600,$C$5:$C$600,C145,$Q$5:$Q$600,"&gt;"&amp;Q145)+U145,"")</f>
        <v/>
      </c>
      <c r="W145" s="37" t="str">
        <f aca="false">IF(T145="Yes",IF(V145&lt;=INDEX(PoolList,MATCH(C145,ProgramList,0)),"Within pool","Over pool"),"")</f>
        <v/>
      </c>
      <c r="X145" s="37" t="str">
        <f aca="false">IF(O145="Yes",COUNTIF($O$5:O145,"Yes"),"")</f>
        <v/>
      </c>
    </row>
    <row r="146" customFormat="false" ht="15" hidden="false" customHeight="false" outlineLevel="0" collapsed="false">
      <c r="A146" s="35" t="s">
        <v>474</v>
      </c>
      <c r="B146" s="35" t="s">
        <v>475</v>
      </c>
      <c r="C146" s="35" t="s">
        <v>103</v>
      </c>
      <c r="D146" s="35" t="s">
        <v>174</v>
      </c>
      <c r="E146" s="35" t="s">
        <v>175</v>
      </c>
      <c r="F146" s="42" t="n">
        <v>41500</v>
      </c>
      <c r="G146" s="36" t="n">
        <v>45918</v>
      </c>
      <c r="H146" s="35" t="s">
        <v>54</v>
      </c>
      <c r="I146" s="35" t="s">
        <v>82</v>
      </c>
      <c r="J146" s="35" t="s">
        <v>91</v>
      </c>
      <c r="K146" s="35"/>
      <c r="L146" s="48" t="n">
        <f aca="false">IFERROR(AVERAGEIFS('Score Entry'!$M$5:$M$1276,'Score Entry'!$B$5:$B$1276,A146,'Score Entry'!$E$5:$E$1276,"Primary"),"")</f>
        <v>58</v>
      </c>
      <c r="M146" s="48" t="n">
        <f aca="false">IFERROR(AVERAGEIFS('Score Entry'!$M$5:$M$1276,'Score Entry'!$B$5:$B$1276,A146,'Score Entry'!$E$5:$E$1276,"Secondary"),"")</f>
        <v>64</v>
      </c>
      <c r="N146" s="48" t="n">
        <f aca="false">IF(COUNT(L146:M146)=2,ABS(L146-M146),"")</f>
        <v>6</v>
      </c>
      <c r="O146" s="37" t="str">
        <f aca="false">IF(N146="","",IF(N146&gt;=Threshold,"Yes","No"))</f>
        <v>No</v>
      </c>
      <c r="P146" s="48" t="str">
        <f aca="false">IFERROR(AVERAGEIFS('Score Entry'!$M$5:$M$1276,'Score Entry'!$B$5:$B$1276,A146,'Score Entry'!$E$5:$E$1276,"Third"),"")</f>
        <v/>
      </c>
      <c r="Q146" s="48" t="n">
        <f aca="false">IF(H146&lt;&gt;"Eligible","",IF(O146="Yes",IF(ISNUMBER(P146),ROUND(AVERAGE(L146,M146,P146),1),""),IF(O146="No",ROUND(AVERAGE(L146:M146),1),"")))</f>
        <v>61</v>
      </c>
      <c r="R146" s="37" t="str">
        <f aca="false">IF(H146&lt;&gt;"Eligible","Screened out",IF(COUNT(L146:M146)=0,"Not started",IF(COUNT(L146:M146)=1,"One read done",IF(O146="Yes",IF(ISNUMBER(P146),"Complete","Needs third read"),"Complete"))))</f>
        <v>Complete</v>
      </c>
      <c r="S146" s="37" t="n">
        <f aca="false">IF(Q146="","",COUNTIFS($C$5:$C$600,C146,$Q$5:$Q$600,"&gt;"&amp;Q146)+1)</f>
        <v>107</v>
      </c>
      <c r="T146" s="37" t="str">
        <f aca="false">IF(Q146="","",IF(Q146&gt;=Cutoff,"Yes","No"))</f>
        <v>No</v>
      </c>
      <c r="U146" s="49" t="n">
        <f aca="false">IF(T146="Yes",MIN(F146,INDEX(Settings!$G:$G,MATCH(C146,Settings!$E:$E,0))),0)</f>
        <v>0</v>
      </c>
      <c r="V146" s="49" t="str">
        <f aca="false">IF(T146="Yes",SUMIFS($U$5:$U$600,$C$5:$C$600,C146,$Q$5:$Q$600,"&gt;"&amp;Q146)+U146,"")</f>
        <v/>
      </c>
      <c r="W146" s="37" t="str">
        <f aca="false">IF(T146="Yes",IF(V146&lt;=INDEX(PoolList,MATCH(C146,ProgramList,0)),"Within pool","Over pool"),"")</f>
        <v/>
      </c>
      <c r="X146" s="37" t="str">
        <f aca="false">IF(O146="Yes",COUNTIF($O$5:O146,"Yes"),"")</f>
        <v/>
      </c>
    </row>
    <row r="147" customFormat="false" ht="15" hidden="false" customHeight="false" outlineLevel="0" collapsed="false">
      <c r="A147" s="35" t="s">
        <v>476</v>
      </c>
      <c r="B147" s="35" t="s">
        <v>477</v>
      </c>
      <c r="C147" s="35" t="s">
        <v>103</v>
      </c>
      <c r="D147" s="35" t="s">
        <v>174</v>
      </c>
      <c r="E147" s="35" t="s">
        <v>175</v>
      </c>
      <c r="F147" s="42" t="n">
        <v>108000</v>
      </c>
      <c r="G147" s="36" t="n">
        <v>45926</v>
      </c>
      <c r="H147" s="35" t="s">
        <v>54</v>
      </c>
      <c r="I147" s="35" t="s">
        <v>85</v>
      </c>
      <c r="J147" s="35" t="s">
        <v>78</v>
      </c>
      <c r="K147" s="35"/>
      <c r="L147" s="48" t="n">
        <f aca="false">IFERROR(AVERAGEIFS('Score Entry'!$M$5:$M$1276,'Score Entry'!$B$5:$B$1276,A147,'Score Entry'!$E$5:$E$1276,"Primary"),"")</f>
        <v>65</v>
      </c>
      <c r="M147" s="48" t="n">
        <f aca="false">IFERROR(AVERAGEIFS('Score Entry'!$M$5:$M$1276,'Score Entry'!$B$5:$B$1276,A147,'Score Entry'!$E$5:$E$1276,"Secondary"),"")</f>
        <v>69</v>
      </c>
      <c r="N147" s="48" t="n">
        <f aca="false">IF(COUNT(L147:M147)=2,ABS(L147-M147),"")</f>
        <v>4</v>
      </c>
      <c r="O147" s="37" t="str">
        <f aca="false">IF(N147="","",IF(N147&gt;=Threshold,"Yes","No"))</f>
        <v>No</v>
      </c>
      <c r="P147" s="48" t="str">
        <f aca="false">IFERROR(AVERAGEIFS('Score Entry'!$M$5:$M$1276,'Score Entry'!$B$5:$B$1276,A147,'Score Entry'!$E$5:$E$1276,"Third"),"")</f>
        <v/>
      </c>
      <c r="Q147" s="48" t="n">
        <f aca="false">IF(H147&lt;&gt;"Eligible","",IF(O147="Yes",IF(ISNUMBER(P147),ROUND(AVERAGE(L147,M147,P147),1),""),IF(O147="No",ROUND(AVERAGE(L147:M147),1),"")))</f>
        <v>67</v>
      </c>
      <c r="R147" s="37" t="str">
        <f aca="false">IF(H147&lt;&gt;"Eligible","Screened out",IF(COUNT(L147:M147)=0,"Not started",IF(COUNT(L147:M147)=1,"One read done",IF(O147="Yes",IF(ISNUMBER(P147),"Complete","Needs third read"),"Complete"))))</f>
        <v>Complete</v>
      </c>
      <c r="S147" s="37" t="n">
        <f aca="false">IF(Q147="","",COUNTIFS($C$5:$C$600,C147,$Q$5:$Q$600,"&gt;"&amp;Q147)+1)</f>
        <v>80</v>
      </c>
      <c r="T147" s="37" t="str">
        <f aca="false">IF(Q147="","",IF(Q147&gt;=Cutoff,"Yes","No"))</f>
        <v>No</v>
      </c>
      <c r="U147" s="49" t="n">
        <f aca="false">IF(T147="Yes",MIN(F147,INDEX(Settings!$G:$G,MATCH(C147,Settings!$E:$E,0))),0)</f>
        <v>0</v>
      </c>
      <c r="V147" s="49" t="str">
        <f aca="false">IF(T147="Yes",SUMIFS($U$5:$U$600,$C$5:$C$600,C147,$Q$5:$Q$600,"&gt;"&amp;Q147)+U147,"")</f>
        <v/>
      </c>
      <c r="W147" s="37" t="str">
        <f aca="false">IF(T147="Yes",IF(V147&lt;=INDEX(PoolList,MATCH(C147,ProgramList,0)),"Within pool","Over pool"),"")</f>
        <v/>
      </c>
      <c r="X147" s="37" t="str">
        <f aca="false">IF(O147="Yes",COUNTIF($O$5:O147,"Yes"),"")</f>
        <v/>
      </c>
    </row>
    <row r="148" customFormat="false" ht="15" hidden="false" customHeight="false" outlineLevel="0" collapsed="false">
      <c r="A148" s="35" t="s">
        <v>478</v>
      </c>
      <c r="B148" s="35" t="s">
        <v>479</v>
      </c>
      <c r="C148" s="35" t="s">
        <v>106</v>
      </c>
      <c r="D148" s="35" t="s">
        <v>174</v>
      </c>
      <c r="E148" s="35" t="s">
        <v>175</v>
      </c>
      <c r="F148" s="42" t="n">
        <v>63500</v>
      </c>
      <c r="G148" s="36" t="n">
        <v>45913</v>
      </c>
      <c r="H148" s="35" t="s">
        <v>54</v>
      </c>
      <c r="I148" s="35" t="s">
        <v>88</v>
      </c>
      <c r="J148" s="35" t="s">
        <v>82</v>
      </c>
      <c r="K148" s="35" t="s">
        <v>85</v>
      </c>
      <c r="L148" s="48" t="n">
        <f aca="false">IFERROR(AVERAGEIFS('Score Entry'!$M$5:$M$1276,'Score Entry'!$B$5:$B$1276,A148,'Score Entry'!$E$5:$E$1276,"Primary"),"")</f>
        <v>75</v>
      </c>
      <c r="M148" s="48" t="n">
        <f aca="false">IFERROR(AVERAGEIFS('Score Entry'!$M$5:$M$1276,'Score Entry'!$B$5:$B$1276,A148,'Score Entry'!$E$5:$E$1276,"Secondary"),"")</f>
        <v>36</v>
      </c>
      <c r="N148" s="48" t="n">
        <f aca="false">IF(COUNT(L148:M148)=2,ABS(L148-M148),"")</f>
        <v>39</v>
      </c>
      <c r="O148" s="37" t="str">
        <f aca="false">IF(N148="","",IF(N148&gt;=Threshold,"Yes","No"))</f>
        <v>Yes</v>
      </c>
      <c r="P148" s="48" t="n">
        <f aca="false">IFERROR(AVERAGEIFS('Score Entry'!$M$5:$M$1276,'Score Entry'!$B$5:$B$1276,A148,'Score Entry'!$E$5:$E$1276,"Third"),"")</f>
        <v>67</v>
      </c>
      <c r="Q148" s="48" t="n">
        <f aca="false">IF(H148&lt;&gt;"Eligible","",IF(O148="Yes",IF(ISNUMBER(P148),ROUND(AVERAGE(L148,M148,P148),1),""),IF(O148="No",ROUND(AVERAGE(L148:M148),1),"")))</f>
        <v>59.3</v>
      </c>
      <c r="R148" s="37" t="str">
        <f aca="false">IF(H148&lt;&gt;"Eligible","Screened out",IF(COUNT(L148:M148)=0,"Not started",IF(COUNT(L148:M148)=1,"One read done",IF(O148="Yes",IF(ISNUMBER(P148),"Complete","Needs third read"),"Complete"))))</f>
        <v>Complete</v>
      </c>
      <c r="S148" s="37" t="n">
        <f aca="false">IF(Q148="","",COUNTIFS($C$5:$C$600,C148,$Q$5:$Q$600,"&gt;"&amp;Q148)+1)</f>
        <v>88</v>
      </c>
      <c r="T148" s="37" t="str">
        <f aca="false">IF(Q148="","",IF(Q148&gt;=Cutoff,"Yes","No"))</f>
        <v>No</v>
      </c>
      <c r="U148" s="49" t="n">
        <f aca="false">IF(T148="Yes",MIN(F148,INDEX(Settings!$G:$G,MATCH(C148,Settings!$E:$E,0))),0)</f>
        <v>0</v>
      </c>
      <c r="V148" s="49" t="str">
        <f aca="false">IF(T148="Yes",SUMIFS($U$5:$U$600,$C$5:$C$600,C148,$Q$5:$Q$600,"&gt;"&amp;Q148)+U148,"")</f>
        <v/>
      </c>
      <c r="W148" s="37" t="str">
        <f aca="false">IF(T148="Yes",IF(V148&lt;=INDEX(PoolList,MATCH(C148,ProgramList,0)),"Within pool","Over pool"),"")</f>
        <v/>
      </c>
      <c r="X148" s="37" t="n">
        <f aca="false">IF(O148="Yes",COUNTIF($O$5:O148,"Yes"),"")</f>
        <v>20</v>
      </c>
    </row>
    <row r="149" customFormat="false" ht="15" hidden="false" customHeight="false" outlineLevel="0" collapsed="false">
      <c r="A149" s="35" t="s">
        <v>480</v>
      </c>
      <c r="B149" s="35" t="s">
        <v>481</v>
      </c>
      <c r="C149" s="35" t="s">
        <v>103</v>
      </c>
      <c r="D149" s="35" t="s">
        <v>174</v>
      </c>
      <c r="E149" s="35" t="s">
        <v>232</v>
      </c>
      <c r="F149" s="42" t="n">
        <v>66000</v>
      </c>
      <c r="G149" s="36" t="n">
        <v>45920</v>
      </c>
      <c r="H149" s="35" t="s">
        <v>54</v>
      </c>
      <c r="I149" s="35" t="s">
        <v>91</v>
      </c>
      <c r="J149" s="35" t="s">
        <v>94</v>
      </c>
      <c r="K149" s="35"/>
      <c r="L149" s="48" t="n">
        <f aca="false">IFERROR(AVERAGEIFS('Score Entry'!$M$5:$M$1276,'Score Entry'!$B$5:$B$1276,A149,'Score Entry'!$E$5:$E$1276,"Primary"),"")</f>
        <v>63</v>
      </c>
      <c r="M149" s="48" t="n">
        <f aca="false">IFERROR(AVERAGEIFS('Score Entry'!$M$5:$M$1276,'Score Entry'!$B$5:$B$1276,A149,'Score Entry'!$E$5:$E$1276,"Secondary"),"")</f>
        <v>76</v>
      </c>
      <c r="N149" s="48" t="n">
        <f aca="false">IF(COUNT(L149:M149)=2,ABS(L149-M149),"")</f>
        <v>13</v>
      </c>
      <c r="O149" s="37" t="str">
        <f aca="false">IF(N149="","",IF(N149&gt;=Threshold,"Yes","No"))</f>
        <v>No</v>
      </c>
      <c r="P149" s="48" t="str">
        <f aca="false">IFERROR(AVERAGEIFS('Score Entry'!$M$5:$M$1276,'Score Entry'!$B$5:$B$1276,A149,'Score Entry'!$E$5:$E$1276,"Third"),"")</f>
        <v/>
      </c>
      <c r="Q149" s="48" t="n">
        <f aca="false">IF(H149&lt;&gt;"Eligible","",IF(O149="Yes",IF(ISNUMBER(P149),ROUND(AVERAGE(L149,M149,P149),1),""),IF(O149="No",ROUND(AVERAGE(L149:M149),1),"")))</f>
        <v>69.5</v>
      </c>
      <c r="R149" s="37" t="str">
        <f aca="false">IF(H149&lt;&gt;"Eligible","Screened out",IF(COUNT(L149:M149)=0,"Not started",IF(COUNT(L149:M149)=1,"One read done",IF(O149="Yes",IF(ISNUMBER(P149),"Complete","Needs third read"),"Complete"))))</f>
        <v>Complete</v>
      </c>
      <c r="S149" s="37" t="n">
        <f aca="false">IF(Q149="","",COUNTIFS($C$5:$C$600,C149,$Q$5:$Q$600,"&gt;"&amp;Q149)+1)</f>
        <v>67</v>
      </c>
      <c r="T149" s="37" t="str">
        <f aca="false">IF(Q149="","",IF(Q149&gt;=Cutoff,"Yes","No"))</f>
        <v>No</v>
      </c>
      <c r="U149" s="49" t="n">
        <f aca="false">IF(T149="Yes",MIN(F149,INDEX(Settings!$G:$G,MATCH(C149,Settings!$E:$E,0))),0)</f>
        <v>0</v>
      </c>
      <c r="V149" s="49" t="str">
        <f aca="false">IF(T149="Yes",SUMIFS($U$5:$U$600,$C$5:$C$600,C149,$Q$5:$Q$600,"&gt;"&amp;Q149)+U149,"")</f>
        <v/>
      </c>
      <c r="W149" s="37" t="str">
        <f aca="false">IF(T149="Yes",IF(V149&lt;=INDEX(PoolList,MATCH(C149,ProgramList,0)),"Within pool","Over pool"),"")</f>
        <v/>
      </c>
      <c r="X149" s="37" t="str">
        <f aca="false">IF(O149="Yes",COUNTIF($O$5:O149,"Yes"),"")</f>
        <v/>
      </c>
    </row>
    <row r="150" customFormat="false" ht="15" hidden="false" customHeight="false" outlineLevel="0" collapsed="false">
      <c r="A150" s="35" t="s">
        <v>482</v>
      </c>
      <c r="B150" s="35" t="s">
        <v>483</v>
      </c>
      <c r="C150" s="35" t="s">
        <v>103</v>
      </c>
      <c r="D150" s="35" t="s">
        <v>221</v>
      </c>
      <c r="E150" s="35" t="s">
        <v>258</v>
      </c>
      <c r="F150" s="42" t="n">
        <v>49500</v>
      </c>
      <c r="G150" s="36" t="n">
        <v>45910</v>
      </c>
      <c r="H150" s="35" t="s">
        <v>54</v>
      </c>
      <c r="I150" s="35" t="s">
        <v>85</v>
      </c>
      <c r="J150" s="35" t="s">
        <v>78</v>
      </c>
      <c r="K150" s="35"/>
      <c r="L150" s="48" t="n">
        <f aca="false">IFERROR(AVERAGEIFS('Score Entry'!$M$5:$M$1276,'Score Entry'!$B$5:$B$1276,A150,'Score Entry'!$E$5:$E$1276,"Primary"),"")</f>
        <v>58</v>
      </c>
      <c r="M150" s="48" t="n">
        <f aca="false">IFERROR(AVERAGEIFS('Score Entry'!$M$5:$M$1276,'Score Entry'!$B$5:$B$1276,A150,'Score Entry'!$E$5:$E$1276,"Secondary"),"")</f>
        <v>63</v>
      </c>
      <c r="N150" s="48" t="n">
        <f aca="false">IF(COUNT(L150:M150)=2,ABS(L150-M150),"")</f>
        <v>5</v>
      </c>
      <c r="O150" s="37" t="str">
        <f aca="false">IF(N150="","",IF(N150&gt;=Threshold,"Yes","No"))</f>
        <v>No</v>
      </c>
      <c r="P150" s="48" t="str">
        <f aca="false">IFERROR(AVERAGEIFS('Score Entry'!$M$5:$M$1276,'Score Entry'!$B$5:$B$1276,A150,'Score Entry'!$E$5:$E$1276,"Third"),"")</f>
        <v/>
      </c>
      <c r="Q150" s="48" t="n">
        <f aca="false">IF(H150&lt;&gt;"Eligible","",IF(O150="Yes",IF(ISNUMBER(P150),ROUND(AVERAGE(L150,M150,P150),1),""),IF(O150="No",ROUND(AVERAGE(L150:M150),1),"")))</f>
        <v>60.5</v>
      </c>
      <c r="R150" s="37" t="str">
        <f aca="false">IF(H150&lt;&gt;"Eligible","Screened out",IF(COUNT(L150:M150)=0,"Not started",IF(COUNT(L150:M150)=1,"One read done",IF(O150="Yes",IF(ISNUMBER(P150),"Complete","Needs third read"),"Complete"))))</f>
        <v>Complete</v>
      </c>
      <c r="S150" s="37" t="n">
        <f aca="false">IF(Q150="","",COUNTIFS($C$5:$C$600,C150,$Q$5:$Q$600,"&gt;"&amp;Q150)+1)</f>
        <v>110</v>
      </c>
      <c r="T150" s="37" t="str">
        <f aca="false">IF(Q150="","",IF(Q150&gt;=Cutoff,"Yes","No"))</f>
        <v>No</v>
      </c>
      <c r="U150" s="49" t="n">
        <f aca="false">IF(T150="Yes",MIN(F150,INDEX(Settings!$G:$G,MATCH(C150,Settings!$E:$E,0))),0)</f>
        <v>0</v>
      </c>
      <c r="V150" s="49" t="str">
        <f aca="false">IF(T150="Yes",SUMIFS($U$5:$U$600,$C$5:$C$600,C150,$Q$5:$Q$600,"&gt;"&amp;Q150)+U150,"")</f>
        <v/>
      </c>
      <c r="W150" s="37" t="str">
        <f aca="false">IF(T150="Yes",IF(V150&lt;=INDEX(PoolList,MATCH(C150,ProgramList,0)),"Within pool","Over pool"),"")</f>
        <v/>
      </c>
      <c r="X150" s="37" t="str">
        <f aca="false">IF(O150="Yes",COUNTIF($O$5:O150,"Yes"),"")</f>
        <v/>
      </c>
    </row>
    <row r="151" customFormat="false" ht="15" hidden="false" customHeight="false" outlineLevel="0" collapsed="false">
      <c r="A151" s="35" t="s">
        <v>484</v>
      </c>
      <c r="B151" s="35" t="s">
        <v>485</v>
      </c>
      <c r="C151" s="35" t="s">
        <v>105</v>
      </c>
      <c r="D151" s="35" t="s">
        <v>174</v>
      </c>
      <c r="E151" s="35" t="s">
        <v>175</v>
      </c>
      <c r="F151" s="42" t="n">
        <v>81500</v>
      </c>
      <c r="G151" s="36" t="n">
        <v>45920</v>
      </c>
      <c r="H151" s="35" t="s">
        <v>54</v>
      </c>
      <c r="I151" s="35" t="s">
        <v>91</v>
      </c>
      <c r="J151" s="35" t="s">
        <v>88</v>
      </c>
      <c r="K151" s="35"/>
      <c r="L151" s="48" t="n">
        <f aca="false">IFERROR(AVERAGEIFS('Score Entry'!$M$5:$M$1276,'Score Entry'!$B$5:$B$1276,A151,'Score Entry'!$E$5:$E$1276,"Primary"),"")</f>
        <v>68</v>
      </c>
      <c r="M151" s="48" t="n">
        <f aca="false">IFERROR(AVERAGEIFS('Score Entry'!$M$5:$M$1276,'Score Entry'!$B$5:$B$1276,A151,'Score Entry'!$E$5:$E$1276,"Secondary"),"")</f>
        <v>60</v>
      </c>
      <c r="N151" s="48" t="n">
        <f aca="false">IF(COUNT(L151:M151)=2,ABS(L151-M151),"")</f>
        <v>8</v>
      </c>
      <c r="O151" s="37" t="str">
        <f aca="false">IF(N151="","",IF(N151&gt;=Threshold,"Yes","No"))</f>
        <v>No</v>
      </c>
      <c r="P151" s="48" t="str">
        <f aca="false">IFERROR(AVERAGEIFS('Score Entry'!$M$5:$M$1276,'Score Entry'!$B$5:$B$1276,A151,'Score Entry'!$E$5:$E$1276,"Third"),"")</f>
        <v/>
      </c>
      <c r="Q151" s="48" t="n">
        <f aca="false">IF(H151&lt;&gt;"Eligible","",IF(O151="Yes",IF(ISNUMBER(P151),ROUND(AVERAGE(L151,M151,P151),1),""),IF(O151="No",ROUND(AVERAGE(L151:M151),1),"")))</f>
        <v>64</v>
      </c>
      <c r="R151" s="37" t="str">
        <f aca="false">IF(H151&lt;&gt;"Eligible","Screened out",IF(COUNT(L151:M151)=0,"Not started",IF(COUNT(L151:M151)=1,"One read done",IF(O151="Yes",IF(ISNUMBER(P151),"Complete","Needs third read"),"Complete"))))</f>
        <v>Complete</v>
      </c>
      <c r="S151" s="37" t="n">
        <f aca="false">IF(Q151="","",COUNTIFS($C$5:$C$600,C151,$Q$5:$Q$600,"&gt;"&amp;Q151)+1)</f>
        <v>62</v>
      </c>
      <c r="T151" s="37" t="str">
        <f aca="false">IF(Q151="","",IF(Q151&gt;=Cutoff,"Yes","No"))</f>
        <v>No</v>
      </c>
      <c r="U151" s="49" t="n">
        <f aca="false">IF(T151="Yes",MIN(F151,INDEX(Settings!$G:$G,MATCH(C151,Settings!$E:$E,0))),0)</f>
        <v>0</v>
      </c>
      <c r="V151" s="49" t="str">
        <f aca="false">IF(T151="Yes",SUMIFS($U$5:$U$600,$C$5:$C$600,C151,$Q$5:$Q$600,"&gt;"&amp;Q151)+U151,"")</f>
        <v/>
      </c>
      <c r="W151" s="37" t="str">
        <f aca="false">IF(T151="Yes",IF(V151&lt;=INDEX(PoolList,MATCH(C151,ProgramList,0)),"Within pool","Over pool"),"")</f>
        <v/>
      </c>
      <c r="X151" s="37" t="str">
        <f aca="false">IF(O151="Yes",COUNTIF($O$5:O151,"Yes"),"")</f>
        <v/>
      </c>
    </row>
    <row r="152" customFormat="false" ht="15" hidden="false" customHeight="false" outlineLevel="0" collapsed="false">
      <c r="A152" s="35" t="s">
        <v>486</v>
      </c>
      <c r="B152" s="35" t="s">
        <v>487</v>
      </c>
      <c r="C152" s="35" t="s">
        <v>106</v>
      </c>
      <c r="D152" s="35" t="s">
        <v>174</v>
      </c>
      <c r="E152" s="35" t="s">
        <v>175</v>
      </c>
      <c r="F152" s="42" t="n">
        <v>205500</v>
      </c>
      <c r="G152" s="36" t="n">
        <v>45927</v>
      </c>
      <c r="H152" s="35" t="s">
        <v>54</v>
      </c>
      <c r="I152" s="35" t="s">
        <v>82</v>
      </c>
      <c r="J152" s="35" t="s">
        <v>94</v>
      </c>
      <c r="K152" s="35"/>
      <c r="L152" s="48" t="n">
        <f aca="false">IFERROR(AVERAGEIFS('Score Entry'!$M$5:$M$1276,'Score Entry'!$B$5:$B$1276,A152,'Score Entry'!$E$5:$E$1276,"Primary"),"")</f>
        <v>58</v>
      </c>
      <c r="M152" s="48" t="n">
        <f aca="false">IFERROR(AVERAGEIFS('Score Entry'!$M$5:$M$1276,'Score Entry'!$B$5:$B$1276,A152,'Score Entry'!$E$5:$E$1276,"Secondary"),"")</f>
        <v>64</v>
      </c>
      <c r="N152" s="48" t="n">
        <f aca="false">IF(COUNT(L152:M152)=2,ABS(L152-M152),"")</f>
        <v>6</v>
      </c>
      <c r="O152" s="37" t="str">
        <f aca="false">IF(N152="","",IF(N152&gt;=Threshold,"Yes","No"))</f>
        <v>No</v>
      </c>
      <c r="P152" s="48" t="str">
        <f aca="false">IFERROR(AVERAGEIFS('Score Entry'!$M$5:$M$1276,'Score Entry'!$B$5:$B$1276,A152,'Score Entry'!$E$5:$E$1276,"Third"),"")</f>
        <v/>
      </c>
      <c r="Q152" s="48" t="n">
        <f aca="false">IF(H152&lt;&gt;"Eligible","",IF(O152="Yes",IF(ISNUMBER(P152),ROUND(AVERAGE(L152,M152,P152),1),""),IF(O152="No",ROUND(AVERAGE(L152:M152),1),"")))</f>
        <v>61</v>
      </c>
      <c r="R152" s="37" t="str">
        <f aca="false">IF(H152&lt;&gt;"Eligible","Screened out",IF(COUNT(L152:M152)=0,"Not started",IF(COUNT(L152:M152)=1,"One read done",IF(O152="Yes",IF(ISNUMBER(P152),"Complete","Needs third read"),"Complete"))))</f>
        <v>Complete</v>
      </c>
      <c r="S152" s="37" t="n">
        <f aca="false">IF(Q152="","",COUNTIFS($C$5:$C$600,C152,$Q$5:$Q$600,"&gt;"&amp;Q152)+1)</f>
        <v>81</v>
      </c>
      <c r="T152" s="37" t="str">
        <f aca="false">IF(Q152="","",IF(Q152&gt;=Cutoff,"Yes","No"))</f>
        <v>No</v>
      </c>
      <c r="U152" s="49" t="n">
        <f aca="false">IF(T152="Yes",MIN(F152,INDEX(Settings!$G:$G,MATCH(C152,Settings!$E:$E,0))),0)</f>
        <v>0</v>
      </c>
      <c r="V152" s="49" t="str">
        <f aca="false">IF(T152="Yes",SUMIFS($U$5:$U$600,$C$5:$C$600,C152,$Q$5:$Q$600,"&gt;"&amp;Q152)+U152,"")</f>
        <v/>
      </c>
      <c r="W152" s="37" t="str">
        <f aca="false">IF(T152="Yes",IF(V152&lt;=INDEX(PoolList,MATCH(C152,ProgramList,0)),"Within pool","Over pool"),"")</f>
        <v/>
      </c>
      <c r="X152" s="37" t="str">
        <f aca="false">IF(O152="Yes",COUNTIF($O$5:O152,"Yes"),"")</f>
        <v/>
      </c>
    </row>
    <row r="153" customFormat="false" ht="15" hidden="false" customHeight="false" outlineLevel="0" collapsed="false">
      <c r="A153" s="35" t="s">
        <v>488</v>
      </c>
      <c r="B153" s="35" t="s">
        <v>489</v>
      </c>
      <c r="C153" s="35" t="s">
        <v>106</v>
      </c>
      <c r="D153" s="35" t="s">
        <v>174</v>
      </c>
      <c r="E153" s="35" t="s">
        <v>232</v>
      </c>
      <c r="F153" s="42" t="n">
        <v>214500</v>
      </c>
      <c r="G153" s="36" t="n">
        <v>45918</v>
      </c>
      <c r="H153" s="35" t="s">
        <v>54</v>
      </c>
      <c r="I153" s="35" t="s">
        <v>82</v>
      </c>
      <c r="J153" s="35" t="s">
        <v>78</v>
      </c>
      <c r="K153" s="35"/>
      <c r="L153" s="48" t="n">
        <f aca="false">IFERROR(AVERAGEIFS('Score Entry'!$M$5:$M$1276,'Score Entry'!$B$5:$B$1276,A153,'Score Entry'!$E$5:$E$1276,"Primary"),"")</f>
        <v>53</v>
      </c>
      <c r="M153" s="48" t="n">
        <f aca="false">IFERROR(AVERAGEIFS('Score Entry'!$M$5:$M$1276,'Score Entry'!$B$5:$B$1276,A153,'Score Entry'!$E$5:$E$1276,"Secondary"),"")</f>
        <v>58</v>
      </c>
      <c r="N153" s="48" t="n">
        <f aca="false">IF(COUNT(L153:M153)=2,ABS(L153-M153),"")</f>
        <v>5</v>
      </c>
      <c r="O153" s="37" t="str">
        <f aca="false">IF(N153="","",IF(N153&gt;=Threshold,"Yes","No"))</f>
        <v>No</v>
      </c>
      <c r="P153" s="48" t="str">
        <f aca="false">IFERROR(AVERAGEIFS('Score Entry'!$M$5:$M$1276,'Score Entry'!$B$5:$B$1276,A153,'Score Entry'!$E$5:$E$1276,"Third"),"")</f>
        <v/>
      </c>
      <c r="Q153" s="48" t="n">
        <f aca="false">IF(H153&lt;&gt;"Eligible","",IF(O153="Yes",IF(ISNUMBER(P153),ROUND(AVERAGE(L153,M153,P153),1),""),IF(O153="No",ROUND(AVERAGE(L153:M153),1),"")))</f>
        <v>55.5</v>
      </c>
      <c r="R153" s="37" t="str">
        <f aca="false">IF(H153&lt;&gt;"Eligible","Screened out",IF(COUNT(L153:M153)=0,"Not started",IF(COUNT(L153:M153)=1,"One read done",IF(O153="Yes",IF(ISNUMBER(P153),"Complete","Needs third read"),"Complete"))))</f>
        <v>Complete</v>
      </c>
      <c r="S153" s="37" t="n">
        <f aca="false">IF(Q153="","",COUNTIFS($C$5:$C$600,C153,$Q$5:$Q$600,"&gt;"&amp;Q153)+1)</f>
        <v>99</v>
      </c>
      <c r="T153" s="37" t="str">
        <f aca="false">IF(Q153="","",IF(Q153&gt;=Cutoff,"Yes","No"))</f>
        <v>No</v>
      </c>
      <c r="U153" s="49" t="n">
        <f aca="false">IF(T153="Yes",MIN(F153,INDEX(Settings!$G:$G,MATCH(C153,Settings!$E:$E,0))),0)</f>
        <v>0</v>
      </c>
      <c r="V153" s="49" t="str">
        <f aca="false">IF(T153="Yes",SUMIFS($U$5:$U$600,$C$5:$C$600,C153,$Q$5:$Q$600,"&gt;"&amp;Q153)+U153,"")</f>
        <v/>
      </c>
      <c r="W153" s="37" t="str">
        <f aca="false">IF(T153="Yes",IF(V153&lt;=INDEX(PoolList,MATCH(C153,ProgramList,0)),"Within pool","Over pool"),"")</f>
        <v/>
      </c>
      <c r="X153" s="37" t="str">
        <f aca="false">IF(O153="Yes",COUNTIF($O$5:O153,"Yes"),"")</f>
        <v/>
      </c>
    </row>
    <row r="154" customFormat="false" ht="15" hidden="false" customHeight="false" outlineLevel="0" collapsed="false">
      <c r="A154" s="35" t="s">
        <v>490</v>
      </c>
      <c r="B154" s="35" t="s">
        <v>491</v>
      </c>
      <c r="C154" s="35" t="s">
        <v>104</v>
      </c>
      <c r="D154" s="35" t="s">
        <v>174</v>
      </c>
      <c r="E154" s="35" t="s">
        <v>175</v>
      </c>
      <c r="F154" s="42" t="n">
        <v>35000</v>
      </c>
      <c r="G154" s="36" t="n">
        <v>45927</v>
      </c>
      <c r="H154" s="35" t="s">
        <v>54</v>
      </c>
      <c r="I154" s="35" t="s">
        <v>85</v>
      </c>
      <c r="J154" s="35" t="s">
        <v>88</v>
      </c>
      <c r="K154" s="35"/>
      <c r="L154" s="48" t="n">
        <f aca="false">IFERROR(AVERAGEIFS('Score Entry'!$M$5:$M$1276,'Score Entry'!$B$5:$B$1276,A154,'Score Entry'!$E$5:$E$1276,"Primary"),"")</f>
        <v>71</v>
      </c>
      <c r="M154" s="48" t="n">
        <f aca="false">IFERROR(AVERAGEIFS('Score Entry'!$M$5:$M$1276,'Score Entry'!$B$5:$B$1276,A154,'Score Entry'!$E$5:$E$1276,"Secondary"),"")</f>
        <v>75</v>
      </c>
      <c r="N154" s="48" t="n">
        <f aca="false">IF(COUNT(L154:M154)=2,ABS(L154-M154),"")</f>
        <v>4</v>
      </c>
      <c r="O154" s="37" t="str">
        <f aca="false">IF(N154="","",IF(N154&gt;=Threshold,"Yes","No"))</f>
        <v>No</v>
      </c>
      <c r="P154" s="48" t="str">
        <f aca="false">IFERROR(AVERAGEIFS('Score Entry'!$M$5:$M$1276,'Score Entry'!$B$5:$B$1276,A154,'Score Entry'!$E$5:$E$1276,"Third"),"")</f>
        <v/>
      </c>
      <c r="Q154" s="48" t="n">
        <f aca="false">IF(H154&lt;&gt;"Eligible","",IF(O154="Yes",IF(ISNUMBER(P154),ROUND(AVERAGE(L154,M154,P154),1),""),IF(O154="No",ROUND(AVERAGE(L154:M154),1),"")))</f>
        <v>73</v>
      </c>
      <c r="R154" s="37" t="str">
        <f aca="false">IF(H154&lt;&gt;"Eligible","Screened out",IF(COUNT(L154:M154)=0,"Not started",IF(COUNT(L154:M154)=1,"One read done",IF(O154="Yes",IF(ISNUMBER(P154),"Complete","Needs third read"),"Complete"))))</f>
        <v>Complete</v>
      </c>
      <c r="S154" s="37" t="n">
        <f aca="false">IF(Q154="","",COUNTIFS($C$5:$C$600,C154,$Q$5:$Q$600,"&gt;"&amp;Q154)+1)</f>
        <v>39</v>
      </c>
      <c r="T154" s="37" t="str">
        <f aca="false">IF(Q154="","",IF(Q154&gt;=Cutoff,"Yes","No"))</f>
        <v>No</v>
      </c>
      <c r="U154" s="49" t="n">
        <f aca="false">IF(T154="Yes",MIN(F154,INDEX(Settings!$G:$G,MATCH(C154,Settings!$E:$E,0))),0)</f>
        <v>0</v>
      </c>
      <c r="V154" s="49" t="str">
        <f aca="false">IF(T154="Yes",SUMIFS($U$5:$U$600,$C$5:$C$600,C154,$Q$5:$Q$600,"&gt;"&amp;Q154)+U154,"")</f>
        <v/>
      </c>
      <c r="W154" s="37" t="str">
        <f aca="false">IF(T154="Yes",IF(V154&lt;=INDEX(PoolList,MATCH(C154,ProgramList,0)),"Within pool","Over pool"),"")</f>
        <v/>
      </c>
      <c r="X154" s="37" t="str">
        <f aca="false">IF(O154="Yes",COUNTIF($O$5:O154,"Yes"),"")</f>
        <v/>
      </c>
    </row>
    <row r="155" customFormat="false" ht="15" hidden="false" customHeight="false" outlineLevel="0" collapsed="false">
      <c r="A155" s="35" t="s">
        <v>492</v>
      </c>
      <c r="B155" s="35" t="s">
        <v>493</v>
      </c>
      <c r="C155" s="35" t="s">
        <v>106</v>
      </c>
      <c r="D155" s="35" t="s">
        <v>174</v>
      </c>
      <c r="E155" s="35" t="s">
        <v>175</v>
      </c>
      <c r="F155" s="42" t="n">
        <v>41500</v>
      </c>
      <c r="G155" s="36" t="n">
        <v>45913</v>
      </c>
      <c r="H155" s="35" t="s">
        <v>54</v>
      </c>
      <c r="I155" s="35" t="s">
        <v>85</v>
      </c>
      <c r="J155" s="35" t="s">
        <v>91</v>
      </c>
      <c r="K155" s="35"/>
      <c r="L155" s="48" t="n">
        <f aca="false">IFERROR(AVERAGEIFS('Score Entry'!$M$5:$M$1276,'Score Entry'!$B$5:$B$1276,A155,'Score Entry'!$E$5:$E$1276,"Primary"),"")</f>
        <v>55</v>
      </c>
      <c r="M155" s="48" t="n">
        <f aca="false">IFERROR(AVERAGEIFS('Score Entry'!$M$5:$M$1276,'Score Entry'!$B$5:$B$1276,A155,'Score Entry'!$E$5:$E$1276,"Secondary"),"")</f>
        <v>69</v>
      </c>
      <c r="N155" s="48" t="n">
        <f aca="false">IF(COUNT(L155:M155)=2,ABS(L155-M155),"")</f>
        <v>14</v>
      </c>
      <c r="O155" s="37" t="str">
        <f aca="false">IF(N155="","",IF(N155&gt;=Threshold,"Yes","No"))</f>
        <v>No</v>
      </c>
      <c r="P155" s="48" t="str">
        <f aca="false">IFERROR(AVERAGEIFS('Score Entry'!$M$5:$M$1276,'Score Entry'!$B$5:$B$1276,A155,'Score Entry'!$E$5:$E$1276,"Third"),"")</f>
        <v/>
      </c>
      <c r="Q155" s="48" t="n">
        <f aca="false">IF(H155&lt;&gt;"Eligible","",IF(O155="Yes",IF(ISNUMBER(P155),ROUND(AVERAGE(L155,M155,P155),1),""),IF(O155="No",ROUND(AVERAGE(L155:M155),1),"")))</f>
        <v>62</v>
      </c>
      <c r="R155" s="37" t="str">
        <f aca="false">IF(H155&lt;&gt;"Eligible","Screened out",IF(COUNT(L155:M155)=0,"Not started",IF(COUNT(L155:M155)=1,"One read done",IF(O155="Yes",IF(ISNUMBER(P155),"Complete","Needs third read"),"Complete"))))</f>
        <v>Complete</v>
      </c>
      <c r="S155" s="37" t="n">
        <f aca="false">IF(Q155="","",COUNTIFS($C$5:$C$600,C155,$Q$5:$Q$600,"&gt;"&amp;Q155)+1)</f>
        <v>79</v>
      </c>
      <c r="T155" s="37" t="str">
        <f aca="false">IF(Q155="","",IF(Q155&gt;=Cutoff,"Yes","No"))</f>
        <v>No</v>
      </c>
      <c r="U155" s="49" t="n">
        <f aca="false">IF(T155="Yes",MIN(F155,INDEX(Settings!$G:$G,MATCH(C155,Settings!$E:$E,0))),0)</f>
        <v>0</v>
      </c>
      <c r="V155" s="49" t="str">
        <f aca="false">IF(T155="Yes",SUMIFS($U$5:$U$600,$C$5:$C$600,C155,$Q$5:$Q$600,"&gt;"&amp;Q155)+U155,"")</f>
        <v/>
      </c>
      <c r="W155" s="37" t="str">
        <f aca="false">IF(T155="Yes",IF(V155&lt;=INDEX(PoolList,MATCH(C155,ProgramList,0)),"Within pool","Over pool"),"")</f>
        <v/>
      </c>
      <c r="X155" s="37" t="str">
        <f aca="false">IF(O155="Yes",COUNTIF($O$5:O155,"Yes"),"")</f>
        <v/>
      </c>
    </row>
    <row r="156" customFormat="false" ht="15" hidden="false" customHeight="false" outlineLevel="0" collapsed="false">
      <c r="A156" s="35" t="s">
        <v>494</v>
      </c>
      <c r="B156" s="35" t="s">
        <v>495</v>
      </c>
      <c r="C156" s="35" t="s">
        <v>104</v>
      </c>
      <c r="D156" s="35" t="s">
        <v>174</v>
      </c>
      <c r="E156" s="35" t="s">
        <v>175</v>
      </c>
      <c r="F156" s="42" t="n">
        <v>42500</v>
      </c>
      <c r="G156" s="36" t="n">
        <v>45914</v>
      </c>
      <c r="H156" s="35" t="s">
        <v>54</v>
      </c>
      <c r="I156" s="35" t="s">
        <v>94</v>
      </c>
      <c r="J156" s="35" t="s">
        <v>78</v>
      </c>
      <c r="K156" s="35"/>
      <c r="L156" s="48" t="n">
        <f aca="false">IFERROR(AVERAGEIFS('Score Entry'!$M$5:$M$1276,'Score Entry'!$B$5:$B$1276,A156,'Score Entry'!$E$5:$E$1276,"Primary"),"")</f>
        <v>60</v>
      </c>
      <c r="M156" s="48" t="n">
        <f aca="false">IFERROR(AVERAGEIFS('Score Entry'!$M$5:$M$1276,'Score Entry'!$B$5:$B$1276,A156,'Score Entry'!$E$5:$E$1276,"Secondary"),"")</f>
        <v>49</v>
      </c>
      <c r="N156" s="48" t="n">
        <f aca="false">IF(COUNT(L156:M156)=2,ABS(L156-M156),"")</f>
        <v>11</v>
      </c>
      <c r="O156" s="37" t="str">
        <f aca="false">IF(N156="","",IF(N156&gt;=Threshold,"Yes","No"))</f>
        <v>No</v>
      </c>
      <c r="P156" s="48" t="str">
        <f aca="false">IFERROR(AVERAGEIFS('Score Entry'!$M$5:$M$1276,'Score Entry'!$B$5:$B$1276,A156,'Score Entry'!$E$5:$E$1276,"Third"),"")</f>
        <v/>
      </c>
      <c r="Q156" s="48" t="n">
        <f aca="false">IF(H156&lt;&gt;"Eligible","",IF(O156="Yes",IF(ISNUMBER(P156),ROUND(AVERAGE(L156,M156,P156),1),""),IF(O156="No",ROUND(AVERAGE(L156:M156),1),"")))</f>
        <v>54.5</v>
      </c>
      <c r="R156" s="37" t="str">
        <f aca="false">IF(H156&lt;&gt;"Eligible","Screened out",IF(COUNT(L156:M156)=0,"Not started",IF(COUNT(L156:M156)=1,"One read done",IF(O156="Yes",IF(ISNUMBER(P156),"Complete","Needs third read"),"Complete"))))</f>
        <v>Complete</v>
      </c>
      <c r="S156" s="37" t="n">
        <f aca="false">IF(Q156="","",COUNTIFS($C$5:$C$600,C156,$Q$5:$Q$600,"&gt;"&amp;Q156)+1)</f>
        <v>91</v>
      </c>
      <c r="T156" s="37" t="str">
        <f aca="false">IF(Q156="","",IF(Q156&gt;=Cutoff,"Yes","No"))</f>
        <v>No</v>
      </c>
      <c r="U156" s="49" t="n">
        <f aca="false">IF(T156="Yes",MIN(F156,INDEX(Settings!$G:$G,MATCH(C156,Settings!$E:$E,0))),0)</f>
        <v>0</v>
      </c>
      <c r="V156" s="49" t="str">
        <f aca="false">IF(T156="Yes",SUMIFS($U$5:$U$600,$C$5:$C$600,C156,$Q$5:$Q$600,"&gt;"&amp;Q156)+U156,"")</f>
        <v/>
      </c>
      <c r="W156" s="37" t="str">
        <f aca="false">IF(T156="Yes",IF(V156&lt;=INDEX(PoolList,MATCH(C156,ProgramList,0)),"Within pool","Over pool"),"")</f>
        <v/>
      </c>
      <c r="X156" s="37" t="str">
        <f aca="false">IF(O156="Yes",COUNTIF($O$5:O156,"Yes"),"")</f>
        <v/>
      </c>
    </row>
    <row r="157" customFormat="false" ht="15" hidden="false" customHeight="false" outlineLevel="0" collapsed="false">
      <c r="A157" s="35" t="s">
        <v>496</v>
      </c>
      <c r="B157" s="35" t="s">
        <v>497</v>
      </c>
      <c r="C157" s="35" t="s">
        <v>106</v>
      </c>
      <c r="D157" s="35" t="s">
        <v>174</v>
      </c>
      <c r="E157" s="35" t="s">
        <v>175</v>
      </c>
      <c r="F157" s="42" t="n">
        <v>46500</v>
      </c>
      <c r="G157" s="36" t="n">
        <v>45927</v>
      </c>
      <c r="H157" s="35" t="s">
        <v>54</v>
      </c>
      <c r="I157" s="35" t="s">
        <v>88</v>
      </c>
      <c r="J157" s="35" t="s">
        <v>82</v>
      </c>
      <c r="K157" s="35" t="s">
        <v>78</v>
      </c>
      <c r="L157" s="48" t="n">
        <f aca="false">IFERROR(AVERAGEIFS('Score Entry'!$M$5:$M$1276,'Score Entry'!$B$5:$B$1276,A157,'Score Entry'!$E$5:$E$1276,"Primary"),"")</f>
        <v>100</v>
      </c>
      <c r="M157" s="48" t="n">
        <f aca="false">IFERROR(AVERAGEIFS('Score Entry'!$M$5:$M$1276,'Score Entry'!$B$5:$B$1276,A157,'Score Entry'!$E$5:$E$1276,"Secondary"),"")</f>
        <v>72</v>
      </c>
      <c r="N157" s="48" t="n">
        <f aca="false">IF(COUNT(L157:M157)=2,ABS(L157-M157),"")</f>
        <v>28</v>
      </c>
      <c r="O157" s="37" t="str">
        <f aca="false">IF(N157="","",IF(N157&gt;=Threshold,"Yes","No"))</f>
        <v>Yes</v>
      </c>
      <c r="P157" s="48" t="n">
        <f aca="false">IFERROR(AVERAGEIFS('Score Entry'!$M$5:$M$1276,'Score Entry'!$B$5:$B$1276,A157,'Score Entry'!$E$5:$E$1276,"Third"),"")</f>
        <v>72</v>
      </c>
      <c r="Q157" s="48" t="n">
        <f aca="false">IF(H157&lt;&gt;"Eligible","",IF(O157="Yes",IF(ISNUMBER(P157),ROUND(AVERAGE(L157,M157,P157),1),""),IF(O157="No",ROUND(AVERAGE(L157:M157),1),"")))</f>
        <v>81.3</v>
      </c>
      <c r="R157" s="37" t="str">
        <f aca="false">IF(H157&lt;&gt;"Eligible","Screened out",IF(COUNT(L157:M157)=0,"Not started",IF(COUNT(L157:M157)=1,"One read done",IF(O157="Yes",IF(ISNUMBER(P157),"Complete","Needs third read"),"Complete"))))</f>
        <v>Complete</v>
      </c>
      <c r="S157" s="37" t="n">
        <f aca="false">IF(Q157="","",COUNTIFS($C$5:$C$600,C157,$Q$5:$Q$600,"&gt;"&amp;Q157)+1)</f>
        <v>18</v>
      </c>
      <c r="T157" s="37" t="str">
        <f aca="false">IF(Q157="","",IF(Q157&gt;=Cutoff,"Yes","No"))</f>
        <v>No</v>
      </c>
      <c r="U157" s="49" t="n">
        <f aca="false">IF(T157="Yes",MIN(F157,INDEX(Settings!$G:$G,MATCH(C157,Settings!$E:$E,0))),0)</f>
        <v>0</v>
      </c>
      <c r="V157" s="49" t="str">
        <f aca="false">IF(T157="Yes",SUMIFS($U$5:$U$600,$C$5:$C$600,C157,$Q$5:$Q$600,"&gt;"&amp;Q157)+U157,"")</f>
        <v/>
      </c>
      <c r="W157" s="37" t="str">
        <f aca="false">IF(T157="Yes",IF(V157&lt;=INDEX(PoolList,MATCH(C157,ProgramList,0)),"Within pool","Over pool"),"")</f>
        <v/>
      </c>
      <c r="X157" s="37" t="n">
        <f aca="false">IF(O157="Yes",COUNTIF($O$5:O157,"Yes"),"")</f>
        <v>21</v>
      </c>
    </row>
    <row r="158" customFormat="false" ht="15" hidden="false" customHeight="false" outlineLevel="0" collapsed="false">
      <c r="A158" s="35" t="s">
        <v>498</v>
      </c>
      <c r="B158" s="35" t="s">
        <v>499</v>
      </c>
      <c r="C158" s="35" t="s">
        <v>105</v>
      </c>
      <c r="D158" s="35" t="s">
        <v>174</v>
      </c>
      <c r="E158" s="35" t="s">
        <v>232</v>
      </c>
      <c r="F158" s="42" t="n">
        <v>42500</v>
      </c>
      <c r="G158" s="36" t="n">
        <v>45914</v>
      </c>
      <c r="H158" s="35" t="s">
        <v>54</v>
      </c>
      <c r="I158" s="35" t="s">
        <v>85</v>
      </c>
      <c r="J158" s="35" t="s">
        <v>91</v>
      </c>
      <c r="K158" s="35"/>
      <c r="L158" s="48" t="n">
        <f aca="false">IFERROR(AVERAGEIFS('Score Entry'!$M$5:$M$1276,'Score Entry'!$B$5:$B$1276,A158,'Score Entry'!$E$5:$E$1276,"Primary"),"")</f>
        <v>58</v>
      </c>
      <c r="M158" s="48" t="str">
        <f aca="false">IFERROR(AVERAGEIFS('Score Entry'!$M$5:$M$1276,'Score Entry'!$B$5:$B$1276,A158,'Score Entry'!$E$5:$E$1276,"Secondary"),"")</f>
        <v/>
      </c>
      <c r="N158" s="48" t="str">
        <f aca="false">IF(COUNT(L158:M158)=2,ABS(L158-M158),"")</f>
        <v/>
      </c>
      <c r="O158" s="37" t="str">
        <f aca="false">IF(N158="","",IF(N158&gt;=Threshold,"Yes","No"))</f>
        <v/>
      </c>
      <c r="P158" s="48" t="str">
        <f aca="false">IFERROR(AVERAGEIFS('Score Entry'!$M$5:$M$1276,'Score Entry'!$B$5:$B$1276,A158,'Score Entry'!$E$5:$E$1276,"Third"),"")</f>
        <v/>
      </c>
      <c r="Q158" s="48" t="str">
        <f aca="false">IF(H158&lt;&gt;"Eligible","",IF(O158="Yes",IF(ISNUMBER(P158),ROUND(AVERAGE(L158,M158,P158),1),""),IF(O158="No",ROUND(AVERAGE(L158:M158),1),"")))</f>
        <v/>
      </c>
      <c r="R158" s="37" t="str">
        <f aca="false">IF(H158&lt;&gt;"Eligible","Screened out",IF(COUNT(L158:M158)=0,"Not started",IF(COUNT(L158:M158)=1,"One read done",IF(O158="Yes",IF(ISNUMBER(P158),"Complete","Needs third read"),"Complete"))))</f>
        <v>One read done</v>
      </c>
      <c r="S158" s="37" t="str">
        <f aca="false">IF(Q158="","",COUNTIFS($C$5:$C$600,C158,$Q$5:$Q$600,"&gt;"&amp;Q158)+1)</f>
        <v/>
      </c>
      <c r="T158" s="37" t="str">
        <f aca="false">IF(Q158="","",IF(Q158&gt;=Cutoff,"Yes","No"))</f>
        <v/>
      </c>
      <c r="U158" s="49" t="n">
        <f aca="false">IF(T158="Yes",MIN(F158,INDEX(Settings!$G:$G,MATCH(C158,Settings!$E:$E,0))),0)</f>
        <v>0</v>
      </c>
      <c r="V158" s="49" t="str">
        <f aca="false">IF(T158="Yes",SUMIFS($U$5:$U$600,$C$5:$C$600,C158,$Q$5:$Q$600,"&gt;"&amp;Q158)+U158,"")</f>
        <v/>
      </c>
      <c r="W158" s="37" t="str">
        <f aca="false">IF(T158="Yes",IF(V158&lt;=INDEX(PoolList,MATCH(C158,ProgramList,0)),"Within pool","Over pool"),"")</f>
        <v/>
      </c>
      <c r="X158" s="37" t="str">
        <f aca="false">IF(O158="Yes",COUNTIF($O$5:O158,"Yes"),"")</f>
        <v/>
      </c>
    </row>
    <row r="159" customFormat="false" ht="15" hidden="false" customHeight="false" outlineLevel="0" collapsed="false">
      <c r="A159" s="35" t="s">
        <v>500</v>
      </c>
      <c r="B159" s="35" t="s">
        <v>501</v>
      </c>
      <c r="C159" s="35" t="s">
        <v>106</v>
      </c>
      <c r="D159" s="35" t="s">
        <v>174</v>
      </c>
      <c r="E159" s="35" t="s">
        <v>175</v>
      </c>
      <c r="F159" s="42" t="n">
        <v>87500</v>
      </c>
      <c r="G159" s="36" t="n">
        <v>45917</v>
      </c>
      <c r="H159" s="35" t="s">
        <v>54</v>
      </c>
      <c r="I159" s="35" t="s">
        <v>88</v>
      </c>
      <c r="J159" s="35" t="s">
        <v>91</v>
      </c>
      <c r="K159" s="35"/>
      <c r="L159" s="48" t="n">
        <f aca="false">IFERROR(AVERAGEIFS('Score Entry'!$M$5:$M$1276,'Score Entry'!$B$5:$B$1276,A159,'Score Entry'!$E$5:$E$1276,"Primary"),"")</f>
        <v>75</v>
      </c>
      <c r="M159" s="48" t="n">
        <f aca="false">IFERROR(AVERAGEIFS('Score Entry'!$M$5:$M$1276,'Score Entry'!$B$5:$B$1276,A159,'Score Entry'!$E$5:$E$1276,"Secondary"),"")</f>
        <v>75</v>
      </c>
      <c r="N159" s="48" t="n">
        <f aca="false">IF(COUNT(L159:M159)=2,ABS(L159-M159),"")</f>
        <v>0</v>
      </c>
      <c r="O159" s="37" t="str">
        <f aca="false">IF(N159="","",IF(N159&gt;=Threshold,"Yes","No"))</f>
        <v>No</v>
      </c>
      <c r="P159" s="48" t="str">
        <f aca="false">IFERROR(AVERAGEIFS('Score Entry'!$M$5:$M$1276,'Score Entry'!$B$5:$B$1276,A159,'Score Entry'!$E$5:$E$1276,"Third"),"")</f>
        <v/>
      </c>
      <c r="Q159" s="48" t="n">
        <f aca="false">IF(H159&lt;&gt;"Eligible","",IF(O159="Yes",IF(ISNUMBER(P159),ROUND(AVERAGE(L159,M159,P159),1),""),IF(O159="No",ROUND(AVERAGE(L159:M159),1),"")))</f>
        <v>75</v>
      </c>
      <c r="R159" s="37" t="str">
        <f aca="false">IF(H159&lt;&gt;"Eligible","Screened out",IF(COUNT(L159:M159)=0,"Not started",IF(COUNT(L159:M159)=1,"One read done",IF(O159="Yes",IF(ISNUMBER(P159),"Complete","Needs third read"),"Complete"))))</f>
        <v>Complete</v>
      </c>
      <c r="S159" s="37" t="n">
        <f aca="false">IF(Q159="","",COUNTIFS($C$5:$C$600,C159,$Q$5:$Q$600,"&gt;"&amp;Q159)+1)</f>
        <v>38</v>
      </c>
      <c r="T159" s="37" t="str">
        <f aca="false">IF(Q159="","",IF(Q159&gt;=Cutoff,"Yes","No"))</f>
        <v>No</v>
      </c>
      <c r="U159" s="49" t="n">
        <f aca="false">IF(T159="Yes",MIN(F159,INDEX(Settings!$G:$G,MATCH(C159,Settings!$E:$E,0))),0)</f>
        <v>0</v>
      </c>
      <c r="V159" s="49" t="str">
        <f aca="false">IF(T159="Yes",SUMIFS($U$5:$U$600,$C$5:$C$600,C159,$Q$5:$Q$600,"&gt;"&amp;Q159)+U159,"")</f>
        <v/>
      </c>
      <c r="W159" s="37" t="str">
        <f aca="false">IF(T159="Yes",IF(V159&lt;=INDEX(PoolList,MATCH(C159,ProgramList,0)),"Within pool","Over pool"),"")</f>
        <v/>
      </c>
      <c r="X159" s="37" t="str">
        <f aca="false">IF(O159="Yes",COUNTIF($O$5:O159,"Yes"),"")</f>
        <v/>
      </c>
    </row>
    <row r="160" customFormat="false" ht="15" hidden="false" customHeight="false" outlineLevel="0" collapsed="false">
      <c r="A160" s="35" t="s">
        <v>502</v>
      </c>
      <c r="B160" s="35" t="s">
        <v>503</v>
      </c>
      <c r="C160" s="35" t="s">
        <v>104</v>
      </c>
      <c r="D160" s="35" t="s">
        <v>174</v>
      </c>
      <c r="E160" s="35" t="s">
        <v>175</v>
      </c>
      <c r="F160" s="42" t="n">
        <v>94500</v>
      </c>
      <c r="G160" s="36" t="n">
        <v>45910</v>
      </c>
      <c r="H160" s="35" t="s">
        <v>54</v>
      </c>
      <c r="I160" s="35" t="s">
        <v>82</v>
      </c>
      <c r="J160" s="35" t="s">
        <v>78</v>
      </c>
      <c r="K160" s="35"/>
      <c r="L160" s="48" t="n">
        <f aca="false">IFERROR(AVERAGEIFS('Score Entry'!$M$5:$M$1276,'Score Entry'!$B$5:$B$1276,A160,'Score Entry'!$E$5:$E$1276,"Primary"),"")</f>
        <v>52</v>
      </c>
      <c r="M160" s="48" t="n">
        <f aca="false">IFERROR(AVERAGEIFS('Score Entry'!$M$5:$M$1276,'Score Entry'!$B$5:$B$1276,A160,'Score Entry'!$E$5:$E$1276,"Secondary"),"")</f>
        <v>53</v>
      </c>
      <c r="N160" s="48" t="n">
        <f aca="false">IF(COUNT(L160:M160)=2,ABS(L160-M160),"")</f>
        <v>1</v>
      </c>
      <c r="O160" s="37" t="str">
        <f aca="false">IF(N160="","",IF(N160&gt;=Threshold,"Yes","No"))</f>
        <v>No</v>
      </c>
      <c r="P160" s="48" t="str">
        <f aca="false">IFERROR(AVERAGEIFS('Score Entry'!$M$5:$M$1276,'Score Entry'!$B$5:$B$1276,A160,'Score Entry'!$E$5:$E$1276,"Third"),"")</f>
        <v/>
      </c>
      <c r="Q160" s="48" t="n">
        <f aca="false">IF(H160&lt;&gt;"Eligible","",IF(O160="Yes",IF(ISNUMBER(P160),ROUND(AVERAGE(L160,M160,P160),1),""),IF(O160="No",ROUND(AVERAGE(L160:M160),1),"")))</f>
        <v>52.5</v>
      </c>
      <c r="R160" s="37" t="str">
        <f aca="false">IF(H160&lt;&gt;"Eligible","Screened out",IF(COUNT(L160:M160)=0,"Not started",IF(COUNT(L160:M160)=1,"One read done",IF(O160="Yes",IF(ISNUMBER(P160),"Complete","Needs third read"),"Complete"))))</f>
        <v>Complete</v>
      </c>
      <c r="S160" s="37" t="n">
        <f aca="false">IF(Q160="","",COUNTIFS($C$5:$C$600,C160,$Q$5:$Q$600,"&gt;"&amp;Q160)+1)</f>
        <v>94</v>
      </c>
      <c r="T160" s="37" t="str">
        <f aca="false">IF(Q160="","",IF(Q160&gt;=Cutoff,"Yes","No"))</f>
        <v>No</v>
      </c>
      <c r="U160" s="49" t="n">
        <f aca="false">IF(T160="Yes",MIN(F160,INDEX(Settings!$G:$G,MATCH(C160,Settings!$E:$E,0))),0)</f>
        <v>0</v>
      </c>
      <c r="V160" s="49" t="str">
        <f aca="false">IF(T160="Yes",SUMIFS($U$5:$U$600,$C$5:$C$600,C160,$Q$5:$Q$600,"&gt;"&amp;Q160)+U160,"")</f>
        <v/>
      </c>
      <c r="W160" s="37" t="str">
        <f aca="false">IF(T160="Yes",IF(V160&lt;=INDEX(PoolList,MATCH(C160,ProgramList,0)),"Within pool","Over pool"),"")</f>
        <v/>
      </c>
      <c r="X160" s="37" t="str">
        <f aca="false">IF(O160="Yes",COUNTIF($O$5:O160,"Yes"),"")</f>
        <v/>
      </c>
    </row>
    <row r="161" customFormat="false" ht="15" hidden="false" customHeight="false" outlineLevel="0" collapsed="false">
      <c r="A161" s="35" t="s">
        <v>504</v>
      </c>
      <c r="B161" s="35" t="s">
        <v>505</v>
      </c>
      <c r="C161" s="35" t="s">
        <v>105</v>
      </c>
      <c r="D161" s="35" t="s">
        <v>174</v>
      </c>
      <c r="E161" s="35" t="s">
        <v>175</v>
      </c>
      <c r="F161" s="42" t="n">
        <v>47500</v>
      </c>
      <c r="G161" s="36" t="n">
        <v>45921</v>
      </c>
      <c r="H161" s="35" t="s">
        <v>54</v>
      </c>
      <c r="I161" s="35" t="s">
        <v>85</v>
      </c>
      <c r="J161" s="35" t="s">
        <v>91</v>
      </c>
      <c r="K161" s="35"/>
      <c r="L161" s="48" t="n">
        <f aca="false">IFERROR(AVERAGEIFS('Score Entry'!$M$5:$M$1276,'Score Entry'!$B$5:$B$1276,A161,'Score Entry'!$E$5:$E$1276,"Primary"),"")</f>
        <v>58</v>
      </c>
      <c r="M161" s="48" t="str">
        <f aca="false">IFERROR(AVERAGEIFS('Score Entry'!$M$5:$M$1276,'Score Entry'!$B$5:$B$1276,A161,'Score Entry'!$E$5:$E$1276,"Secondary"),"")</f>
        <v/>
      </c>
      <c r="N161" s="48" t="str">
        <f aca="false">IF(COUNT(L161:M161)=2,ABS(L161-M161),"")</f>
        <v/>
      </c>
      <c r="O161" s="37" t="str">
        <f aca="false">IF(N161="","",IF(N161&gt;=Threshold,"Yes","No"))</f>
        <v/>
      </c>
      <c r="P161" s="48" t="str">
        <f aca="false">IFERROR(AVERAGEIFS('Score Entry'!$M$5:$M$1276,'Score Entry'!$B$5:$B$1276,A161,'Score Entry'!$E$5:$E$1276,"Third"),"")</f>
        <v/>
      </c>
      <c r="Q161" s="48" t="str">
        <f aca="false">IF(H161&lt;&gt;"Eligible","",IF(O161="Yes",IF(ISNUMBER(P161),ROUND(AVERAGE(L161,M161,P161),1),""),IF(O161="No",ROUND(AVERAGE(L161:M161),1),"")))</f>
        <v/>
      </c>
      <c r="R161" s="37" t="str">
        <f aca="false">IF(H161&lt;&gt;"Eligible","Screened out",IF(COUNT(L161:M161)=0,"Not started",IF(COUNT(L161:M161)=1,"One read done",IF(O161="Yes",IF(ISNUMBER(P161),"Complete","Needs third read"),"Complete"))))</f>
        <v>One read done</v>
      </c>
      <c r="S161" s="37" t="str">
        <f aca="false">IF(Q161="","",COUNTIFS($C$5:$C$600,C161,$Q$5:$Q$600,"&gt;"&amp;Q161)+1)</f>
        <v/>
      </c>
      <c r="T161" s="37" t="str">
        <f aca="false">IF(Q161="","",IF(Q161&gt;=Cutoff,"Yes","No"))</f>
        <v/>
      </c>
      <c r="U161" s="49" t="n">
        <f aca="false">IF(T161="Yes",MIN(F161,INDEX(Settings!$G:$G,MATCH(C161,Settings!$E:$E,0))),0)</f>
        <v>0</v>
      </c>
      <c r="V161" s="49" t="str">
        <f aca="false">IF(T161="Yes",SUMIFS($U$5:$U$600,$C$5:$C$600,C161,$Q$5:$Q$600,"&gt;"&amp;Q161)+U161,"")</f>
        <v/>
      </c>
      <c r="W161" s="37" t="str">
        <f aca="false">IF(T161="Yes",IF(V161&lt;=INDEX(PoolList,MATCH(C161,ProgramList,0)),"Within pool","Over pool"),"")</f>
        <v/>
      </c>
      <c r="X161" s="37" t="str">
        <f aca="false">IF(O161="Yes",COUNTIF($O$5:O161,"Yes"),"")</f>
        <v/>
      </c>
    </row>
    <row r="162" customFormat="false" ht="15" hidden="false" customHeight="false" outlineLevel="0" collapsed="false">
      <c r="A162" s="35" t="s">
        <v>506</v>
      </c>
      <c r="B162" s="35" t="s">
        <v>507</v>
      </c>
      <c r="C162" s="35" t="s">
        <v>105</v>
      </c>
      <c r="D162" s="35" t="s">
        <v>180</v>
      </c>
      <c r="E162" s="35" t="s">
        <v>252</v>
      </c>
      <c r="F162" s="42" t="n">
        <v>40000</v>
      </c>
      <c r="G162" s="36" t="n">
        <v>45923</v>
      </c>
      <c r="H162" s="35" t="s">
        <v>54</v>
      </c>
      <c r="I162" s="35" t="s">
        <v>85</v>
      </c>
      <c r="J162" s="35" t="s">
        <v>82</v>
      </c>
      <c r="K162" s="35"/>
      <c r="L162" s="48" t="n">
        <f aca="false">IFERROR(AVERAGEIFS('Score Entry'!$M$5:$M$1276,'Score Entry'!$B$5:$B$1276,A162,'Score Entry'!$E$5:$E$1276,"Primary"),"")</f>
        <v>49</v>
      </c>
      <c r="M162" s="48" t="n">
        <f aca="false">IFERROR(AVERAGEIFS('Score Entry'!$M$5:$M$1276,'Score Entry'!$B$5:$B$1276,A162,'Score Entry'!$E$5:$E$1276,"Secondary"),"")</f>
        <v>50</v>
      </c>
      <c r="N162" s="48" t="n">
        <f aca="false">IF(COUNT(L162:M162)=2,ABS(L162-M162),"")</f>
        <v>1</v>
      </c>
      <c r="O162" s="37" t="str">
        <f aca="false">IF(N162="","",IF(N162&gt;=Threshold,"Yes","No"))</f>
        <v>No</v>
      </c>
      <c r="P162" s="48" t="str">
        <f aca="false">IFERROR(AVERAGEIFS('Score Entry'!$M$5:$M$1276,'Score Entry'!$B$5:$B$1276,A162,'Score Entry'!$E$5:$E$1276,"Third"),"")</f>
        <v/>
      </c>
      <c r="Q162" s="48" t="n">
        <f aca="false">IF(H162&lt;&gt;"Eligible","",IF(O162="Yes",IF(ISNUMBER(P162),ROUND(AVERAGE(L162,M162,P162),1),""),IF(O162="No",ROUND(AVERAGE(L162:M162),1),"")))</f>
        <v>49.5</v>
      </c>
      <c r="R162" s="37" t="str">
        <f aca="false">IF(H162&lt;&gt;"Eligible","Screened out",IF(COUNT(L162:M162)=0,"Not started",IF(COUNT(L162:M162)=1,"One read done",IF(O162="Yes",IF(ISNUMBER(P162),"Complete","Needs third read"),"Complete"))))</f>
        <v>Complete</v>
      </c>
      <c r="S162" s="37" t="n">
        <f aca="false">IF(Q162="","",COUNTIFS($C$5:$C$600,C162,$Q$5:$Q$600,"&gt;"&amp;Q162)+1)</f>
        <v>93</v>
      </c>
      <c r="T162" s="37" t="str">
        <f aca="false">IF(Q162="","",IF(Q162&gt;=Cutoff,"Yes","No"))</f>
        <v>No</v>
      </c>
      <c r="U162" s="49" t="n">
        <f aca="false">IF(T162="Yes",MIN(F162,INDEX(Settings!$G:$G,MATCH(C162,Settings!$E:$E,0))),0)</f>
        <v>0</v>
      </c>
      <c r="V162" s="49" t="str">
        <f aca="false">IF(T162="Yes",SUMIFS($U$5:$U$600,$C$5:$C$600,C162,$Q$5:$Q$600,"&gt;"&amp;Q162)+U162,"")</f>
        <v/>
      </c>
      <c r="W162" s="37" t="str">
        <f aca="false">IF(T162="Yes",IF(V162&lt;=INDEX(PoolList,MATCH(C162,ProgramList,0)),"Within pool","Over pool"),"")</f>
        <v/>
      </c>
      <c r="X162" s="37" t="str">
        <f aca="false">IF(O162="Yes",COUNTIF($O$5:O162,"Yes"),"")</f>
        <v/>
      </c>
    </row>
    <row r="163" customFormat="false" ht="15" hidden="false" customHeight="false" outlineLevel="0" collapsed="false">
      <c r="A163" s="35" t="s">
        <v>508</v>
      </c>
      <c r="B163" s="35" t="s">
        <v>509</v>
      </c>
      <c r="C163" s="35" t="s">
        <v>103</v>
      </c>
      <c r="D163" s="35" t="s">
        <v>174</v>
      </c>
      <c r="E163" s="35" t="s">
        <v>175</v>
      </c>
      <c r="F163" s="42" t="n">
        <v>224000</v>
      </c>
      <c r="G163" s="36" t="n">
        <v>45927</v>
      </c>
      <c r="H163" s="35" t="s">
        <v>54</v>
      </c>
      <c r="I163" s="35" t="s">
        <v>94</v>
      </c>
      <c r="J163" s="35" t="s">
        <v>88</v>
      </c>
      <c r="K163" s="35"/>
      <c r="L163" s="48" t="n">
        <f aca="false">IFERROR(AVERAGEIFS('Score Entry'!$M$5:$M$1276,'Score Entry'!$B$5:$B$1276,A163,'Score Entry'!$E$5:$E$1276,"Primary"),"")</f>
        <v>87</v>
      </c>
      <c r="M163" s="48" t="n">
        <f aca="false">IFERROR(AVERAGEIFS('Score Entry'!$M$5:$M$1276,'Score Entry'!$B$5:$B$1276,A163,'Score Entry'!$E$5:$E$1276,"Secondary"),"")</f>
        <v>91</v>
      </c>
      <c r="N163" s="48" t="n">
        <f aca="false">IF(COUNT(L163:M163)=2,ABS(L163-M163),"")</f>
        <v>4</v>
      </c>
      <c r="O163" s="37" t="str">
        <f aca="false">IF(N163="","",IF(N163&gt;=Threshold,"Yes","No"))</f>
        <v>No</v>
      </c>
      <c r="P163" s="48" t="str">
        <f aca="false">IFERROR(AVERAGEIFS('Score Entry'!$M$5:$M$1276,'Score Entry'!$B$5:$B$1276,A163,'Score Entry'!$E$5:$E$1276,"Third"),"")</f>
        <v/>
      </c>
      <c r="Q163" s="48" t="n">
        <f aca="false">IF(H163&lt;&gt;"Eligible","",IF(O163="Yes",IF(ISNUMBER(P163),ROUND(AVERAGE(L163,M163,P163),1),""),IF(O163="No",ROUND(AVERAGE(L163:M163),1),"")))</f>
        <v>89</v>
      </c>
      <c r="R163" s="37" t="str">
        <f aca="false">IF(H163&lt;&gt;"Eligible","Screened out",IF(COUNT(L163:M163)=0,"Not started",IF(COUNT(L163:M163)=1,"One read done",IF(O163="Yes",IF(ISNUMBER(P163),"Complete","Needs third read"),"Complete"))))</f>
        <v>Complete</v>
      </c>
      <c r="S163" s="37" t="n">
        <f aca="false">IF(Q163="","",COUNTIFS($C$5:$C$600,C163,$Q$5:$Q$600,"&gt;"&amp;Q163)+1)</f>
        <v>8</v>
      </c>
      <c r="T163" s="37" t="str">
        <f aca="false">IF(Q163="","",IF(Q163&gt;=Cutoff,"Yes","No"))</f>
        <v>Yes</v>
      </c>
      <c r="U163" s="49" t="n">
        <f aca="false">IF(T163="Yes",MIN(F163,INDEX(Settings!$G:$G,MATCH(C163,Settings!$E:$E,0))),0)</f>
        <v>224000</v>
      </c>
      <c r="V163" s="49" t="n">
        <f aca="false">IF(T163="Yes",SUMIFS($U$5:$U$600,$C$5:$C$600,C163,$Q$5:$Q$600,"&gt;"&amp;Q163)+U163,"")</f>
        <v>942500</v>
      </c>
      <c r="W163" s="37" t="str">
        <f aca="false">IF(T163="Yes",IF(V163&lt;=INDEX(PoolList,MATCH(C163,ProgramList,0)),"Within pool","Over pool"),"")</f>
        <v>Within pool</v>
      </c>
      <c r="X163" s="37" t="str">
        <f aca="false">IF(O163="Yes",COUNTIF($O$5:O163,"Yes"),"")</f>
        <v/>
      </c>
    </row>
    <row r="164" customFormat="false" ht="15" hidden="false" customHeight="false" outlineLevel="0" collapsed="false">
      <c r="A164" s="35" t="s">
        <v>510</v>
      </c>
      <c r="B164" s="35" t="s">
        <v>511</v>
      </c>
      <c r="C164" s="35" t="s">
        <v>104</v>
      </c>
      <c r="D164" s="35" t="s">
        <v>174</v>
      </c>
      <c r="E164" s="35" t="s">
        <v>175</v>
      </c>
      <c r="F164" s="42" t="n">
        <v>114500</v>
      </c>
      <c r="G164" s="36" t="n">
        <v>45917</v>
      </c>
      <c r="H164" s="35" t="s">
        <v>54</v>
      </c>
      <c r="I164" s="35" t="s">
        <v>78</v>
      </c>
      <c r="J164" s="35" t="s">
        <v>88</v>
      </c>
      <c r="K164" s="35"/>
      <c r="L164" s="48" t="n">
        <f aca="false">IFERROR(AVERAGEIFS('Score Entry'!$M$5:$M$1276,'Score Entry'!$B$5:$B$1276,A164,'Score Entry'!$E$5:$E$1276,"Primary"),"")</f>
        <v>65</v>
      </c>
      <c r="M164" s="48" t="n">
        <f aca="false">IFERROR(AVERAGEIFS('Score Entry'!$M$5:$M$1276,'Score Entry'!$B$5:$B$1276,A164,'Score Entry'!$E$5:$E$1276,"Secondary"),"")</f>
        <v>67</v>
      </c>
      <c r="N164" s="48" t="n">
        <f aca="false">IF(COUNT(L164:M164)=2,ABS(L164-M164),"")</f>
        <v>2</v>
      </c>
      <c r="O164" s="37" t="str">
        <f aca="false">IF(N164="","",IF(N164&gt;=Threshold,"Yes","No"))</f>
        <v>No</v>
      </c>
      <c r="P164" s="48" t="str">
        <f aca="false">IFERROR(AVERAGEIFS('Score Entry'!$M$5:$M$1276,'Score Entry'!$B$5:$B$1276,A164,'Score Entry'!$E$5:$E$1276,"Third"),"")</f>
        <v/>
      </c>
      <c r="Q164" s="48" t="n">
        <f aca="false">IF(H164&lt;&gt;"Eligible","",IF(O164="Yes",IF(ISNUMBER(P164),ROUND(AVERAGE(L164,M164,P164),1),""),IF(O164="No",ROUND(AVERAGE(L164:M164),1),"")))</f>
        <v>66</v>
      </c>
      <c r="R164" s="37" t="str">
        <f aca="false">IF(H164&lt;&gt;"Eligible","Screened out",IF(COUNT(L164:M164)=0,"Not started",IF(COUNT(L164:M164)=1,"One read done",IF(O164="Yes",IF(ISNUMBER(P164),"Complete","Needs third read"),"Complete"))))</f>
        <v>Complete</v>
      </c>
      <c r="S164" s="37" t="n">
        <f aca="false">IF(Q164="","",COUNTIFS($C$5:$C$600,C164,$Q$5:$Q$600,"&gt;"&amp;Q164)+1)</f>
        <v>54</v>
      </c>
      <c r="T164" s="37" t="str">
        <f aca="false">IF(Q164="","",IF(Q164&gt;=Cutoff,"Yes","No"))</f>
        <v>No</v>
      </c>
      <c r="U164" s="49" t="n">
        <f aca="false">IF(T164="Yes",MIN(F164,INDEX(Settings!$G:$G,MATCH(C164,Settings!$E:$E,0))),0)</f>
        <v>0</v>
      </c>
      <c r="V164" s="49" t="str">
        <f aca="false">IF(T164="Yes",SUMIFS($U$5:$U$600,$C$5:$C$600,C164,$Q$5:$Q$600,"&gt;"&amp;Q164)+U164,"")</f>
        <v/>
      </c>
      <c r="W164" s="37" t="str">
        <f aca="false">IF(T164="Yes",IF(V164&lt;=INDEX(PoolList,MATCH(C164,ProgramList,0)),"Within pool","Over pool"),"")</f>
        <v/>
      </c>
      <c r="X164" s="37" t="str">
        <f aca="false">IF(O164="Yes",COUNTIF($O$5:O164,"Yes"),"")</f>
        <v/>
      </c>
    </row>
    <row r="165" customFormat="false" ht="15" hidden="false" customHeight="false" outlineLevel="0" collapsed="false">
      <c r="A165" s="35" t="s">
        <v>512</v>
      </c>
      <c r="B165" s="35" t="s">
        <v>513</v>
      </c>
      <c r="C165" s="35" t="s">
        <v>105</v>
      </c>
      <c r="D165" s="35" t="s">
        <v>174</v>
      </c>
      <c r="E165" s="35" t="s">
        <v>175</v>
      </c>
      <c r="F165" s="42" t="n">
        <v>157500</v>
      </c>
      <c r="G165" s="36" t="n">
        <v>45927</v>
      </c>
      <c r="H165" s="35" t="s">
        <v>54</v>
      </c>
      <c r="I165" s="35" t="s">
        <v>94</v>
      </c>
      <c r="J165" s="35" t="s">
        <v>85</v>
      </c>
      <c r="K165" s="35" t="s">
        <v>88</v>
      </c>
      <c r="L165" s="48" t="n">
        <f aca="false">IFERROR(AVERAGEIFS('Score Entry'!$M$5:$M$1276,'Score Entry'!$B$5:$B$1276,A165,'Score Entry'!$E$5:$E$1276,"Primary"),"")</f>
        <v>73</v>
      </c>
      <c r="M165" s="48" t="n">
        <f aca="false">IFERROR(AVERAGEIFS('Score Entry'!$M$5:$M$1276,'Score Entry'!$B$5:$B$1276,A165,'Score Entry'!$E$5:$E$1276,"Secondary"),"")</f>
        <v>38</v>
      </c>
      <c r="N165" s="48" t="n">
        <f aca="false">IF(COUNT(L165:M165)=2,ABS(L165-M165),"")</f>
        <v>35</v>
      </c>
      <c r="O165" s="37" t="str">
        <f aca="false">IF(N165="","",IF(N165&gt;=Threshold,"Yes","No"))</f>
        <v>Yes</v>
      </c>
      <c r="P165" s="48" t="n">
        <f aca="false">IFERROR(AVERAGEIFS('Score Entry'!$M$5:$M$1276,'Score Entry'!$B$5:$B$1276,A165,'Score Entry'!$E$5:$E$1276,"Third"),"")</f>
        <v>56</v>
      </c>
      <c r="Q165" s="48" t="n">
        <f aca="false">IF(H165&lt;&gt;"Eligible","",IF(O165="Yes",IF(ISNUMBER(P165),ROUND(AVERAGE(L165,M165,P165),1),""),IF(O165="No",ROUND(AVERAGE(L165:M165),1),"")))</f>
        <v>55.7</v>
      </c>
      <c r="R165" s="37" t="str">
        <f aca="false">IF(H165&lt;&gt;"Eligible","Screened out",IF(COUNT(L165:M165)=0,"Not started",IF(COUNT(L165:M165)=1,"One read done",IF(O165="Yes",IF(ISNUMBER(P165),"Complete","Needs third read"),"Complete"))))</f>
        <v>Complete</v>
      </c>
      <c r="S165" s="37" t="n">
        <f aca="false">IF(Q165="","",COUNTIFS($C$5:$C$600,C165,$Q$5:$Q$600,"&gt;"&amp;Q165)+1)</f>
        <v>82</v>
      </c>
      <c r="T165" s="37" t="str">
        <f aca="false">IF(Q165="","",IF(Q165&gt;=Cutoff,"Yes","No"))</f>
        <v>No</v>
      </c>
      <c r="U165" s="49" t="n">
        <f aca="false">IF(T165="Yes",MIN(F165,INDEX(Settings!$G:$G,MATCH(C165,Settings!$E:$E,0))),0)</f>
        <v>0</v>
      </c>
      <c r="V165" s="49" t="str">
        <f aca="false">IF(T165="Yes",SUMIFS($U$5:$U$600,$C$5:$C$600,C165,$Q$5:$Q$600,"&gt;"&amp;Q165)+U165,"")</f>
        <v/>
      </c>
      <c r="W165" s="37" t="str">
        <f aca="false">IF(T165="Yes",IF(V165&lt;=INDEX(PoolList,MATCH(C165,ProgramList,0)),"Within pool","Over pool"),"")</f>
        <v/>
      </c>
      <c r="X165" s="37" t="n">
        <f aca="false">IF(O165="Yes",COUNTIF($O$5:O165,"Yes"),"")</f>
        <v>22</v>
      </c>
    </row>
    <row r="166" customFormat="false" ht="15" hidden="false" customHeight="false" outlineLevel="0" collapsed="false">
      <c r="A166" s="35" t="s">
        <v>514</v>
      </c>
      <c r="B166" s="35" t="s">
        <v>515</v>
      </c>
      <c r="C166" s="35" t="s">
        <v>104</v>
      </c>
      <c r="D166" s="35" t="s">
        <v>180</v>
      </c>
      <c r="E166" s="35" t="s">
        <v>218</v>
      </c>
      <c r="F166" s="42" t="n">
        <v>95000</v>
      </c>
      <c r="G166" s="36" t="n">
        <v>45915</v>
      </c>
      <c r="H166" s="35" t="s">
        <v>54</v>
      </c>
      <c r="I166" s="35" t="s">
        <v>78</v>
      </c>
      <c r="J166" s="35" t="s">
        <v>82</v>
      </c>
      <c r="K166" s="35"/>
      <c r="L166" s="48" t="n">
        <f aca="false">IFERROR(AVERAGEIFS('Score Entry'!$M$5:$M$1276,'Score Entry'!$B$5:$B$1276,A166,'Score Entry'!$E$5:$E$1276,"Primary"),"")</f>
        <v>68</v>
      </c>
      <c r="M166" s="48" t="n">
        <f aca="false">IFERROR(AVERAGEIFS('Score Entry'!$M$5:$M$1276,'Score Entry'!$B$5:$B$1276,A166,'Score Entry'!$E$5:$E$1276,"Secondary"),"")</f>
        <v>77</v>
      </c>
      <c r="N166" s="48" t="n">
        <f aca="false">IF(COUNT(L166:M166)=2,ABS(L166-M166),"")</f>
        <v>9</v>
      </c>
      <c r="O166" s="37" t="str">
        <f aca="false">IF(N166="","",IF(N166&gt;=Threshold,"Yes","No"))</f>
        <v>No</v>
      </c>
      <c r="P166" s="48" t="str">
        <f aca="false">IFERROR(AVERAGEIFS('Score Entry'!$M$5:$M$1276,'Score Entry'!$B$5:$B$1276,A166,'Score Entry'!$E$5:$E$1276,"Third"),"")</f>
        <v/>
      </c>
      <c r="Q166" s="48" t="n">
        <f aca="false">IF(H166&lt;&gt;"Eligible","",IF(O166="Yes",IF(ISNUMBER(P166),ROUND(AVERAGE(L166,M166,P166),1),""),IF(O166="No",ROUND(AVERAGE(L166:M166),1),"")))</f>
        <v>72.5</v>
      </c>
      <c r="R166" s="37" t="str">
        <f aca="false">IF(H166&lt;&gt;"Eligible","Screened out",IF(COUNT(L166:M166)=0,"Not started",IF(COUNT(L166:M166)=1,"One read done",IF(O166="Yes",IF(ISNUMBER(P166),"Complete","Needs third read"),"Complete"))))</f>
        <v>Complete</v>
      </c>
      <c r="S166" s="37" t="n">
        <f aca="false">IF(Q166="","",COUNTIFS($C$5:$C$600,C166,$Q$5:$Q$600,"&gt;"&amp;Q166)+1)</f>
        <v>40</v>
      </c>
      <c r="T166" s="37" t="str">
        <f aca="false">IF(Q166="","",IF(Q166&gt;=Cutoff,"Yes","No"))</f>
        <v>No</v>
      </c>
      <c r="U166" s="49" t="n">
        <f aca="false">IF(T166="Yes",MIN(F166,INDEX(Settings!$G:$G,MATCH(C166,Settings!$E:$E,0))),0)</f>
        <v>0</v>
      </c>
      <c r="V166" s="49" t="str">
        <f aca="false">IF(T166="Yes",SUMIFS($U$5:$U$600,$C$5:$C$600,C166,$Q$5:$Q$600,"&gt;"&amp;Q166)+U166,"")</f>
        <v/>
      </c>
      <c r="W166" s="37" t="str">
        <f aca="false">IF(T166="Yes",IF(V166&lt;=INDEX(PoolList,MATCH(C166,ProgramList,0)),"Within pool","Over pool"),"")</f>
        <v/>
      </c>
      <c r="X166" s="37" t="str">
        <f aca="false">IF(O166="Yes",COUNTIF($O$5:O166,"Yes"),"")</f>
        <v/>
      </c>
    </row>
    <row r="167" customFormat="false" ht="15" hidden="false" customHeight="false" outlineLevel="0" collapsed="false">
      <c r="A167" s="35" t="s">
        <v>516</v>
      </c>
      <c r="B167" s="35" t="s">
        <v>517</v>
      </c>
      <c r="C167" s="35" t="s">
        <v>104</v>
      </c>
      <c r="D167" s="35" t="s">
        <v>174</v>
      </c>
      <c r="E167" s="35" t="s">
        <v>175</v>
      </c>
      <c r="F167" s="42" t="n">
        <v>81500</v>
      </c>
      <c r="G167" s="36" t="n">
        <v>45918</v>
      </c>
      <c r="H167" s="35" t="s">
        <v>96</v>
      </c>
      <c r="I167" s="35"/>
      <c r="J167" s="35"/>
      <c r="K167" s="35"/>
      <c r="L167" s="48" t="str">
        <f aca="false">IFERROR(AVERAGEIFS('Score Entry'!$M$5:$M$1276,'Score Entry'!$B$5:$B$1276,A167,'Score Entry'!$E$5:$E$1276,"Primary"),"")</f>
        <v/>
      </c>
      <c r="M167" s="48" t="str">
        <f aca="false">IFERROR(AVERAGEIFS('Score Entry'!$M$5:$M$1276,'Score Entry'!$B$5:$B$1276,A167,'Score Entry'!$E$5:$E$1276,"Secondary"),"")</f>
        <v/>
      </c>
      <c r="N167" s="48" t="str">
        <f aca="false">IF(COUNT(L167:M167)=2,ABS(L167-M167),"")</f>
        <v/>
      </c>
      <c r="O167" s="37" t="str">
        <f aca="false">IF(N167="","",IF(N167&gt;=Threshold,"Yes","No"))</f>
        <v/>
      </c>
      <c r="P167" s="48" t="str">
        <f aca="false">IFERROR(AVERAGEIFS('Score Entry'!$M$5:$M$1276,'Score Entry'!$B$5:$B$1276,A167,'Score Entry'!$E$5:$E$1276,"Third"),"")</f>
        <v/>
      </c>
      <c r="Q167" s="48" t="str">
        <f aca="false">IF(H167&lt;&gt;"Eligible","",IF(O167="Yes",IF(ISNUMBER(P167),ROUND(AVERAGE(L167,M167,P167),1),""),IF(O167="No",ROUND(AVERAGE(L167:M167),1),"")))</f>
        <v/>
      </c>
      <c r="R167" s="37" t="str">
        <f aca="false">IF(H167&lt;&gt;"Eligible","Screened out",IF(COUNT(L167:M167)=0,"Not started",IF(COUNT(L167:M167)=1,"One read done",IF(O167="Yes",IF(ISNUMBER(P167),"Complete","Needs third read"),"Complete"))))</f>
        <v>Screened out</v>
      </c>
      <c r="S167" s="37" t="str">
        <f aca="false">IF(Q167="","",COUNTIFS($C$5:$C$600,C167,$Q$5:$Q$600,"&gt;"&amp;Q167)+1)</f>
        <v/>
      </c>
      <c r="T167" s="37" t="str">
        <f aca="false">IF(Q167="","",IF(Q167&gt;=Cutoff,"Yes","No"))</f>
        <v/>
      </c>
      <c r="U167" s="49" t="n">
        <f aca="false">IF(T167="Yes",MIN(F167,INDEX(Settings!$G:$G,MATCH(C167,Settings!$E:$E,0))),0)</f>
        <v>0</v>
      </c>
      <c r="V167" s="49" t="str">
        <f aca="false">IF(T167="Yes",SUMIFS($U$5:$U$600,$C$5:$C$600,C167,$Q$5:$Q$600,"&gt;"&amp;Q167)+U167,"")</f>
        <v/>
      </c>
      <c r="W167" s="37" t="str">
        <f aca="false">IF(T167="Yes",IF(V167&lt;=INDEX(PoolList,MATCH(C167,ProgramList,0)),"Within pool","Over pool"),"")</f>
        <v/>
      </c>
      <c r="X167" s="37" t="str">
        <f aca="false">IF(O167="Yes",COUNTIF($O$5:O167,"Yes"),"")</f>
        <v/>
      </c>
    </row>
    <row r="168" customFormat="false" ht="15" hidden="false" customHeight="false" outlineLevel="0" collapsed="false">
      <c r="A168" s="35" t="s">
        <v>518</v>
      </c>
      <c r="B168" s="35" t="s">
        <v>519</v>
      </c>
      <c r="C168" s="35" t="s">
        <v>106</v>
      </c>
      <c r="D168" s="35" t="s">
        <v>221</v>
      </c>
      <c r="E168" s="35" t="s">
        <v>227</v>
      </c>
      <c r="F168" s="42" t="n">
        <v>82500</v>
      </c>
      <c r="G168" s="36" t="n">
        <v>45913</v>
      </c>
      <c r="H168" s="35" t="s">
        <v>54</v>
      </c>
      <c r="I168" s="35" t="s">
        <v>91</v>
      </c>
      <c r="J168" s="35" t="s">
        <v>85</v>
      </c>
      <c r="K168" s="35" t="s">
        <v>78</v>
      </c>
      <c r="L168" s="48" t="n">
        <f aca="false">IFERROR(AVERAGEIFS('Score Entry'!$M$5:$M$1276,'Score Entry'!$B$5:$B$1276,A168,'Score Entry'!$E$5:$E$1276,"Primary"),"")</f>
        <v>89</v>
      </c>
      <c r="M168" s="48" t="n">
        <f aca="false">IFERROR(AVERAGEIFS('Score Entry'!$M$5:$M$1276,'Score Entry'!$B$5:$B$1276,A168,'Score Entry'!$E$5:$E$1276,"Secondary"),"")</f>
        <v>70</v>
      </c>
      <c r="N168" s="48" t="n">
        <f aca="false">IF(COUNT(L168:M168)=2,ABS(L168-M168),"")</f>
        <v>19</v>
      </c>
      <c r="O168" s="37" t="str">
        <f aca="false">IF(N168="","",IF(N168&gt;=Threshold,"Yes","No"))</f>
        <v>Yes</v>
      </c>
      <c r="P168" s="48" t="n">
        <f aca="false">IFERROR(AVERAGEIFS('Score Entry'!$M$5:$M$1276,'Score Entry'!$B$5:$B$1276,A168,'Score Entry'!$E$5:$E$1276,"Third"),"")</f>
        <v>67</v>
      </c>
      <c r="Q168" s="48" t="n">
        <f aca="false">IF(H168&lt;&gt;"Eligible","",IF(O168="Yes",IF(ISNUMBER(P168),ROUND(AVERAGE(L168,M168,P168),1),""),IF(O168="No",ROUND(AVERAGE(L168:M168),1),"")))</f>
        <v>75.3</v>
      </c>
      <c r="R168" s="37" t="str">
        <f aca="false">IF(H168&lt;&gt;"Eligible","Screened out",IF(COUNT(L168:M168)=0,"Not started",IF(COUNT(L168:M168)=1,"One read done",IF(O168="Yes",IF(ISNUMBER(P168),"Complete","Needs third read"),"Complete"))))</f>
        <v>Complete</v>
      </c>
      <c r="S168" s="37" t="n">
        <f aca="false">IF(Q168="","",COUNTIFS($C$5:$C$600,C168,$Q$5:$Q$600,"&gt;"&amp;Q168)+1)</f>
        <v>37</v>
      </c>
      <c r="T168" s="37" t="str">
        <f aca="false">IF(Q168="","",IF(Q168&gt;=Cutoff,"Yes","No"))</f>
        <v>No</v>
      </c>
      <c r="U168" s="49" t="n">
        <f aca="false">IF(T168="Yes",MIN(F168,INDEX(Settings!$G:$G,MATCH(C168,Settings!$E:$E,0))),0)</f>
        <v>0</v>
      </c>
      <c r="V168" s="49" t="str">
        <f aca="false">IF(T168="Yes",SUMIFS($U$5:$U$600,$C$5:$C$600,C168,$Q$5:$Q$600,"&gt;"&amp;Q168)+U168,"")</f>
        <v/>
      </c>
      <c r="W168" s="37" t="str">
        <f aca="false">IF(T168="Yes",IF(V168&lt;=INDEX(PoolList,MATCH(C168,ProgramList,0)),"Within pool","Over pool"),"")</f>
        <v/>
      </c>
      <c r="X168" s="37" t="n">
        <f aca="false">IF(O168="Yes",COUNTIF($O$5:O168,"Yes"),"")</f>
        <v>23</v>
      </c>
    </row>
    <row r="169" customFormat="false" ht="15" hidden="false" customHeight="false" outlineLevel="0" collapsed="false">
      <c r="A169" s="35" t="s">
        <v>520</v>
      </c>
      <c r="B169" s="35" t="s">
        <v>521</v>
      </c>
      <c r="C169" s="35" t="s">
        <v>106</v>
      </c>
      <c r="D169" s="35" t="s">
        <v>180</v>
      </c>
      <c r="E169" s="35" t="s">
        <v>181</v>
      </c>
      <c r="F169" s="42" t="n">
        <v>112500</v>
      </c>
      <c r="G169" s="36" t="n">
        <v>45927</v>
      </c>
      <c r="H169" s="35" t="s">
        <v>54</v>
      </c>
      <c r="I169" s="35" t="s">
        <v>78</v>
      </c>
      <c r="J169" s="35" t="s">
        <v>91</v>
      </c>
      <c r="K169" s="35"/>
      <c r="L169" s="48" t="n">
        <f aca="false">IFERROR(AVERAGEIFS('Score Entry'!$M$5:$M$1276,'Score Entry'!$B$5:$B$1276,A169,'Score Entry'!$E$5:$E$1276,"Primary"),"")</f>
        <v>47</v>
      </c>
      <c r="M169" s="48" t="n">
        <f aca="false">IFERROR(AVERAGEIFS('Score Entry'!$M$5:$M$1276,'Score Entry'!$B$5:$B$1276,A169,'Score Entry'!$E$5:$E$1276,"Secondary"),"")</f>
        <v>50</v>
      </c>
      <c r="N169" s="48" t="n">
        <f aca="false">IF(COUNT(L169:M169)=2,ABS(L169-M169),"")</f>
        <v>3</v>
      </c>
      <c r="O169" s="37" t="str">
        <f aca="false">IF(N169="","",IF(N169&gt;=Threshold,"Yes","No"))</f>
        <v>No</v>
      </c>
      <c r="P169" s="48" t="str">
        <f aca="false">IFERROR(AVERAGEIFS('Score Entry'!$M$5:$M$1276,'Score Entry'!$B$5:$B$1276,A169,'Score Entry'!$E$5:$E$1276,"Third"),"")</f>
        <v/>
      </c>
      <c r="Q169" s="48" t="n">
        <f aca="false">IF(H169&lt;&gt;"Eligible","",IF(O169="Yes",IF(ISNUMBER(P169),ROUND(AVERAGE(L169,M169,P169),1),""),IF(O169="No",ROUND(AVERAGE(L169:M169),1),"")))</f>
        <v>48.5</v>
      </c>
      <c r="R169" s="37" t="str">
        <f aca="false">IF(H169&lt;&gt;"Eligible","Screened out",IF(COUNT(L169:M169)=0,"Not started",IF(COUNT(L169:M169)=1,"One read done",IF(O169="Yes",IF(ISNUMBER(P169),"Complete","Needs third read"),"Complete"))))</f>
        <v>Complete</v>
      </c>
      <c r="S169" s="37" t="n">
        <f aca="false">IF(Q169="","",COUNTIFS($C$5:$C$600,C169,$Q$5:$Q$600,"&gt;"&amp;Q169)+1)</f>
        <v>110</v>
      </c>
      <c r="T169" s="37" t="str">
        <f aca="false">IF(Q169="","",IF(Q169&gt;=Cutoff,"Yes","No"))</f>
        <v>No</v>
      </c>
      <c r="U169" s="49" t="n">
        <f aca="false">IF(T169="Yes",MIN(F169,INDEX(Settings!$G:$G,MATCH(C169,Settings!$E:$E,0))),0)</f>
        <v>0</v>
      </c>
      <c r="V169" s="49" t="str">
        <f aca="false">IF(T169="Yes",SUMIFS($U$5:$U$600,$C$5:$C$600,C169,$Q$5:$Q$600,"&gt;"&amp;Q169)+U169,"")</f>
        <v/>
      </c>
      <c r="W169" s="37" t="str">
        <f aca="false">IF(T169="Yes",IF(V169&lt;=INDEX(PoolList,MATCH(C169,ProgramList,0)),"Within pool","Over pool"),"")</f>
        <v/>
      </c>
      <c r="X169" s="37" t="str">
        <f aca="false">IF(O169="Yes",COUNTIF($O$5:O169,"Yes"),"")</f>
        <v/>
      </c>
    </row>
    <row r="170" customFormat="false" ht="15" hidden="false" customHeight="false" outlineLevel="0" collapsed="false">
      <c r="A170" s="35" t="s">
        <v>522</v>
      </c>
      <c r="B170" s="35" t="s">
        <v>523</v>
      </c>
      <c r="C170" s="35" t="s">
        <v>104</v>
      </c>
      <c r="D170" s="35" t="s">
        <v>180</v>
      </c>
      <c r="E170" s="35" t="s">
        <v>181</v>
      </c>
      <c r="F170" s="42" t="n">
        <v>126000</v>
      </c>
      <c r="G170" s="36" t="n">
        <v>45918</v>
      </c>
      <c r="H170" s="35" t="s">
        <v>54</v>
      </c>
      <c r="I170" s="35" t="s">
        <v>82</v>
      </c>
      <c r="J170" s="35" t="s">
        <v>88</v>
      </c>
      <c r="K170" s="35"/>
      <c r="L170" s="48" t="n">
        <f aca="false">IFERROR(AVERAGEIFS('Score Entry'!$M$5:$M$1276,'Score Entry'!$B$5:$B$1276,A170,'Score Entry'!$E$5:$E$1276,"Primary"),"")</f>
        <v>81</v>
      </c>
      <c r="M170" s="48" t="n">
        <f aca="false">IFERROR(AVERAGEIFS('Score Entry'!$M$5:$M$1276,'Score Entry'!$B$5:$B$1276,A170,'Score Entry'!$E$5:$E$1276,"Secondary"),"")</f>
        <v>79</v>
      </c>
      <c r="N170" s="48" t="n">
        <f aca="false">IF(COUNT(L170:M170)=2,ABS(L170-M170),"")</f>
        <v>2</v>
      </c>
      <c r="O170" s="37" t="str">
        <f aca="false">IF(N170="","",IF(N170&gt;=Threshold,"Yes","No"))</f>
        <v>No</v>
      </c>
      <c r="P170" s="48" t="str">
        <f aca="false">IFERROR(AVERAGEIFS('Score Entry'!$M$5:$M$1276,'Score Entry'!$B$5:$B$1276,A170,'Score Entry'!$E$5:$E$1276,"Third"),"")</f>
        <v/>
      </c>
      <c r="Q170" s="48" t="n">
        <f aca="false">IF(H170&lt;&gt;"Eligible","",IF(O170="Yes",IF(ISNUMBER(P170),ROUND(AVERAGE(L170,M170,P170),1),""),IF(O170="No",ROUND(AVERAGE(L170:M170),1),"")))</f>
        <v>80</v>
      </c>
      <c r="R170" s="37" t="str">
        <f aca="false">IF(H170&lt;&gt;"Eligible","Screened out",IF(COUNT(L170:M170)=0,"Not started",IF(COUNT(L170:M170)=1,"One read done",IF(O170="Yes",IF(ISNUMBER(P170),"Complete","Needs third read"),"Complete"))))</f>
        <v>Complete</v>
      </c>
      <c r="S170" s="37" t="n">
        <f aca="false">IF(Q170="","",COUNTIFS($C$5:$C$600,C170,$Q$5:$Q$600,"&gt;"&amp;Q170)+1)</f>
        <v>22</v>
      </c>
      <c r="T170" s="37" t="str">
        <f aca="false">IF(Q170="","",IF(Q170&gt;=Cutoff,"Yes","No"))</f>
        <v>No</v>
      </c>
      <c r="U170" s="49" t="n">
        <f aca="false">IF(T170="Yes",MIN(F170,INDEX(Settings!$G:$G,MATCH(C170,Settings!$E:$E,0))),0)</f>
        <v>0</v>
      </c>
      <c r="V170" s="49" t="str">
        <f aca="false">IF(T170="Yes",SUMIFS($U$5:$U$600,$C$5:$C$600,C170,$Q$5:$Q$600,"&gt;"&amp;Q170)+U170,"")</f>
        <v/>
      </c>
      <c r="W170" s="37" t="str">
        <f aca="false">IF(T170="Yes",IF(V170&lt;=INDEX(PoolList,MATCH(C170,ProgramList,0)),"Within pool","Over pool"),"")</f>
        <v/>
      </c>
      <c r="X170" s="37" t="str">
        <f aca="false">IF(O170="Yes",COUNTIF($O$5:O170,"Yes"),"")</f>
        <v/>
      </c>
    </row>
    <row r="171" customFormat="false" ht="15" hidden="false" customHeight="false" outlineLevel="0" collapsed="false">
      <c r="A171" s="35" t="s">
        <v>524</v>
      </c>
      <c r="B171" s="35" t="s">
        <v>525</v>
      </c>
      <c r="C171" s="35" t="s">
        <v>104</v>
      </c>
      <c r="D171" s="35" t="s">
        <v>180</v>
      </c>
      <c r="E171" s="35" t="s">
        <v>218</v>
      </c>
      <c r="F171" s="42" t="n">
        <v>116000</v>
      </c>
      <c r="G171" s="36" t="n">
        <v>45927</v>
      </c>
      <c r="H171" s="35" t="s">
        <v>54</v>
      </c>
      <c r="I171" s="35" t="s">
        <v>85</v>
      </c>
      <c r="J171" s="35" t="s">
        <v>94</v>
      </c>
      <c r="K171" s="35"/>
      <c r="L171" s="48" t="n">
        <f aca="false">IFERROR(AVERAGEIFS('Score Entry'!$M$5:$M$1276,'Score Entry'!$B$5:$B$1276,A171,'Score Entry'!$E$5:$E$1276,"Primary"),"")</f>
        <v>97</v>
      </c>
      <c r="M171" s="48" t="n">
        <f aca="false">IFERROR(AVERAGEIFS('Score Entry'!$M$5:$M$1276,'Score Entry'!$B$5:$B$1276,A171,'Score Entry'!$E$5:$E$1276,"Secondary"),"")</f>
        <v>86</v>
      </c>
      <c r="N171" s="48" t="n">
        <f aca="false">IF(COUNT(L171:M171)=2,ABS(L171-M171),"")</f>
        <v>11</v>
      </c>
      <c r="O171" s="37" t="str">
        <f aca="false">IF(N171="","",IF(N171&gt;=Threshold,"Yes","No"))</f>
        <v>No</v>
      </c>
      <c r="P171" s="48" t="str">
        <f aca="false">IFERROR(AVERAGEIFS('Score Entry'!$M$5:$M$1276,'Score Entry'!$B$5:$B$1276,A171,'Score Entry'!$E$5:$E$1276,"Third"),"")</f>
        <v/>
      </c>
      <c r="Q171" s="48" t="n">
        <f aca="false">IF(H171&lt;&gt;"Eligible","",IF(O171="Yes",IF(ISNUMBER(P171),ROUND(AVERAGE(L171,M171,P171),1),""),IF(O171="No",ROUND(AVERAGE(L171:M171),1),"")))</f>
        <v>91.5</v>
      </c>
      <c r="R171" s="37" t="str">
        <f aca="false">IF(H171&lt;&gt;"Eligible","Screened out",IF(COUNT(L171:M171)=0,"Not started",IF(COUNT(L171:M171)=1,"One read done",IF(O171="Yes",IF(ISNUMBER(P171),"Complete","Needs third read"),"Complete"))))</f>
        <v>Complete</v>
      </c>
      <c r="S171" s="37" t="n">
        <f aca="false">IF(Q171="","",COUNTIFS($C$5:$C$600,C171,$Q$5:$Q$600,"&gt;"&amp;Q171)+1)</f>
        <v>8</v>
      </c>
      <c r="T171" s="37" t="str">
        <f aca="false">IF(Q171="","",IF(Q171&gt;=Cutoff,"Yes","No"))</f>
        <v>Yes</v>
      </c>
      <c r="U171" s="49" t="n">
        <f aca="false">IF(T171="Yes",MIN(F171,INDEX(Settings!$G:$G,MATCH(C171,Settings!$E:$E,0))),0)</f>
        <v>116000</v>
      </c>
      <c r="V171" s="49" t="n">
        <f aca="false">IF(T171="Yes",SUMIFS($U$5:$U$600,$C$5:$C$600,C171,$Q$5:$Q$600,"&gt;"&amp;Q171)+U171,"")</f>
        <v>918000</v>
      </c>
      <c r="W171" s="37" t="str">
        <f aca="false">IF(T171="Yes",IF(V171&lt;=INDEX(PoolList,MATCH(C171,ProgramList,0)),"Within pool","Over pool"),"")</f>
        <v>Within pool</v>
      </c>
      <c r="X171" s="37" t="str">
        <f aca="false">IF(O171="Yes",COUNTIF($O$5:O171,"Yes"),"")</f>
        <v/>
      </c>
    </row>
    <row r="172" customFormat="false" ht="15" hidden="false" customHeight="false" outlineLevel="0" collapsed="false">
      <c r="A172" s="35" t="s">
        <v>526</v>
      </c>
      <c r="B172" s="35" t="s">
        <v>527</v>
      </c>
      <c r="C172" s="35" t="s">
        <v>104</v>
      </c>
      <c r="D172" s="35" t="s">
        <v>174</v>
      </c>
      <c r="E172" s="35" t="s">
        <v>175</v>
      </c>
      <c r="F172" s="42" t="n">
        <v>44500</v>
      </c>
      <c r="G172" s="36" t="n">
        <v>45916</v>
      </c>
      <c r="H172" s="35" t="s">
        <v>54</v>
      </c>
      <c r="I172" s="35" t="s">
        <v>85</v>
      </c>
      <c r="J172" s="35" t="s">
        <v>94</v>
      </c>
      <c r="K172" s="35"/>
      <c r="L172" s="48" t="n">
        <f aca="false">IFERROR(AVERAGEIFS('Score Entry'!$M$5:$M$1276,'Score Entry'!$B$5:$B$1276,A172,'Score Entry'!$E$5:$E$1276,"Primary"),"")</f>
        <v>60</v>
      </c>
      <c r="M172" s="48" t="n">
        <f aca="false">IFERROR(AVERAGEIFS('Score Entry'!$M$5:$M$1276,'Score Entry'!$B$5:$B$1276,A172,'Score Entry'!$E$5:$E$1276,"Secondary"),"")</f>
        <v>54</v>
      </c>
      <c r="N172" s="48" t="n">
        <f aca="false">IF(COUNT(L172:M172)=2,ABS(L172-M172),"")</f>
        <v>6</v>
      </c>
      <c r="O172" s="37" t="str">
        <f aca="false">IF(N172="","",IF(N172&gt;=Threshold,"Yes","No"))</f>
        <v>No</v>
      </c>
      <c r="P172" s="48" t="str">
        <f aca="false">IFERROR(AVERAGEIFS('Score Entry'!$M$5:$M$1276,'Score Entry'!$B$5:$B$1276,A172,'Score Entry'!$E$5:$E$1276,"Third"),"")</f>
        <v/>
      </c>
      <c r="Q172" s="48" t="n">
        <f aca="false">IF(H172&lt;&gt;"Eligible","",IF(O172="Yes",IF(ISNUMBER(P172),ROUND(AVERAGE(L172,M172,P172),1),""),IF(O172="No",ROUND(AVERAGE(L172:M172),1),"")))</f>
        <v>57</v>
      </c>
      <c r="R172" s="37" t="str">
        <f aca="false">IF(H172&lt;&gt;"Eligible","Screened out",IF(COUNT(L172:M172)=0,"Not started",IF(COUNT(L172:M172)=1,"One read done",IF(O172="Yes",IF(ISNUMBER(P172),"Complete","Needs third read"),"Complete"))))</f>
        <v>Complete</v>
      </c>
      <c r="S172" s="37" t="n">
        <f aca="false">IF(Q172="","",COUNTIFS($C$5:$C$600,C172,$Q$5:$Q$600,"&gt;"&amp;Q172)+1)</f>
        <v>84</v>
      </c>
      <c r="T172" s="37" t="str">
        <f aca="false">IF(Q172="","",IF(Q172&gt;=Cutoff,"Yes","No"))</f>
        <v>No</v>
      </c>
      <c r="U172" s="49" t="n">
        <f aca="false">IF(T172="Yes",MIN(F172,INDEX(Settings!$G:$G,MATCH(C172,Settings!$E:$E,0))),0)</f>
        <v>0</v>
      </c>
      <c r="V172" s="49" t="str">
        <f aca="false">IF(T172="Yes",SUMIFS($U$5:$U$600,$C$5:$C$600,C172,$Q$5:$Q$600,"&gt;"&amp;Q172)+U172,"")</f>
        <v/>
      </c>
      <c r="W172" s="37" t="str">
        <f aca="false">IF(T172="Yes",IF(V172&lt;=INDEX(PoolList,MATCH(C172,ProgramList,0)),"Within pool","Over pool"),"")</f>
        <v/>
      </c>
      <c r="X172" s="37" t="str">
        <f aca="false">IF(O172="Yes",COUNTIF($O$5:O172,"Yes"),"")</f>
        <v/>
      </c>
    </row>
    <row r="173" customFormat="false" ht="15" hidden="false" customHeight="false" outlineLevel="0" collapsed="false">
      <c r="A173" s="35" t="s">
        <v>528</v>
      </c>
      <c r="B173" s="35" t="s">
        <v>529</v>
      </c>
      <c r="C173" s="35" t="s">
        <v>103</v>
      </c>
      <c r="D173" s="35" t="s">
        <v>190</v>
      </c>
      <c r="E173" s="35" t="s">
        <v>191</v>
      </c>
      <c r="F173" s="42" t="n">
        <v>113500</v>
      </c>
      <c r="G173" s="36" t="n">
        <v>45917</v>
      </c>
      <c r="H173" s="35" t="s">
        <v>54</v>
      </c>
      <c r="I173" s="35" t="s">
        <v>82</v>
      </c>
      <c r="J173" s="35" t="s">
        <v>78</v>
      </c>
      <c r="K173" s="35"/>
      <c r="L173" s="48" t="n">
        <f aca="false">IFERROR(AVERAGEIFS('Score Entry'!$M$5:$M$1276,'Score Entry'!$B$5:$B$1276,A173,'Score Entry'!$E$5:$E$1276,"Primary"),"")</f>
        <v>73</v>
      </c>
      <c r="M173" s="48" t="n">
        <f aca="false">IFERROR(AVERAGEIFS('Score Entry'!$M$5:$M$1276,'Score Entry'!$B$5:$B$1276,A173,'Score Entry'!$E$5:$E$1276,"Secondary"),"")</f>
        <v>84</v>
      </c>
      <c r="N173" s="48" t="n">
        <f aca="false">IF(COUNT(L173:M173)=2,ABS(L173-M173),"")</f>
        <v>11</v>
      </c>
      <c r="O173" s="37" t="str">
        <f aca="false">IF(N173="","",IF(N173&gt;=Threshold,"Yes","No"))</f>
        <v>No</v>
      </c>
      <c r="P173" s="48" t="str">
        <f aca="false">IFERROR(AVERAGEIFS('Score Entry'!$M$5:$M$1276,'Score Entry'!$B$5:$B$1276,A173,'Score Entry'!$E$5:$E$1276,"Third"),"")</f>
        <v/>
      </c>
      <c r="Q173" s="48" t="n">
        <f aca="false">IF(H173&lt;&gt;"Eligible","",IF(O173="Yes",IF(ISNUMBER(P173),ROUND(AVERAGE(L173,M173,P173),1),""),IF(O173="No",ROUND(AVERAGE(L173:M173),1),"")))</f>
        <v>78.5</v>
      </c>
      <c r="R173" s="37" t="str">
        <f aca="false">IF(H173&lt;&gt;"Eligible","Screened out",IF(COUNT(L173:M173)=0,"Not started",IF(COUNT(L173:M173)=1,"One read done",IF(O173="Yes",IF(ISNUMBER(P173),"Complete","Needs third read"),"Complete"))))</f>
        <v>Complete</v>
      </c>
      <c r="S173" s="37" t="n">
        <f aca="false">IF(Q173="","",COUNTIFS($C$5:$C$600,C173,$Q$5:$Q$600,"&gt;"&amp;Q173)+1)</f>
        <v>26</v>
      </c>
      <c r="T173" s="37" t="str">
        <f aca="false">IF(Q173="","",IF(Q173&gt;=Cutoff,"Yes","No"))</f>
        <v>No</v>
      </c>
      <c r="U173" s="49" t="n">
        <f aca="false">IF(T173="Yes",MIN(F173,INDEX(Settings!$G:$G,MATCH(C173,Settings!$E:$E,0))),0)</f>
        <v>0</v>
      </c>
      <c r="V173" s="49" t="str">
        <f aca="false">IF(T173="Yes",SUMIFS($U$5:$U$600,$C$5:$C$600,C173,$Q$5:$Q$600,"&gt;"&amp;Q173)+U173,"")</f>
        <v/>
      </c>
      <c r="W173" s="37" t="str">
        <f aca="false">IF(T173="Yes",IF(V173&lt;=INDEX(PoolList,MATCH(C173,ProgramList,0)),"Within pool","Over pool"),"")</f>
        <v/>
      </c>
      <c r="X173" s="37" t="str">
        <f aca="false">IF(O173="Yes",COUNTIF($O$5:O173,"Yes"),"")</f>
        <v/>
      </c>
    </row>
    <row r="174" customFormat="false" ht="15" hidden="false" customHeight="false" outlineLevel="0" collapsed="false">
      <c r="A174" s="35" t="s">
        <v>530</v>
      </c>
      <c r="B174" s="35" t="s">
        <v>531</v>
      </c>
      <c r="C174" s="35" t="s">
        <v>105</v>
      </c>
      <c r="D174" s="35" t="s">
        <v>174</v>
      </c>
      <c r="E174" s="35" t="s">
        <v>175</v>
      </c>
      <c r="F174" s="42" t="n">
        <v>60000</v>
      </c>
      <c r="G174" s="36" t="n">
        <v>45919</v>
      </c>
      <c r="H174" s="35" t="s">
        <v>54</v>
      </c>
      <c r="I174" s="35" t="s">
        <v>88</v>
      </c>
      <c r="J174" s="35" t="s">
        <v>91</v>
      </c>
      <c r="K174" s="35"/>
      <c r="L174" s="48" t="n">
        <f aca="false">IFERROR(AVERAGEIFS('Score Entry'!$M$5:$M$1276,'Score Entry'!$B$5:$B$1276,A174,'Score Entry'!$E$5:$E$1276,"Primary"),"")</f>
        <v>86</v>
      </c>
      <c r="M174" s="48" t="str">
        <f aca="false">IFERROR(AVERAGEIFS('Score Entry'!$M$5:$M$1276,'Score Entry'!$B$5:$B$1276,A174,'Score Entry'!$E$5:$E$1276,"Secondary"),"")</f>
        <v/>
      </c>
      <c r="N174" s="48" t="str">
        <f aca="false">IF(COUNT(L174:M174)=2,ABS(L174-M174),"")</f>
        <v/>
      </c>
      <c r="O174" s="37" t="str">
        <f aca="false">IF(N174="","",IF(N174&gt;=Threshold,"Yes","No"))</f>
        <v/>
      </c>
      <c r="P174" s="48" t="str">
        <f aca="false">IFERROR(AVERAGEIFS('Score Entry'!$M$5:$M$1276,'Score Entry'!$B$5:$B$1276,A174,'Score Entry'!$E$5:$E$1276,"Third"),"")</f>
        <v/>
      </c>
      <c r="Q174" s="48" t="str">
        <f aca="false">IF(H174&lt;&gt;"Eligible","",IF(O174="Yes",IF(ISNUMBER(P174),ROUND(AVERAGE(L174,M174,P174),1),""),IF(O174="No",ROUND(AVERAGE(L174:M174),1),"")))</f>
        <v/>
      </c>
      <c r="R174" s="37" t="str">
        <f aca="false">IF(H174&lt;&gt;"Eligible","Screened out",IF(COUNT(L174:M174)=0,"Not started",IF(COUNT(L174:M174)=1,"One read done",IF(O174="Yes",IF(ISNUMBER(P174),"Complete","Needs third read"),"Complete"))))</f>
        <v>One read done</v>
      </c>
      <c r="S174" s="37" t="str">
        <f aca="false">IF(Q174="","",COUNTIFS($C$5:$C$600,C174,$Q$5:$Q$600,"&gt;"&amp;Q174)+1)</f>
        <v/>
      </c>
      <c r="T174" s="37" t="str">
        <f aca="false">IF(Q174="","",IF(Q174&gt;=Cutoff,"Yes","No"))</f>
        <v/>
      </c>
      <c r="U174" s="49" t="n">
        <f aca="false">IF(T174="Yes",MIN(F174,INDEX(Settings!$G:$G,MATCH(C174,Settings!$E:$E,0))),0)</f>
        <v>0</v>
      </c>
      <c r="V174" s="49" t="str">
        <f aca="false">IF(T174="Yes",SUMIFS($U$5:$U$600,$C$5:$C$600,C174,$Q$5:$Q$600,"&gt;"&amp;Q174)+U174,"")</f>
        <v/>
      </c>
      <c r="W174" s="37" t="str">
        <f aca="false">IF(T174="Yes",IF(V174&lt;=INDEX(PoolList,MATCH(C174,ProgramList,0)),"Within pool","Over pool"),"")</f>
        <v/>
      </c>
      <c r="X174" s="37" t="str">
        <f aca="false">IF(O174="Yes",COUNTIF($O$5:O174,"Yes"),"")</f>
        <v/>
      </c>
    </row>
    <row r="175" customFormat="false" ht="15" hidden="false" customHeight="false" outlineLevel="0" collapsed="false">
      <c r="A175" s="35" t="s">
        <v>532</v>
      </c>
      <c r="B175" s="35" t="s">
        <v>533</v>
      </c>
      <c r="C175" s="35" t="s">
        <v>103</v>
      </c>
      <c r="D175" s="35" t="s">
        <v>221</v>
      </c>
      <c r="E175" s="35" t="s">
        <v>258</v>
      </c>
      <c r="F175" s="42" t="n">
        <v>114000</v>
      </c>
      <c r="G175" s="36" t="n">
        <v>45918</v>
      </c>
      <c r="H175" s="35" t="s">
        <v>96</v>
      </c>
      <c r="I175" s="35"/>
      <c r="J175" s="35"/>
      <c r="K175" s="35"/>
      <c r="L175" s="48" t="str">
        <f aca="false">IFERROR(AVERAGEIFS('Score Entry'!$M$5:$M$1276,'Score Entry'!$B$5:$B$1276,A175,'Score Entry'!$E$5:$E$1276,"Primary"),"")</f>
        <v/>
      </c>
      <c r="M175" s="48" t="str">
        <f aca="false">IFERROR(AVERAGEIFS('Score Entry'!$M$5:$M$1276,'Score Entry'!$B$5:$B$1276,A175,'Score Entry'!$E$5:$E$1276,"Secondary"),"")</f>
        <v/>
      </c>
      <c r="N175" s="48" t="str">
        <f aca="false">IF(COUNT(L175:M175)=2,ABS(L175-M175),"")</f>
        <v/>
      </c>
      <c r="O175" s="37" t="str">
        <f aca="false">IF(N175="","",IF(N175&gt;=Threshold,"Yes","No"))</f>
        <v/>
      </c>
      <c r="P175" s="48" t="str">
        <f aca="false">IFERROR(AVERAGEIFS('Score Entry'!$M$5:$M$1276,'Score Entry'!$B$5:$B$1276,A175,'Score Entry'!$E$5:$E$1276,"Third"),"")</f>
        <v/>
      </c>
      <c r="Q175" s="48" t="str">
        <f aca="false">IF(H175&lt;&gt;"Eligible","",IF(O175="Yes",IF(ISNUMBER(P175),ROUND(AVERAGE(L175,M175,P175),1),""),IF(O175="No",ROUND(AVERAGE(L175:M175),1),"")))</f>
        <v/>
      </c>
      <c r="R175" s="37" t="str">
        <f aca="false">IF(H175&lt;&gt;"Eligible","Screened out",IF(COUNT(L175:M175)=0,"Not started",IF(COUNT(L175:M175)=1,"One read done",IF(O175="Yes",IF(ISNUMBER(P175),"Complete","Needs third read"),"Complete"))))</f>
        <v>Screened out</v>
      </c>
      <c r="S175" s="37" t="str">
        <f aca="false">IF(Q175="","",COUNTIFS($C$5:$C$600,C175,$Q$5:$Q$600,"&gt;"&amp;Q175)+1)</f>
        <v/>
      </c>
      <c r="T175" s="37" t="str">
        <f aca="false">IF(Q175="","",IF(Q175&gt;=Cutoff,"Yes","No"))</f>
        <v/>
      </c>
      <c r="U175" s="49" t="n">
        <f aca="false">IF(T175="Yes",MIN(F175,INDEX(Settings!$G:$G,MATCH(C175,Settings!$E:$E,0))),0)</f>
        <v>0</v>
      </c>
      <c r="V175" s="49" t="str">
        <f aca="false">IF(T175="Yes",SUMIFS($U$5:$U$600,$C$5:$C$600,C175,$Q$5:$Q$600,"&gt;"&amp;Q175)+U175,"")</f>
        <v/>
      </c>
      <c r="W175" s="37" t="str">
        <f aca="false">IF(T175="Yes",IF(V175&lt;=INDEX(PoolList,MATCH(C175,ProgramList,0)),"Within pool","Over pool"),"")</f>
        <v/>
      </c>
      <c r="X175" s="37" t="str">
        <f aca="false">IF(O175="Yes",COUNTIF($O$5:O175,"Yes"),"")</f>
        <v/>
      </c>
    </row>
    <row r="176" customFormat="false" ht="15" hidden="false" customHeight="false" outlineLevel="0" collapsed="false">
      <c r="A176" s="35" t="s">
        <v>534</v>
      </c>
      <c r="B176" s="35" t="s">
        <v>535</v>
      </c>
      <c r="C176" s="35" t="s">
        <v>104</v>
      </c>
      <c r="D176" s="35" t="s">
        <v>174</v>
      </c>
      <c r="E176" s="35" t="s">
        <v>175</v>
      </c>
      <c r="F176" s="42" t="n">
        <v>101000</v>
      </c>
      <c r="G176" s="36" t="n">
        <v>45907</v>
      </c>
      <c r="H176" s="35" t="s">
        <v>54</v>
      </c>
      <c r="I176" s="35" t="s">
        <v>82</v>
      </c>
      <c r="J176" s="35" t="s">
        <v>88</v>
      </c>
      <c r="K176" s="35" t="s">
        <v>85</v>
      </c>
      <c r="L176" s="48" t="n">
        <f aca="false">IFERROR(AVERAGEIFS('Score Entry'!$M$5:$M$1276,'Score Entry'!$B$5:$B$1276,A176,'Score Entry'!$E$5:$E$1276,"Primary"),"")</f>
        <v>55</v>
      </c>
      <c r="M176" s="48" t="n">
        <f aca="false">IFERROR(AVERAGEIFS('Score Entry'!$M$5:$M$1276,'Score Entry'!$B$5:$B$1276,A176,'Score Entry'!$E$5:$E$1276,"Secondary"),"")</f>
        <v>82</v>
      </c>
      <c r="N176" s="48" t="n">
        <f aca="false">IF(COUNT(L176:M176)=2,ABS(L176-M176),"")</f>
        <v>27</v>
      </c>
      <c r="O176" s="37" t="str">
        <f aca="false">IF(N176="","",IF(N176&gt;=Threshold,"Yes","No"))</f>
        <v>Yes</v>
      </c>
      <c r="P176" s="48" t="n">
        <f aca="false">IFERROR(AVERAGEIFS('Score Entry'!$M$5:$M$1276,'Score Entry'!$B$5:$B$1276,A176,'Score Entry'!$E$5:$E$1276,"Third"),"")</f>
        <v>54</v>
      </c>
      <c r="Q176" s="48" t="n">
        <f aca="false">IF(H176&lt;&gt;"Eligible","",IF(O176="Yes",IF(ISNUMBER(P176),ROUND(AVERAGE(L176,M176,P176),1),""),IF(O176="No",ROUND(AVERAGE(L176:M176),1),"")))</f>
        <v>63.7</v>
      </c>
      <c r="R176" s="37" t="str">
        <f aca="false">IF(H176&lt;&gt;"Eligible","Screened out",IF(COUNT(L176:M176)=0,"Not started",IF(COUNT(L176:M176)=1,"One read done",IF(O176="Yes",IF(ISNUMBER(P176),"Complete","Needs third read"),"Complete"))))</f>
        <v>Complete</v>
      </c>
      <c r="S176" s="37" t="n">
        <f aca="false">IF(Q176="","",COUNTIFS($C$5:$C$600,C176,$Q$5:$Q$600,"&gt;"&amp;Q176)+1)</f>
        <v>62</v>
      </c>
      <c r="T176" s="37" t="str">
        <f aca="false">IF(Q176="","",IF(Q176&gt;=Cutoff,"Yes","No"))</f>
        <v>No</v>
      </c>
      <c r="U176" s="49" t="n">
        <f aca="false">IF(T176="Yes",MIN(F176,INDEX(Settings!$G:$G,MATCH(C176,Settings!$E:$E,0))),0)</f>
        <v>0</v>
      </c>
      <c r="V176" s="49" t="str">
        <f aca="false">IF(T176="Yes",SUMIFS($U$5:$U$600,$C$5:$C$600,C176,$Q$5:$Q$600,"&gt;"&amp;Q176)+U176,"")</f>
        <v/>
      </c>
      <c r="W176" s="37" t="str">
        <f aca="false">IF(T176="Yes",IF(V176&lt;=INDEX(PoolList,MATCH(C176,ProgramList,0)),"Within pool","Over pool"),"")</f>
        <v/>
      </c>
      <c r="X176" s="37" t="n">
        <f aca="false">IF(O176="Yes",COUNTIF($O$5:O176,"Yes"),"")</f>
        <v>24</v>
      </c>
    </row>
    <row r="177" customFormat="false" ht="15" hidden="false" customHeight="false" outlineLevel="0" collapsed="false">
      <c r="A177" s="35" t="s">
        <v>536</v>
      </c>
      <c r="B177" s="35" t="s">
        <v>537</v>
      </c>
      <c r="C177" s="35" t="s">
        <v>105</v>
      </c>
      <c r="D177" s="35" t="s">
        <v>221</v>
      </c>
      <c r="E177" s="35" t="s">
        <v>258</v>
      </c>
      <c r="F177" s="42" t="n">
        <v>127500</v>
      </c>
      <c r="G177" s="36" t="n">
        <v>45916</v>
      </c>
      <c r="H177" s="35" t="s">
        <v>96</v>
      </c>
      <c r="I177" s="35"/>
      <c r="J177" s="35"/>
      <c r="K177" s="35"/>
      <c r="L177" s="48" t="str">
        <f aca="false">IFERROR(AVERAGEIFS('Score Entry'!$M$5:$M$1276,'Score Entry'!$B$5:$B$1276,A177,'Score Entry'!$E$5:$E$1276,"Primary"),"")</f>
        <v/>
      </c>
      <c r="M177" s="48" t="str">
        <f aca="false">IFERROR(AVERAGEIFS('Score Entry'!$M$5:$M$1276,'Score Entry'!$B$5:$B$1276,A177,'Score Entry'!$E$5:$E$1276,"Secondary"),"")</f>
        <v/>
      </c>
      <c r="N177" s="48" t="str">
        <f aca="false">IF(COUNT(L177:M177)=2,ABS(L177-M177),"")</f>
        <v/>
      </c>
      <c r="O177" s="37" t="str">
        <f aca="false">IF(N177="","",IF(N177&gt;=Threshold,"Yes","No"))</f>
        <v/>
      </c>
      <c r="P177" s="48" t="str">
        <f aca="false">IFERROR(AVERAGEIFS('Score Entry'!$M$5:$M$1276,'Score Entry'!$B$5:$B$1276,A177,'Score Entry'!$E$5:$E$1276,"Third"),"")</f>
        <v/>
      </c>
      <c r="Q177" s="48" t="str">
        <f aca="false">IF(H177&lt;&gt;"Eligible","",IF(O177="Yes",IF(ISNUMBER(P177),ROUND(AVERAGE(L177,M177,P177),1),""),IF(O177="No",ROUND(AVERAGE(L177:M177),1),"")))</f>
        <v/>
      </c>
      <c r="R177" s="37" t="str">
        <f aca="false">IF(H177&lt;&gt;"Eligible","Screened out",IF(COUNT(L177:M177)=0,"Not started",IF(COUNT(L177:M177)=1,"One read done",IF(O177="Yes",IF(ISNUMBER(P177),"Complete","Needs third read"),"Complete"))))</f>
        <v>Screened out</v>
      </c>
      <c r="S177" s="37" t="str">
        <f aca="false">IF(Q177="","",COUNTIFS($C$5:$C$600,C177,$Q$5:$Q$600,"&gt;"&amp;Q177)+1)</f>
        <v/>
      </c>
      <c r="T177" s="37" t="str">
        <f aca="false">IF(Q177="","",IF(Q177&gt;=Cutoff,"Yes","No"))</f>
        <v/>
      </c>
      <c r="U177" s="49" t="n">
        <f aca="false">IF(T177="Yes",MIN(F177,INDEX(Settings!$G:$G,MATCH(C177,Settings!$E:$E,0))),0)</f>
        <v>0</v>
      </c>
      <c r="V177" s="49" t="str">
        <f aca="false">IF(T177="Yes",SUMIFS($U$5:$U$600,$C$5:$C$600,C177,$Q$5:$Q$600,"&gt;"&amp;Q177)+U177,"")</f>
        <v/>
      </c>
      <c r="W177" s="37" t="str">
        <f aca="false">IF(T177="Yes",IF(V177&lt;=INDEX(PoolList,MATCH(C177,ProgramList,0)),"Within pool","Over pool"),"")</f>
        <v/>
      </c>
      <c r="X177" s="37" t="str">
        <f aca="false">IF(O177="Yes",COUNTIF($O$5:O177,"Yes"),"")</f>
        <v/>
      </c>
    </row>
    <row r="178" customFormat="false" ht="15" hidden="false" customHeight="false" outlineLevel="0" collapsed="false">
      <c r="A178" s="35" t="s">
        <v>538</v>
      </c>
      <c r="B178" s="35" t="s">
        <v>539</v>
      </c>
      <c r="C178" s="35" t="s">
        <v>106</v>
      </c>
      <c r="D178" s="35" t="s">
        <v>174</v>
      </c>
      <c r="E178" s="35" t="s">
        <v>175</v>
      </c>
      <c r="F178" s="42" t="n">
        <v>62000</v>
      </c>
      <c r="G178" s="36" t="n">
        <v>45913</v>
      </c>
      <c r="H178" s="35" t="s">
        <v>54</v>
      </c>
      <c r="I178" s="35" t="s">
        <v>78</v>
      </c>
      <c r="J178" s="35" t="s">
        <v>85</v>
      </c>
      <c r="K178" s="35"/>
      <c r="L178" s="48" t="n">
        <f aca="false">IFERROR(AVERAGEIFS('Score Entry'!$M$5:$M$1276,'Score Entry'!$B$5:$B$1276,A178,'Score Entry'!$E$5:$E$1276,"Primary"),"")</f>
        <v>69</v>
      </c>
      <c r="M178" s="48" t="n">
        <f aca="false">IFERROR(AVERAGEIFS('Score Entry'!$M$5:$M$1276,'Score Entry'!$B$5:$B$1276,A178,'Score Entry'!$E$5:$E$1276,"Secondary"),"")</f>
        <v>62</v>
      </c>
      <c r="N178" s="48" t="n">
        <f aca="false">IF(COUNT(L178:M178)=2,ABS(L178-M178),"")</f>
        <v>7</v>
      </c>
      <c r="O178" s="37" t="str">
        <f aca="false">IF(N178="","",IF(N178&gt;=Threshold,"Yes","No"))</f>
        <v>No</v>
      </c>
      <c r="P178" s="48" t="str">
        <f aca="false">IFERROR(AVERAGEIFS('Score Entry'!$M$5:$M$1276,'Score Entry'!$B$5:$B$1276,A178,'Score Entry'!$E$5:$E$1276,"Third"),"")</f>
        <v/>
      </c>
      <c r="Q178" s="48" t="n">
        <f aca="false">IF(H178&lt;&gt;"Eligible","",IF(O178="Yes",IF(ISNUMBER(P178),ROUND(AVERAGE(L178,M178,P178),1),""),IF(O178="No",ROUND(AVERAGE(L178:M178),1),"")))</f>
        <v>65.5</v>
      </c>
      <c r="R178" s="37" t="str">
        <f aca="false">IF(H178&lt;&gt;"Eligible","Screened out",IF(COUNT(L178:M178)=0,"Not started",IF(COUNT(L178:M178)=1,"One read done",IF(O178="Yes",IF(ISNUMBER(P178),"Complete","Needs third read"),"Complete"))))</f>
        <v>Complete</v>
      </c>
      <c r="S178" s="37" t="n">
        <f aca="false">IF(Q178="","",COUNTIFS($C$5:$C$600,C178,$Q$5:$Q$600,"&gt;"&amp;Q178)+1)</f>
        <v>68</v>
      </c>
      <c r="T178" s="37" t="str">
        <f aca="false">IF(Q178="","",IF(Q178&gt;=Cutoff,"Yes","No"))</f>
        <v>No</v>
      </c>
      <c r="U178" s="49" t="n">
        <f aca="false">IF(T178="Yes",MIN(F178,INDEX(Settings!$G:$G,MATCH(C178,Settings!$E:$E,0))),0)</f>
        <v>0</v>
      </c>
      <c r="V178" s="49" t="str">
        <f aca="false">IF(T178="Yes",SUMIFS($U$5:$U$600,$C$5:$C$600,C178,$Q$5:$Q$600,"&gt;"&amp;Q178)+U178,"")</f>
        <v/>
      </c>
      <c r="W178" s="37" t="str">
        <f aca="false">IF(T178="Yes",IF(V178&lt;=INDEX(PoolList,MATCH(C178,ProgramList,0)),"Within pool","Over pool"),"")</f>
        <v/>
      </c>
      <c r="X178" s="37" t="str">
        <f aca="false">IF(O178="Yes",COUNTIF($O$5:O178,"Yes"),"")</f>
        <v/>
      </c>
    </row>
    <row r="179" customFormat="false" ht="15" hidden="false" customHeight="false" outlineLevel="0" collapsed="false">
      <c r="A179" s="35" t="s">
        <v>540</v>
      </c>
      <c r="B179" s="35" t="s">
        <v>541</v>
      </c>
      <c r="C179" s="35" t="s">
        <v>103</v>
      </c>
      <c r="D179" s="35" t="s">
        <v>174</v>
      </c>
      <c r="E179" s="35" t="s">
        <v>175</v>
      </c>
      <c r="F179" s="42" t="n">
        <v>74500</v>
      </c>
      <c r="G179" s="36" t="n">
        <v>45927</v>
      </c>
      <c r="H179" s="35" t="s">
        <v>54</v>
      </c>
      <c r="I179" s="35" t="s">
        <v>91</v>
      </c>
      <c r="J179" s="35" t="s">
        <v>82</v>
      </c>
      <c r="K179" s="35"/>
      <c r="L179" s="48" t="n">
        <f aca="false">IFERROR(AVERAGEIFS('Score Entry'!$M$5:$M$1276,'Score Entry'!$B$5:$B$1276,A179,'Score Entry'!$E$5:$E$1276,"Primary"),"")</f>
        <v>85</v>
      </c>
      <c r="M179" s="48" t="n">
        <f aca="false">IFERROR(AVERAGEIFS('Score Entry'!$M$5:$M$1276,'Score Entry'!$B$5:$B$1276,A179,'Score Entry'!$E$5:$E$1276,"Secondary"),"")</f>
        <v>80</v>
      </c>
      <c r="N179" s="48" t="n">
        <f aca="false">IF(COUNT(L179:M179)=2,ABS(L179-M179),"")</f>
        <v>5</v>
      </c>
      <c r="O179" s="37" t="str">
        <f aca="false">IF(N179="","",IF(N179&gt;=Threshold,"Yes","No"))</f>
        <v>No</v>
      </c>
      <c r="P179" s="48" t="str">
        <f aca="false">IFERROR(AVERAGEIFS('Score Entry'!$M$5:$M$1276,'Score Entry'!$B$5:$B$1276,A179,'Score Entry'!$E$5:$E$1276,"Third"),"")</f>
        <v/>
      </c>
      <c r="Q179" s="48" t="n">
        <f aca="false">IF(H179&lt;&gt;"Eligible","",IF(O179="Yes",IF(ISNUMBER(P179),ROUND(AVERAGE(L179,M179,P179),1),""),IF(O179="No",ROUND(AVERAGE(L179:M179),1),"")))</f>
        <v>82.5</v>
      </c>
      <c r="R179" s="37" t="str">
        <f aca="false">IF(H179&lt;&gt;"Eligible","Screened out",IF(COUNT(L179:M179)=0,"Not started",IF(COUNT(L179:M179)=1,"One read done",IF(O179="Yes",IF(ISNUMBER(P179),"Complete","Needs third read"),"Complete"))))</f>
        <v>Complete</v>
      </c>
      <c r="S179" s="37" t="n">
        <f aca="false">IF(Q179="","",COUNTIFS($C$5:$C$600,C179,$Q$5:$Q$600,"&gt;"&amp;Q179)+1)</f>
        <v>16</v>
      </c>
      <c r="T179" s="37" t="str">
        <f aca="false">IF(Q179="","",IF(Q179&gt;=Cutoff,"Yes","No"))</f>
        <v>No</v>
      </c>
      <c r="U179" s="49" t="n">
        <f aca="false">IF(T179="Yes",MIN(F179,INDEX(Settings!$G:$G,MATCH(C179,Settings!$E:$E,0))),0)</f>
        <v>0</v>
      </c>
      <c r="V179" s="49" t="str">
        <f aca="false">IF(T179="Yes",SUMIFS($U$5:$U$600,$C$5:$C$600,C179,$Q$5:$Q$600,"&gt;"&amp;Q179)+U179,"")</f>
        <v/>
      </c>
      <c r="W179" s="37" t="str">
        <f aca="false">IF(T179="Yes",IF(V179&lt;=INDEX(PoolList,MATCH(C179,ProgramList,0)),"Within pool","Over pool"),"")</f>
        <v/>
      </c>
      <c r="X179" s="37" t="str">
        <f aca="false">IF(O179="Yes",COUNTIF($O$5:O179,"Yes"),"")</f>
        <v/>
      </c>
    </row>
    <row r="180" customFormat="false" ht="15" hidden="false" customHeight="false" outlineLevel="0" collapsed="false">
      <c r="A180" s="35" t="s">
        <v>542</v>
      </c>
      <c r="B180" s="35" t="s">
        <v>543</v>
      </c>
      <c r="C180" s="35" t="s">
        <v>105</v>
      </c>
      <c r="D180" s="35" t="s">
        <v>174</v>
      </c>
      <c r="E180" s="35" t="s">
        <v>232</v>
      </c>
      <c r="F180" s="42" t="n">
        <v>250000</v>
      </c>
      <c r="G180" s="36" t="n">
        <v>45906</v>
      </c>
      <c r="H180" s="35" t="s">
        <v>54</v>
      </c>
      <c r="I180" s="35" t="s">
        <v>85</v>
      </c>
      <c r="J180" s="35" t="s">
        <v>82</v>
      </c>
      <c r="K180" s="35"/>
      <c r="L180" s="48" t="n">
        <f aca="false">IFERROR(AVERAGEIFS('Score Entry'!$M$5:$M$1276,'Score Entry'!$B$5:$B$1276,A180,'Score Entry'!$E$5:$E$1276,"Primary"),"")</f>
        <v>65</v>
      </c>
      <c r="M180" s="48" t="n">
        <f aca="false">IFERROR(AVERAGEIFS('Score Entry'!$M$5:$M$1276,'Score Entry'!$B$5:$B$1276,A180,'Score Entry'!$E$5:$E$1276,"Secondary"),"")</f>
        <v>71</v>
      </c>
      <c r="N180" s="48" t="n">
        <f aca="false">IF(COUNT(L180:M180)=2,ABS(L180-M180),"")</f>
        <v>6</v>
      </c>
      <c r="O180" s="37" t="str">
        <f aca="false">IF(N180="","",IF(N180&gt;=Threshold,"Yes","No"))</f>
        <v>No</v>
      </c>
      <c r="P180" s="48" t="str">
        <f aca="false">IFERROR(AVERAGEIFS('Score Entry'!$M$5:$M$1276,'Score Entry'!$B$5:$B$1276,A180,'Score Entry'!$E$5:$E$1276,"Third"),"")</f>
        <v/>
      </c>
      <c r="Q180" s="48" t="n">
        <f aca="false">IF(H180&lt;&gt;"Eligible","",IF(O180="Yes",IF(ISNUMBER(P180),ROUND(AVERAGE(L180,M180,P180),1),""),IF(O180="No",ROUND(AVERAGE(L180:M180),1),"")))</f>
        <v>68</v>
      </c>
      <c r="R180" s="37" t="str">
        <f aca="false">IF(H180&lt;&gt;"Eligible","Screened out",IF(COUNT(L180:M180)=0,"Not started",IF(COUNT(L180:M180)=1,"One read done",IF(O180="Yes",IF(ISNUMBER(P180),"Complete","Needs third read"),"Complete"))))</f>
        <v>Complete</v>
      </c>
      <c r="S180" s="37" t="n">
        <f aca="false">IF(Q180="","",COUNTIFS($C$5:$C$600,C180,$Q$5:$Q$600,"&gt;"&amp;Q180)+1)</f>
        <v>48</v>
      </c>
      <c r="T180" s="37" t="str">
        <f aca="false">IF(Q180="","",IF(Q180&gt;=Cutoff,"Yes","No"))</f>
        <v>No</v>
      </c>
      <c r="U180" s="49" t="n">
        <f aca="false">IF(T180="Yes",MIN(F180,INDEX(Settings!$G:$G,MATCH(C180,Settings!$E:$E,0))),0)</f>
        <v>0</v>
      </c>
      <c r="V180" s="49" t="str">
        <f aca="false">IF(T180="Yes",SUMIFS($U$5:$U$600,$C$5:$C$600,C180,$Q$5:$Q$600,"&gt;"&amp;Q180)+U180,"")</f>
        <v/>
      </c>
      <c r="W180" s="37" t="str">
        <f aca="false">IF(T180="Yes",IF(V180&lt;=INDEX(PoolList,MATCH(C180,ProgramList,0)),"Within pool","Over pool"),"")</f>
        <v/>
      </c>
      <c r="X180" s="37" t="str">
        <f aca="false">IF(O180="Yes",COUNTIF($O$5:O180,"Yes"),"")</f>
        <v/>
      </c>
    </row>
    <row r="181" customFormat="false" ht="15" hidden="false" customHeight="false" outlineLevel="0" collapsed="false">
      <c r="A181" s="35" t="s">
        <v>544</v>
      </c>
      <c r="B181" s="35" t="s">
        <v>545</v>
      </c>
      <c r="C181" s="35" t="s">
        <v>106</v>
      </c>
      <c r="D181" s="35" t="s">
        <v>180</v>
      </c>
      <c r="E181" s="35" t="s">
        <v>218</v>
      </c>
      <c r="F181" s="42" t="n">
        <v>32000</v>
      </c>
      <c r="G181" s="36" t="n">
        <v>45915</v>
      </c>
      <c r="H181" s="35" t="s">
        <v>54</v>
      </c>
      <c r="I181" s="35" t="s">
        <v>91</v>
      </c>
      <c r="J181" s="35" t="s">
        <v>94</v>
      </c>
      <c r="K181" s="35"/>
      <c r="L181" s="48" t="n">
        <f aca="false">IFERROR(AVERAGEIFS('Score Entry'!$M$5:$M$1276,'Score Entry'!$B$5:$B$1276,A181,'Score Entry'!$E$5:$E$1276,"Primary"),"")</f>
        <v>83</v>
      </c>
      <c r="M181" s="48" t="n">
        <f aca="false">IFERROR(AVERAGEIFS('Score Entry'!$M$5:$M$1276,'Score Entry'!$B$5:$B$1276,A181,'Score Entry'!$E$5:$E$1276,"Secondary"),"")</f>
        <v>67</v>
      </c>
      <c r="N181" s="48" t="n">
        <f aca="false">IF(COUNT(L181:M181)=2,ABS(L181-M181),"")</f>
        <v>16</v>
      </c>
      <c r="O181" s="37" t="str">
        <f aca="false">IF(N181="","",IF(N181&gt;=Threshold,"Yes","No"))</f>
        <v>No</v>
      </c>
      <c r="P181" s="48" t="str">
        <f aca="false">IFERROR(AVERAGEIFS('Score Entry'!$M$5:$M$1276,'Score Entry'!$B$5:$B$1276,A181,'Score Entry'!$E$5:$E$1276,"Third"),"")</f>
        <v/>
      </c>
      <c r="Q181" s="48" t="n">
        <f aca="false">IF(H181&lt;&gt;"Eligible","",IF(O181="Yes",IF(ISNUMBER(P181),ROUND(AVERAGE(L181,M181,P181),1),""),IF(O181="No",ROUND(AVERAGE(L181:M181),1),"")))</f>
        <v>75</v>
      </c>
      <c r="R181" s="37" t="str">
        <f aca="false">IF(H181&lt;&gt;"Eligible","Screened out",IF(COUNT(L181:M181)=0,"Not started",IF(COUNT(L181:M181)=1,"One read done",IF(O181="Yes",IF(ISNUMBER(P181),"Complete","Needs third read"),"Complete"))))</f>
        <v>Complete</v>
      </c>
      <c r="S181" s="37" t="n">
        <f aca="false">IF(Q181="","",COUNTIFS($C$5:$C$600,C181,$Q$5:$Q$600,"&gt;"&amp;Q181)+1)</f>
        <v>38</v>
      </c>
      <c r="T181" s="37" t="str">
        <f aca="false">IF(Q181="","",IF(Q181&gt;=Cutoff,"Yes","No"))</f>
        <v>No</v>
      </c>
      <c r="U181" s="49" t="n">
        <f aca="false">IF(T181="Yes",MIN(F181,INDEX(Settings!$G:$G,MATCH(C181,Settings!$E:$E,0))),0)</f>
        <v>0</v>
      </c>
      <c r="V181" s="49" t="str">
        <f aca="false">IF(T181="Yes",SUMIFS($U$5:$U$600,$C$5:$C$600,C181,$Q$5:$Q$600,"&gt;"&amp;Q181)+U181,"")</f>
        <v/>
      </c>
      <c r="W181" s="37" t="str">
        <f aca="false">IF(T181="Yes",IF(V181&lt;=INDEX(PoolList,MATCH(C181,ProgramList,0)),"Within pool","Over pool"),"")</f>
        <v/>
      </c>
      <c r="X181" s="37" t="str">
        <f aca="false">IF(O181="Yes",COUNTIF($O$5:O181,"Yes"),"")</f>
        <v/>
      </c>
    </row>
    <row r="182" customFormat="false" ht="15" hidden="false" customHeight="false" outlineLevel="0" collapsed="false">
      <c r="A182" s="35" t="s">
        <v>546</v>
      </c>
      <c r="B182" s="35" t="s">
        <v>547</v>
      </c>
      <c r="C182" s="35" t="s">
        <v>104</v>
      </c>
      <c r="D182" s="35" t="s">
        <v>190</v>
      </c>
      <c r="E182" s="35" t="s">
        <v>191</v>
      </c>
      <c r="F182" s="42" t="n">
        <v>71500</v>
      </c>
      <c r="G182" s="36" t="n">
        <v>45918</v>
      </c>
      <c r="H182" s="35" t="s">
        <v>54</v>
      </c>
      <c r="I182" s="35" t="s">
        <v>78</v>
      </c>
      <c r="J182" s="35" t="s">
        <v>85</v>
      </c>
      <c r="K182" s="35"/>
      <c r="L182" s="48" t="n">
        <f aca="false">IFERROR(AVERAGEIFS('Score Entry'!$M$5:$M$1276,'Score Entry'!$B$5:$B$1276,A182,'Score Entry'!$E$5:$E$1276,"Primary"),"")</f>
        <v>59</v>
      </c>
      <c r="M182" s="48" t="n">
        <f aca="false">IFERROR(AVERAGEIFS('Score Entry'!$M$5:$M$1276,'Score Entry'!$B$5:$B$1276,A182,'Score Entry'!$E$5:$E$1276,"Secondary"),"")</f>
        <v>64</v>
      </c>
      <c r="N182" s="48" t="n">
        <f aca="false">IF(COUNT(L182:M182)=2,ABS(L182-M182),"")</f>
        <v>5</v>
      </c>
      <c r="O182" s="37" t="str">
        <f aca="false">IF(N182="","",IF(N182&gt;=Threshold,"Yes","No"))</f>
        <v>No</v>
      </c>
      <c r="P182" s="48" t="str">
        <f aca="false">IFERROR(AVERAGEIFS('Score Entry'!$M$5:$M$1276,'Score Entry'!$B$5:$B$1276,A182,'Score Entry'!$E$5:$E$1276,"Third"),"")</f>
        <v/>
      </c>
      <c r="Q182" s="48" t="n">
        <f aca="false">IF(H182&lt;&gt;"Eligible","",IF(O182="Yes",IF(ISNUMBER(P182),ROUND(AVERAGE(L182,M182,P182),1),""),IF(O182="No",ROUND(AVERAGE(L182:M182),1),"")))</f>
        <v>61.5</v>
      </c>
      <c r="R182" s="37" t="str">
        <f aca="false">IF(H182&lt;&gt;"Eligible","Screened out",IF(COUNT(L182:M182)=0,"Not started",IF(COUNT(L182:M182)=1,"One read done",IF(O182="Yes",IF(ISNUMBER(P182),"Complete","Needs third read"),"Complete"))))</f>
        <v>Complete</v>
      </c>
      <c r="S182" s="37" t="n">
        <f aca="false">IF(Q182="","",COUNTIFS($C$5:$C$600,C182,$Q$5:$Q$600,"&gt;"&amp;Q182)+1)</f>
        <v>71</v>
      </c>
      <c r="T182" s="37" t="str">
        <f aca="false">IF(Q182="","",IF(Q182&gt;=Cutoff,"Yes","No"))</f>
        <v>No</v>
      </c>
      <c r="U182" s="49" t="n">
        <f aca="false">IF(T182="Yes",MIN(F182,INDEX(Settings!$G:$G,MATCH(C182,Settings!$E:$E,0))),0)</f>
        <v>0</v>
      </c>
      <c r="V182" s="49" t="str">
        <f aca="false">IF(T182="Yes",SUMIFS($U$5:$U$600,$C$5:$C$600,C182,$Q$5:$Q$600,"&gt;"&amp;Q182)+U182,"")</f>
        <v/>
      </c>
      <c r="W182" s="37" t="str">
        <f aca="false">IF(T182="Yes",IF(V182&lt;=INDEX(PoolList,MATCH(C182,ProgramList,0)),"Within pool","Over pool"),"")</f>
        <v/>
      </c>
      <c r="X182" s="37" t="str">
        <f aca="false">IF(O182="Yes",COUNTIF($O$5:O182,"Yes"),"")</f>
        <v/>
      </c>
    </row>
    <row r="183" customFormat="false" ht="15" hidden="false" customHeight="false" outlineLevel="0" collapsed="false">
      <c r="A183" s="35" t="s">
        <v>548</v>
      </c>
      <c r="B183" s="35" t="s">
        <v>549</v>
      </c>
      <c r="C183" s="35" t="s">
        <v>104</v>
      </c>
      <c r="D183" s="35" t="s">
        <v>180</v>
      </c>
      <c r="E183" s="35" t="s">
        <v>269</v>
      </c>
      <c r="F183" s="42" t="n">
        <v>37000</v>
      </c>
      <c r="G183" s="36" t="n">
        <v>45912</v>
      </c>
      <c r="H183" s="35" t="s">
        <v>54</v>
      </c>
      <c r="I183" s="35" t="s">
        <v>88</v>
      </c>
      <c r="J183" s="35" t="s">
        <v>78</v>
      </c>
      <c r="K183" s="35" t="s">
        <v>82</v>
      </c>
      <c r="L183" s="48" t="n">
        <f aca="false">IFERROR(AVERAGEIFS('Score Entry'!$M$5:$M$1276,'Score Entry'!$B$5:$B$1276,A183,'Score Entry'!$E$5:$E$1276,"Primary"),"")</f>
        <v>70</v>
      </c>
      <c r="M183" s="48" t="n">
        <f aca="false">IFERROR(AVERAGEIFS('Score Entry'!$M$5:$M$1276,'Score Entry'!$B$5:$B$1276,A183,'Score Entry'!$E$5:$E$1276,"Secondary"),"")</f>
        <v>93</v>
      </c>
      <c r="N183" s="48" t="n">
        <f aca="false">IF(COUNT(L183:M183)=2,ABS(L183-M183),"")</f>
        <v>23</v>
      </c>
      <c r="O183" s="37" t="str">
        <f aca="false">IF(N183="","",IF(N183&gt;=Threshold,"Yes","No"))</f>
        <v>Yes</v>
      </c>
      <c r="P183" s="48" t="str">
        <f aca="false">IFERROR(AVERAGEIFS('Score Entry'!$M$5:$M$1276,'Score Entry'!$B$5:$B$1276,A183,'Score Entry'!$E$5:$E$1276,"Third"),"")</f>
        <v/>
      </c>
      <c r="Q183" s="48" t="str">
        <f aca="false">IF(H183&lt;&gt;"Eligible","",IF(O183="Yes",IF(ISNUMBER(P183),ROUND(AVERAGE(L183,M183,P183),1),""),IF(O183="No",ROUND(AVERAGE(L183:M183),1),"")))</f>
        <v/>
      </c>
      <c r="R183" s="37" t="str">
        <f aca="false">IF(H183&lt;&gt;"Eligible","Screened out",IF(COUNT(L183:M183)=0,"Not started",IF(COUNT(L183:M183)=1,"One read done",IF(O183="Yes",IF(ISNUMBER(P183),"Complete","Needs third read"),"Complete"))))</f>
        <v>Needs third read</v>
      </c>
      <c r="S183" s="37" t="str">
        <f aca="false">IF(Q183="","",COUNTIFS($C$5:$C$600,C183,$Q$5:$Q$600,"&gt;"&amp;Q183)+1)</f>
        <v/>
      </c>
      <c r="T183" s="37" t="str">
        <f aca="false">IF(Q183="","",IF(Q183&gt;=Cutoff,"Yes","No"))</f>
        <v/>
      </c>
      <c r="U183" s="49" t="n">
        <f aca="false">IF(T183="Yes",MIN(F183,INDEX(Settings!$G:$G,MATCH(C183,Settings!$E:$E,0))),0)</f>
        <v>0</v>
      </c>
      <c r="V183" s="49" t="str">
        <f aca="false">IF(T183="Yes",SUMIFS($U$5:$U$600,$C$5:$C$600,C183,$Q$5:$Q$600,"&gt;"&amp;Q183)+U183,"")</f>
        <v/>
      </c>
      <c r="W183" s="37" t="str">
        <f aca="false">IF(T183="Yes",IF(V183&lt;=INDEX(PoolList,MATCH(C183,ProgramList,0)),"Within pool","Over pool"),"")</f>
        <v/>
      </c>
      <c r="X183" s="37" t="n">
        <f aca="false">IF(O183="Yes",COUNTIF($O$5:O183,"Yes"),"")</f>
        <v>25</v>
      </c>
    </row>
    <row r="184" customFormat="false" ht="15" hidden="false" customHeight="false" outlineLevel="0" collapsed="false">
      <c r="A184" s="35" t="s">
        <v>550</v>
      </c>
      <c r="B184" s="35" t="s">
        <v>551</v>
      </c>
      <c r="C184" s="35" t="s">
        <v>104</v>
      </c>
      <c r="D184" s="35" t="s">
        <v>174</v>
      </c>
      <c r="E184" s="35" t="s">
        <v>175</v>
      </c>
      <c r="F184" s="42" t="n">
        <v>71500</v>
      </c>
      <c r="G184" s="36" t="n">
        <v>45922</v>
      </c>
      <c r="H184" s="35" t="s">
        <v>54</v>
      </c>
      <c r="I184" s="35" t="s">
        <v>88</v>
      </c>
      <c r="J184" s="35" t="s">
        <v>85</v>
      </c>
      <c r="K184" s="35"/>
      <c r="L184" s="48" t="str">
        <f aca="false">IFERROR(AVERAGEIFS('Score Entry'!$M$5:$M$1276,'Score Entry'!$B$5:$B$1276,A184,'Score Entry'!$E$5:$E$1276,"Primary"),"")</f>
        <v/>
      </c>
      <c r="M184" s="48" t="n">
        <f aca="false">IFERROR(AVERAGEIFS('Score Entry'!$M$5:$M$1276,'Score Entry'!$B$5:$B$1276,A184,'Score Entry'!$E$5:$E$1276,"Secondary"),"")</f>
        <v>45</v>
      </c>
      <c r="N184" s="48" t="str">
        <f aca="false">IF(COUNT(L184:M184)=2,ABS(L184-M184),"")</f>
        <v/>
      </c>
      <c r="O184" s="37" t="str">
        <f aca="false">IF(N184="","",IF(N184&gt;=Threshold,"Yes","No"))</f>
        <v/>
      </c>
      <c r="P184" s="48" t="str">
        <f aca="false">IFERROR(AVERAGEIFS('Score Entry'!$M$5:$M$1276,'Score Entry'!$B$5:$B$1276,A184,'Score Entry'!$E$5:$E$1276,"Third"),"")</f>
        <v/>
      </c>
      <c r="Q184" s="48" t="str">
        <f aca="false">IF(H184&lt;&gt;"Eligible","",IF(O184="Yes",IF(ISNUMBER(P184),ROUND(AVERAGE(L184,M184,P184),1),""),IF(O184="No",ROUND(AVERAGE(L184:M184),1),"")))</f>
        <v/>
      </c>
      <c r="R184" s="37" t="str">
        <f aca="false">IF(H184&lt;&gt;"Eligible","Screened out",IF(COUNT(L184:M184)=0,"Not started",IF(COUNT(L184:M184)=1,"One read done",IF(O184="Yes",IF(ISNUMBER(P184),"Complete","Needs third read"),"Complete"))))</f>
        <v>One read done</v>
      </c>
      <c r="S184" s="37" t="str">
        <f aca="false">IF(Q184="","",COUNTIFS($C$5:$C$600,C184,$Q$5:$Q$600,"&gt;"&amp;Q184)+1)</f>
        <v/>
      </c>
      <c r="T184" s="37" t="str">
        <f aca="false">IF(Q184="","",IF(Q184&gt;=Cutoff,"Yes","No"))</f>
        <v/>
      </c>
      <c r="U184" s="49" t="n">
        <f aca="false">IF(T184="Yes",MIN(F184,INDEX(Settings!$G:$G,MATCH(C184,Settings!$E:$E,0))),0)</f>
        <v>0</v>
      </c>
      <c r="V184" s="49" t="str">
        <f aca="false">IF(T184="Yes",SUMIFS($U$5:$U$600,$C$5:$C$600,C184,$Q$5:$Q$600,"&gt;"&amp;Q184)+U184,"")</f>
        <v/>
      </c>
      <c r="W184" s="37" t="str">
        <f aca="false">IF(T184="Yes",IF(V184&lt;=INDEX(PoolList,MATCH(C184,ProgramList,0)),"Within pool","Over pool"),"")</f>
        <v/>
      </c>
      <c r="X184" s="37" t="str">
        <f aca="false">IF(O184="Yes",COUNTIF($O$5:O184,"Yes"),"")</f>
        <v/>
      </c>
    </row>
    <row r="185" customFormat="false" ht="15" hidden="false" customHeight="false" outlineLevel="0" collapsed="false">
      <c r="A185" s="35" t="s">
        <v>552</v>
      </c>
      <c r="B185" s="35" t="s">
        <v>553</v>
      </c>
      <c r="C185" s="35" t="s">
        <v>104</v>
      </c>
      <c r="D185" s="35" t="s">
        <v>239</v>
      </c>
      <c r="E185" s="35" t="s">
        <v>554</v>
      </c>
      <c r="F185" s="42" t="n">
        <v>92000</v>
      </c>
      <c r="G185" s="36" t="n">
        <v>45912</v>
      </c>
      <c r="H185" s="35" t="s">
        <v>54</v>
      </c>
      <c r="I185" s="35" t="s">
        <v>94</v>
      </c>
      <c r="J185" s="35" t="s">
        <v>91</v>
      </c>
      <c r="K185" s="35"/>
      <c r="L185" s="48" t="n">
        <f aca="false">IFERROR(AVERAGEIFS('Score Entry'!$M$5:$M$1276,'Score Entry'!$B$5:$B$1276,A185,'Score Entry'!$E$5:$E$1276,"Primary"),"")</f>
        <v>51</v>
      </c>
      <c r="M185" s="48" t="n">
        <f aca="false">IFERROR(AVERAGEIFS('Score Entry'!$M$5:$M$1276,'Score Entry'!$B$5:$B$1276,A185,'Score Entry'!$E$5:$E$1276,"Secondary"),"")</f>
        <v>64</v>
      </c>
      <c r="N185" s="48" t="n">
        <f aca="false">IF(COUNT(L185:M185)=2,ABS(L185-M185),"")</f>
        <v>13</v>
      </c>
      <c r="O185" s="37" t="str">
        <f aca="false">IF(N185="","",IF(N185&gt;=Threshold,"Yes","No"))</f>
        <v>No</v>
      </c>
      <c r="P185" s="48" t="str">
        <f aca="false">IFERROR(AVERAGEIFS('Score Entry'!$M$5:$M$1276,'Score Entry'!$B$5:$B$1276,A185,'Score Entry'!$E$5:$E$1276,"Third"),"")</f>
        <v/>
      </c>
      <c r="Q185" s="48" t="n">
        <f aca="false">IF(H185&lt;&gt;"Eligible","",IF(O185="Yes",IF(ISNUMBER(P185),ROUND(AVERAGE(L185,M185,P185),1),""),IF(O185="No",ROUND(AVERAGE(L185:M185),1),"")))</f>
        <v>57.5</v>
      </c>
      <c r="R185" s="37" t="str">
        <f aca="false">IF(H185&lt;&gt;"Eligible","Screened out",IF(COUNT(L185:M185)=0,"Not started",IF(COUNT(L185:M185)=1,"One read done",IF(O185="Yes",IF(ISNUMBER(P185),"Complete","Needs third read"),"Complete"))))</f>
        <v>Complete</v>
      </c>
      <c r="S185" s="37" t="n">
        <f aca="false">IF(Q185="","",COUNTIFS($C$5:$C$600,C185,$Q$5:$Q$600,"&gt;"&amp;Q185)+1)</f>
        <v>81</v>
      </c>
      <c r="T185" s="37" t="str">
        <f aca="false">IF(Q185="","",IF(Q185&gt;=Cutoff,"Yes","No"))</f>
        <v>No</v>
      </c>
      <c r="U185" s="49" t="n">
        <f aca="false">IF(T185="Yes",MIN(F185,INDEX(Settings!$G:$G,MATCH(C185,Settings!$E:$E,0))),0)</f>
        <v>0</v>
      </c>
      <c r="V185" s="49" t="str">
        <f aca="false">IF(T185="Yes",SUMIFS($U$5:$U$600,$C$5:$C$600,C185,$Q$5:$Q$600,"&gt;"&amp;Q185)+U185,"")</f>
        <v/>
      </c>
      <c r="W185" s="37" t="str">
        <f aca="false">IF(T185="Yes",IF(V185&lt;=INDEX(PoolList,MATCH(C185,ProgramList,0)),"Within pool","Over pool"),"")</f>
        <v/>
      </c>
      <c r="X185" s="37" t="str">
        <f aca="false">IF(O185="Yes",COUNTIF($O$5:O185,"Yes"),"")</f>
        <v/>
      </c>
    </row>
    <row r="186" customFormat="false" ht="15" hidden="false" customHeight="false" outlineLevel="0" collapsed="false">
      <c r="A186" s="35" t="s">
        <v>555</v>
      </c>
      <c r="B186" s="35" t="s">
        <v>556</v>
      </c>
      <c r="C186" s="35" t="s">
        <v>106</v>
      </c>
      <c r="D186" s="35" t="s">
        <v>190</v>
      </c>
      <c r="E186" s="35" t="s">
        <v>191</v>
      </c>
      <c r="F186" s="42" t="n">
        <v>109500</v>
      </c>
      <c r="G186" s="36" t="n">
        <v>45907</v>
      </c>
      <c r="H186" s="35" t="s">
        <v>54</v>
      </c>
      <c r="I186" s="35" t="s">
        <v>91</v>
      </c>
      <c r="J186" s="35" t="s">
        <v>85</v>
      </c>
      <c r="K186" s="35"/>
      <c r="L186" s="48" t="n">
        <f aca="false">IFERROR(AVERAGEIFS('Score Entry'!$M$5:$M$1276,'Score Entry'!$B$5:$B$1276,A186,'Score Entry'!$E$5:$E$1276,"Primary"),"")</f>
        <v>77</v>
      </c>
      <c r="M186" s="48" t="n">
        <f aca="false">IFERROR(AVERAGEIFS('Score Entry'!$M$5:$M$1276,'Score Entry'!$B$5:$B$1276,A186,'Score Entry'!$E$5:$E$1276,"Secondary"),"")</f>
        <v>77</v>
      </c>
      <c r="N186" s="48" t="n">
        <f aca="false">IF(COUNT(L186:M186)=2,ABS(L186-M186),"")</f>
        <v>0</v>
      </c>
      <c r="O186" s="37" t="str">
        <f aca="false">IF(N186="","",IF(N186&gt;=Threshold,"Yes","No"))</f>
        <v>No</v>
      </c>
      <c r="P186" s="48" t="str">
        <f aca="false">IFERROR(AVERAGEIFS('Score Entry'!$M$5:$M$1276,'Score Entry'!$B$5:$B$1276,A186,'Score Entry'!$E$5:$E$1276,"Third"),"")</f>
        <v/>
      </c>
      <c r="Q186" s="48" t="n">
        <f aca="false">IF(H186&lt;&gt;"Eligible","",IF(O186="Yes",IF(ISNUMBER(P186),ROUND(AVERAGE(L186,M186,P186),1),""),IF(O186="No",ROUND(AVERAGE(L186:M186),1),"")))</f>
        <v>77</v>
      </c>
      <c r="R186" s="37" t="str">
        <f aca="false">IF(H186&lt;&gt;"Eligible","Screened out",IF(COUNT(L186:M186)=0,"Not started",IF(COUNT(L186:M186)=1,"One read done",IF(O186="Yes",IF(ISNUMBER(P186),"Complete","Needs third read"),"Complete"))))</f>
        <v>Complete</v>
      </c>
      <c r="S186" s="37" t="n">
        <f aca="false">IF(Q186="","",COUNTIFS($C$5:$C$600,C186,$Q$5:$Q$600,"&gt;"&amp;Q186)+1)</f>
        <v>32</v>
      </c>
      <c r="T186" s="37" t="str">
        <f aca="false">IF(Q186="","",IF(Q186&gt;=Cutoff,"Yes","No"))</f>
        <v>No</v>
      </c>
      <c r="U186" s="49" t="n">
        <f aca="false">IF(T186="Yes",MIN(F186,INDEX(Settings!$G:$G,MATCH(C186,Settings!$E:$E,0))),0)</f>
        <v>0</v>
      </c>
      <c r="V186" s="49" t="str">
        <f aca="false">IF(T186="Yes",SUMIFS($U$5:$U$600,$C$5:$C$600,C186,$Q$5:$Q$600,"&gt;"&amp;Q186)+U186,"")</f>
        <v/>
      </c>
      <c r="W186" s="37" t="str">
        <f aca="false">IF(T186="Yes",IF(V186&lt;=INDEX(PoolList,MATCH(C186,ProgramList,0)),"Within pool","Over pool"),"")</f>
        <v/>
      </c>
      <c r="X186" s="37" t="str">
        <f aca="false">IF(O186="Yes",COUNTIF($O$5:O186,"Yes"),"")</f>
        <v/>
      </c>
    </row>
    <row r="187" customFormat="false" ht="15" hidden="false" customHeight="false" outlineLevel="0" collapsed="false">
      <c r="A187" s="35" t="s">
        <v>557</v>
      </c>
      <c r="B187" s="35" t="s">
        <v>558</v>
      </c>
      <c r="C187" s="35" t="s">
        <v>104</v>
      </c>
      <c r="D187" s="35" t="s">
        <v>174</v>
      </c>
      <c r="E187" s="35" t="s">
        <v>175</v>
      </c>
      <c r="F187" s="42" t="n">
        <v>61000</v>
      </c>
      <c r="G187" s="36" t="n">
        <v>45917</v>
      </c>
      <c r="H187" s="35" t="s">
        <v>54</v>
      </c>
      <c r="I187" s="35" t="s">
        <v>88</v>
      </c>
      <c r="J187" s="35" t="s">
        <v>78</v>
      </c>
      <c r="K187" s="35"/>
      <c r="L187" s="48" t="n">
        <f aca="false">IFERROR(AVERAGEIFS('Score Entry'!$M$5:$M$1276,'Score Entry'!$B$5:$B$1276,A187,'Score Entry'!$E$5:$E$1276,"Primary"),"")</f>
        <v>82</v>
      </c>
      <c r="M187" s="48" t="n">
        <f aca="false">IFERROR(AVERAGEIFS('Score Entry'!$M$5:$M$1276,'Score Entry'!$B$5:$B$1276,A187,'Score Entry'!$E$5:$E$1276,"Secondary"),"")</f>
        <v>76</v>
      </c>
      <c r="N187" s="48" t="n">
        <f aca="false">IF(COUNT(L187:M187)=2,ABS(L187-M187),"")</f>
        <v>6</v>
      </c>
      <c r="O187" s="37" t="str">
        <f aca="false">IF(N187="","",IF(N187&gt;=Threshold,"Yes","No"))</f>
        <v>No</v>
      </c>
      <c r="P187" s="48" t="str">
        <f aca="false">IFERROR(AVERAGEIFS('Score Entry'!$M$5:$M$1276,'Score Entry'!$B$5:$B$1276,A187,'Score Entry'!$E$5:$E$1276,"Third"),"")</f>
        <v/>
      </c>
      <c r="Q187" s="48" t="n">
        <f aca="false">IF(H187&lt;&gt;"Eligible","",IF(O187="Yes",IF(ISNUMBER(P187),ROUND(AVERAGE(L187,M187,P187),1),""),IF(O187="No",ROUND(AVERAGE(L187:M187),1),"")))</f>
        <v>79</v>
      </c>
      <c r="R187" s="37" t="str">
        <f aca="false">IF(H187&lt;&gt;"Eligible","Screened out",IF(COUNT(L187:M187)=0,"Not started",IF(COUNT(L187:M187)=1,"One read done",IF(O187="Yes",IF(ISNUMBER(P187),"Complete","Needs third read"),"Complete"))))</f>
        <v>Complete</v>
      </c>
      <c r="S187" s="37" t="n">
        <f aca="false">IF(Q187="","",COUNTIFS($C$5:$C$600,C187,$Q$5:$Q$600,"&gt;"&amp;Q187)+1)</f>
        <v>25</v>
      </c>
      <c r="T187" s="37" t="str">
        <f aca="false">IF(Q187="","",IF(Q187&gt;=Cutoff,"Yes","No"))</f>
        <v>No</v>
      </c>
      <c r="U187" s="49" t="n">
        <f aca="false">IF(T187="Yes",MIN(F187,INDEX(Settings!$G:$G,MATCH(C187,Settings!$E:$E,0))),0)</f>
        <v>0</v>
      </c>
      <c r="V187" s="49" t="str">
        <f aca="false">IF(T187="Yes",SUMIFS($U$5:$U$600,$C$5:$C$600,C187,$Q$5:$Q$600,"&gt;"&amp;Q187)+U187,"")</f>
        <v/>
      </c>
      <c r="W187" s="37" t="str">
        <f aca="false">IF(T187="Yes",IF(V187&lt;=INDEX(PoolList,MATCH(C187,ProgramList,0)),"Within pool","Over pool"),"")</f>
        <v/>
      </c>
      <c r="X187" s="37" t="str">
        <f aca="false">IF(O187="Yes",COUNTIF($O$5:O187,"Yes"),"")</f>
        <v/>
      </c>
    </row>
    <row r="188" customFormat="false" ht="15" hidden="false" customHeight="false" outlineLevel="0" collapsed="false">
      <c r="A188" s="35" t="s">
        <v>559</v>
      </c>
      <c r="B188" s="35" t="s">
        <v>560</v>
      </c>
      <c r="C188" s="35" t="s">
        <v>104</v>
      </c>
      <c r="D188" s="35" t="s">
        <v>174</v>
      </c>
      <c r="E188" s="35" t="s">
        <v>232</v>
      </c>
      <c r="F188" s="42" t="n">
        <v>36000</v>
      </c>
      <c r="G188" s="36" t="n">
        <v>45912</v>
      </c>
      <c r="H188" s="35" t="s">
        <v>54</v>
      </c>
      <c r="I188" s="35" t="s">
        <v>82</v>
      </c>
      <c r="J188" s="35" t="s">
        <v>91</v>
      </c>
      <c r="K188" s="35"/>
      <c r="L188" s="48" t="n">
        <f aca="false">IFERROR(AVERAGEIFS('Score Entry'!$M$5:$M$1276,'Score Entry'!$B$5:$B$1276,A188,'Score Entry'!$E$5:$E$1276,"Primary"),"")</f>
        <v>70</v>
      </c>
      <c r="M188" s="48" t="n">
        <f aca="false">IFERROR(AVERAGEIFS('Score Entry'!$M$5:$M$1276,'Score Entry'!$B$5:$B$1276,A188,'Score Entry'!$E$5:$E$1276,"Secondary"),"")</f>
        <v>74</v>
      </c>
      <c r="N188" s="48" t="n">
        <f aca="false">IF(COUNT(L188:M188)=2,ABS(L188-M188),"")</f>
        <v>4</v>
      </c>
      <c r="O188" s="37" t="str">
        <f aca="false">IF(N188="","",IF(N188&gt;=Threshold,"Yes","No"))</f>
        <v>No</v>
      </c>
      <c r="P188" s="48" t="str">
        <f aca="false">IFERROR(AVERAGEIFS('Score Entry'!$M$5:$M$1276,'Score Entry'!$B$5:$B$1276,A188,'Score Entry'!$E$5:$E$1276,"Third"),"")</f>
        <v/>
      </c>
      <c r="Q188" s="48" t="n">
        <f aca="false">IF(H188&lt;&gt;"Eligible","",IF(O188="Yes",IF(ISNUMBER(P188),ROUND(AVERAGE(L188,M188,P188),1),""),IF(O188="No",ROUND(AVERAGE(L188:M188),1),"")))</f>
        <v>72</v>
      </c>
      <c r="R188" s="37" t="str">
        <f aca="false">IF(H188&lt;&gt;"Eligible","Screened out",IF(COUNT(L188:M188)=0,"Not started",IF(COUNT(L188:M188)=1,"One read done",IF(O188="Yes",IF(ISNUMBER(P188),"Complete","Needs third read"),"Complete"))))</f>
        <v>Complete</v>
      </c>
      <c r="S188" s="37" t="n">
        <f aca="false">IF(Q188="","",COUNTIFS($C$5:$C$600,C188,$Q$5:$Q$600,"&gt;"&amp;Q188)+1)</f>
        <v>41</v>
      </c>
      <c r="T188" s="37" t="str">
        <f aca="false">IF(Q188="","",IF(Q188&gt;=Cutoff,"Yes","No"))</f>
        <v>No</v>
      </c>
      <c r="U188" s="49" t="n">
        <f aca="false">IF(T188="Yes",MIN(F188,INDEX(Settings!$G:$G,MATCH(C188,Settings!$E:$E,0))),0)</f>
        <v>0</v>
      </c>
      <c r="V188" s="49" t="str">
        <f aca="false">IF(T188="Yes",SUMIFS($U$5:$U$600,$C$5:$C$600,C188,$Q$5:$Q$600,"&gt;"&amp;Q188)+U188,"")</f>
        <v/>
      </c>
      <c r="W188" s="37" t="str">
        <f aca="false">IF(T188="Yes",IF(V188&lt;=INDEX(PoolList,MATCH(C188,ProgramList,0)),"Within pool","Over pool"),"")</f>
        <v/>
      </c>
      <c r="X188" s="37" t="str">
        <f aca="false">IF(O188="Yes",COUNTIF($O$5:O188,"Yes"),"")</f>
        <v/>
      </c>
    </row>
    <row r="189" customFormat="false" ht="15" hidden="false" customHeight="false" outlineLevel="0" collapsed="false">
      <c r="A189" s="35" t="s">
        <v>561</v>
      </c>
      <c r="B189" s="35" t="s">
        <v>562</v>
      </c>
      <c r="C189" s="35" t="s">
        <v>106</v>
      </c>
      <c r="D189" s="35" t="s">
        <v>239</v>
      </c>
      <c r="E189" s="35" t="s">
        <v>240</v>
      </c>
      <c r="F189" s="42" t="n">
        <v>78500</v>
      </c>
      <c r="G189" s="36" t="n">
        <v>45912</v>
      </c>
      <c r="H189" s="35" t="s">
        <v>54</v>
      </c>
      <c r="I189" s="35" t="s">
        <v>85</v>
      </c>
      <c r="J189" s="35" t="s">
        <v>78</v>
      </c>
      <c r="K189" s="35"/>
      <c r="L189" s="48" t="n">
        <f aca="false">IFERROR(AVERAGEIFS('Score Entry'!$M$5:$M$1276,'Score Entry'!$B$5:$B$1276,A189,'Score Entry'!$E$5:$E$1276,"Primary"),"")</f>
        <v>47</v>
      </c>
      <c r="M189" s="48" t="n">
        <f aca="false">IFERROR(AVERAGEIFS('Score Entry'!$M$5:$M$1276,'Score Entry'!$B$5:$B$1276,A189,'Score Entry'!$E$5:$E$1276,"Secondary"),"")</f>
        <v>60</v>
      </c>
      <c r="N189" s="48" t="n">
        <f aca="false">IF(COUNT(L189:M189)=2,ABS(L189-M189),"")</f>
        <v>13</v>
      </c>
      <c r="O189" s="37" t="str">
        <f aca="false">IF(N189="","",IF(N189&gt;=Threshold,"Yes","No"))</f>
        <v>No</v>
      </c>
      <c r="P189" s="48" t="str">
        <f aca="false">IFERROR(AVERAGEIFS('Score Entry'!$M$5:$M$1276,'Score Entry'!$B$5:$B$1276,A189,'Score Entry'!$E$5:$E$1276,"Third"),"")</f>
        <v/>
      </c>
      <c r="Q189" s="48" t="n">
        <f aca="false">IF(H189&lt;&gt;"Eligible","",IF(O189="Yes",IF(ISNUMBER(P189),ROUND(AVERAGE(L189,M189,P189),1),""),IF(O189="No",ROUND(AVERAGE(L189:M189),1),"")))</f>
        <v>53.5</v>
      </c>
      <c r="R189" s="37" t="str">
        <f aca="false">IF(H189&lt;&gt;"Eligible","Screened out",IF(COUNT(L189:M189)=0,"Not started",IF(COUNT(L189:M189)=1,"One read done",IF(O189="Yes",IF(ISNUMBER(P189),"Complete","Needs third read"),"Complete"))))</f>
        <v>Complete</v>
      </c>
      <c r="S189" s="37" t="n">
        <f aca="false">IF(Q189="","",COUNTIFS($C$5:$C$600,C189,$Q$5:$Q$600,"&gt;"&amp;Q189)+1)</f>
        <v>102</v>
      </c>
      <c r="T189" s="37" t="str">
        <f aca="false">IF(Q189="","",IF(Q189&gt;=Cutoff,"Yes","No"))</f>
        <v>No</v>
      </c>
      <c r="U189" s="49" t="n">
        <f aca="false">IF(T189="Yes",MIN(F189,INDEX(Settings!$G:$G,MATCH(C189,Settings!$E:$E,0))),0)</f>
        <v>0</v>
      </c>
      <c r="V189" s="49" t="str">
        <f aca="false">IF(T189="Yes",SUMIFS($U$5:$U$600,$C$5:$C$600,C189,$Q$5:$Q$600,"&gt;"&amp;Q189)+U189,"")</f>
        <v/>
      </c>
      <c r="W189" s="37" t="str">
        <f aca="false">IF(T189="Yes",IF(V189&lt;=INDEX(PoolList,MATCH(C189,ProgramList,0)),"Within pool","Over pool"),"")</f>
        <v/>
      </c>
      <c r="X189" s="37" t="str">
        <f aca="false">IF(O189="Yes",COUNTIF($O$5:O189,"Yes"),"")</f>
        <v/>
      </c>
    </row>
    <row r="190" customFormat="false" ht="15" hidden="false" customHeight="false" outlineLevel="0" collapsed="false">
      <c r="A190" s="35" t="s">
        <v>563</v>
      </c>
      <c r="B190" s="35" t="s">
        <v>564</v>
      </c>
      <c r="C190" s="35" t="s">
        <v>106</v>
      </c>
      <c r="D190" s="35" t="s">
        <v>239</v>
      </c>
      <c r="E190" s="35" t="s">
        <v>240</v>
      </c>
      <c r="F190" s="42" t="n">
        <v>219500</v>
      </c>
      <c r="G190" s="36" t="n">
        <v>45915</v>
      </c>
      <c r="H190" s="35" t="s">
        <v>54</v>
      </c>
      <c r="I190" s="35" t="s">
        <v>82</v>
      </c>
      <c r="J190" s="35" t="s">
        <v>94</v>
      </c>
      <c r="K190" s="35"/>
      <c r="L190" s="48" t="n">
        <f aca="false">IFERROR(AVERAGEIFS('Score Entry'!$M$5:$M$1276,'Score Entry'!$B$5:$B$1276,A190,'Score Entry'!$E$5:$E$1276,"Primary"),"")</f>
        <v>80</v>
      </c>
      <c r="M190" s="48" t="n">
        <f aca="false">IFERROR(AVERAGEIFS('Score Entry'!$M$5:$M$1276,'Score Entry'!$B$5:$B$1276,A190,'Score Entry'!$E$5:$E$1276,"Secondary"),"")</f>
        <v>84</v>
      </c>
      <c r="N190" s="48" t="n">
        <f aca="false">IF(COUNT(L190:M190)=2,ABS(L190-M190),"")</f>
        <v>4</v>
      </c>
      <c r="O190" s="37" t="str">
        <f aca="false">IF(N190="","",IF(N190&gt;=Threshold,"Yes","No"))</f>
        <v>No</v>
      </c>
      <c r="P190" s="48" t="str">
        <f aca="false">IFERROR(AVERAGEIFS('Score Entry'!$M$5:$M$1276,'Score Entry'!$B$5:$B$1276,A190,'Score Entry'!$E$5:$E$1276,"Third"),"")</f>
        <v/>
      </c>
      <c r="Q190" s="48" t="n">
        <f aca="false">IF(H190&lt;&gt;"Eligible","",IF(O190="Yes",IF(ISNUMBER(P190),ROUND(AVERAGE(L190,M190,P190),1),""),IF(O190="No",ROUND(AVERAGE(L190:M190),1),"")))</f>
        <v>82</v>
      </c>
      <c r="R190" s="37" t="str">
        <f aca="false">IF(H190&lt;&gt;"Eligible","Screened out",IF(COUNT(L190:M190)=0,"Not started",IF(COUNT(L190:M190)=1,"One read done",IF(O190="Yes",IF(ISNUMBER(P190),"Complete","Needs third read"),"Complete"))))</f>
        <v>Complete</v>
      </c>
      <c r="S190" s="37" t="n">
        <f aca="false">IF(Q190="","",COUNTIFS($C$5:$C$600,C190,$Q$5:$Q$600,"&gt;"&amp;Q190)+1)</f>
        <v>15</v>
      </c>
      <c r="T190" s="37" t="str">
        <f aca="false">IF(Q190="","",IF(Q190&gt;=Cutoff,"Yes","No"))</f>
        <v>No</v>
      </c>
      <c r="U190" s="49" t="n">
        <f aca="false">IF(T190="Yes",MIN(F190,INDEX(Settings!$G:$G,MATCH(C190,Settings!$E:$E,0))),0)</f>
        <v>0</v>
      </c>
      <c r="V190" s="49" t="str">
        <f aca="false">IF(T190="Yes",SUMIFS($U$5:$U$600,$C$5:$C$600,C190,$Q$5:$Q$600,"&gt;"&amp;Q190)+U190,"")</f>
        <v/>
      </c>
      <c r="W190" s="37" t="str">
        <f aca="false">IF(T190="Yes",IF(V190&lt;=INDEX(PoolList,MATCH(C190,ProgramList,0)),"Within pool","Over pool"),"")</f>
        <v/>
      </c>
      <c r="X190" s="37" t="str">
        <f aca="false">IF(O190="Yes",COUNTIF($O$5:O190,"Yes"),"")</f>
        <v/>
      </c>
    </row>
    <row r="191" customFormat="false" ht="15" hidden="false" customHeight="false" outlineLevel="0" collapsed="false">
      <c r="A191" s="35" t="s">
        <v>565</v>
      </c>
      <c r="B191" s="35" t="s">
        <v>566</v>
      </c>
      <c r="C191" s="35" t="s">
        <v>106</v>
      </c>
      <c r="D191" s="35" t="s">
        <v>174</v>
      </c>
      <c r="E191" s="35" t="s">
        <v>232</v>
      </c>
      <c r="F191" s="42" t="n">
        <v>94000</v>
      </c>
      <c r="G191" s="36" t="n">
        <v>45919</v>
      </c>
      <c r="H191" s="35" t="s">
        <v>54</v>
      </c>
      <c r="I191" s="35" t="s">
        <v>88</v>
      </c>
      <c r="J191" s="35" t="s">
        <v>82</v>
      </c>
      <c r="K191" s="35"/>
      <c r="L191" s="48" t="n">
        <f aca="false">IFERROR(AVERAGEIFS('Score Entry'!$M$5:$M$1276,'Score Entry'!$B$5:$B$1276,A191,'Score Entry'!$E$5:$E$1276,"Primary"),"")</f>
        <v>56</v>
      </c>
      <c r="M191" s="48" t="n">
        <f aca="false">IFERROR(AVERAGEIFS('Score Entry'!$M$5:$M$1276,'Score Entry'!$B$5:$B$1276,A191,'Score Entry'!$E$5:$E$1276,"Secondary"),"")</f>
        <v>40</v>
      </c>
      <c r="N191" s="48" t="n">
        <f aca="false">IF(COUNT(L191:M191)=2,ABS(L191-M191),"")</f>
        <v>16</v>
      </c>
      <c r="O191" s="37" t="str">
        <f aca="false">IF(N191="","",IF(N191&gt;=Threshold,"Yes","No"))</f>
        <v>No</v>
      </c>
      <c r="P191" s="48" t="str">
        <f aca="false">IFERROR(AVERAGEIFS('Score Entry'!$M$5:$M$1276,'Score Entry'!$B$5:$B$1276,A191,'Score Entry'!$E$5:$E$1276,"Third"),"")</f>
        <v/>
      </c>
      <c r="Q191" s="48" t="n">
        <f aca="false">IF(H191&lt;&gt;"Eligible","",IF(O191="Yes",IF(ISNUMBER(P191),ROUND(AVERAGE(L191,M191,P191),1),""),IF(O191="No",ROUND(AVERAGE(L191:M191),1),"")))</f>
        <v>48</v>
      </c>
      <c r="R191" s="37" t="str">
        <f aca="false">IF(H191&lt;&gt;"Eligible","Screened out",IF(COUNT(L191:M191)=0,"Not started",IF(COUNT(L191:M191)=1,"One read done",IF(O191="Yes",IF(ISNUMBER(P191),"Complete","Needs third read"),"Complete"))))</f>
        <v>Complete</v>
      </c>
      <c r="S191" s="37" t="n">
        <f aca="false">IF(Q191="","",COUNTIFS($C$5:$C$600,C191,$Q$5:$Q$600,"&gt;"&amp;Q191)+1)</f>
        <v>111</v>
      </c>
      <c r="T191" s="37" t="str">
        <f aca="false">IF(Q191="","",IF(Q191&gt;=Cutoff,"Yes","No"))</f>
        <v>No</v>
      </c>
      <c r="U191" s="49" t="n">
        <f aca="false">IF(T191="Yes",MIN(F191,INDEX(Settings!$G:$G,MATCH(C191,Settings!$E:$E,0))),0)</f>
        <v>0</v>
      </c>
      <c r="V191" s="49" t="str">
        <f aca="false">IF(T191="Yes",SUMIFS($U$5:$U$600,$C$5:$C$600,C191,$Q$5:$Q$600,"&gt;"&amp;Q191)+U191,"")</f>
        <v/>
      </c>
      <c r="W191" s="37" t="str">
        <f aca="false">IF(T191="Yes",IF(V191&lt;=INDEX(PoolList,MATCH(C191,ProgramList,0)),"Within pool","Over pool"),"")</f>
        <v/>
      </c>
      <c r="X191" s="37" t="str">
        <f aca="false">IF(O191="Yes",COUNTIF($O$5:O191,"Yes"),"")</f>
        <v/>
      </c>
    </row>
    <row r="192" customFormat="false" ht="15" hidden="false" customHeight="false" outlineLevel="0" collapsed="false">
      <c r="A192" s="35" t="s">
        <v>567</v>
      </c>
      <c r="B192" s="35" t="s">
        <v>568</v>
      </c>
      <c r="C192" s="35" t="s">
        <v>104</v>
      </c>
      <c r="D192" s="35" t="s">
        <v>174</v>
      </c>
      <c r="E192" s="35" t="s">
        <v>175</v>
      </c>
      <c r="F192" s="42" t="n">
        <v>75000</v>
      </c>
      <c r="G192" s="36" t="n">
        <v>45916</v>
      </c>
      <c r="H192" s="35" t="s">
        <v>54</v>
      </c>
      <c r="I192" s="35" t="s">
        <v>91</v>
      </c>
      <c r="J192" s="35" t="s">
        <v>85</v>
      </c>
      <c r="K192" s="35" t="s">
        <v>94</v>
      </c>
      <c r="L192" s="48" t="n">
        <f aca="false">IFERROR(AVERAGEIFS('Score Entry'!$M$5:$M$1276,'Score Entry'!$B$5:$B$1276,A192,'Score Entry'!$E$5:$E$1276,"Primary"),"")</f>
        <v>73</v>
      </c>
      <c r="M192" s="48" t="n">
        <f aca="false">IFERROR(AVERAGEIFS('Score Entry'!$M$5:$M$1276,'Score Entry'!$B$5:$B$1276,A192,'Score Entry'!$E$5:$E$1276,"Secondary"),"")</f>
        <v>55</v>
      </c>
      <c r="N192" s="48" t="n">
        <f aca="false">IF(COUNT(L192:M192)=2,ABS(L192-M192),"")</f>
        <v>18</v>
      </c>
      <c r="O192" s="37" t="str">
        <f aca="false">IF(N192="","",IF(N192&gt;=Threshold,"Yes","No"))</f>
        <v>Yes</v>
      </c>
      <c r="P192" s="48" t="n">
        <f aca="false">IFERROR(AVERAGEIFS('Score Entry'!$M$5:$M$1276,'Score Entry'!$B$5:$B$1276,A192,'Score Entry'!$E$5:$E$1276,"Third"),"")</f>
        <v>56</v>
      </c>
      <c r="Q192" s="48" t="n">
        <f aca="false">IF(H192&lt;&gt;"Eligible","",IF(O192="Yes",IF(ISNUMBER(P192),ROUND(AVERAGE(L192,M192,P192),1),""),IF(O192="No",ROUND(AVERAGE(L192:M192),1),"")))</f>
        <v>61.3</v>
      </c>
      <c r="R192" s="37" t="str">
        <f aca="false">IF(H192&lt;&gt;"Eligible","Screened out",IF(COUNT(L192:M192)=0,"Not started",IF(COUNT(L192:M192)=1,"One read done",IF(O192="Yes",IF(ISNUMBER(P192),"Complete","Needs third read"),"Complete"))))</f>
        <v>Complete</v>
      </c>
      <c r="S192" s="37" t="n">
        <f aca="false">IF(Q192="","",COUNTIFS($C$5:$C$600,C192,$Q$5:$Q$600,"&gt;"&amp;Q192)+1)</f>
        <v>74</v>
      </c>
      <c r="T192" s="37" t="str">
        <f aca="false">IF(Q192="","",IF(Q192&gt;=Cutoff,"Yes","No"))</f>
        <v>No</v>
      </c>
      <c r="U192" s="49" t="n">
        <f aca="false">IF(T192="Yes",MIN(F192,INDEX(Settings!$G:$G,MATCH(C192,Settings!$E:$E,0))),0)</f>
        <v>0</v>
      </c>
      <c r="V192" s="49" t="str">
        <f aca="false">IF(T192="Yes",SUMIFS($U$5:$U$600,$C$5:$C$600,C192,$Q$5:$Q$600,"&gt;"&amp;Q192)+U192,"")</f>
        <v/>
      </c>
      <c r="W192" s="37" t="str">
        <f aca="false">IF(T192="Yes",IF(V192&lt;=INDEX(PoolList,MATCH(C192,ProgramList,0)),"Within pool","Over pool"),"")</f>
        <v/>
      </c>
      <c r="X192" s="37" t="n">
        <f aca="false">IF(O192="Yes",COUNTIF($O$5:O192,"Yes"),"")</f>
        <v>26</v>
      </c>
    </row>
    <row r="193" customFormat="false" ht="15" hidden="false" customHeight="false" outlineLevel="0" collapsed="false">
      <c r="A193" s="35" t="s">
        <v>569</v>
      </c>
      <c r="B193" s="35" t="s">
        <v>570</v>
      </c>
      <c r="C193" s="35" t="s">
        <v>106</v>
      </c>
      <c r="D193" s="35" t="s">
        <v>174</v>
      </c>
      <c r="E193" s="35" t="s">
        <v>175</v>
      </c>
      <c r="F193" s="42" t="n">
        <v>34000</v>
      </c>
      <c r="G193" s="36" t="n">
        <v>45922</v>
      </c>
      <c r="H193" s="35" t="s">
        <v>54</v>
      </c>
      <c r="I193" s="35" t="s">
        <v>78</v>
      </c>
      <c r="J193" s="35" t="s">
        <v>88</v>
      </c>
      <c r="K193" s="35" t="s">
        <v>82</v>
      </c>
      <c r="L193" s="48" t="n">
        <f aca="false">IFERROR(AVERAGEIFS('Score Entry'!$M$5:$M$1276,'Score Entry'!$B$5:$B$1276,A193,'Score Entry'!$E$5:$E$1276,"Primary"),"")</f>
        <v>61</v>
      </c>
      <c r="M193" s="48" t="n">
        <f aca="false">IFERROR(AVERAGEIFS('Score Entry'!$M$5:$M$1276,'Score Entry'!$B$5:$B$1276,A193,'Score Entry'!$E$5:$E$1276,"Secondary"),"")</f>
        <v>42</v>
      </c>
      <c r="N193" s="48" t="n">
        <f aca="false">IF(COUNT(L193:M193)=2,ABS(L193-M193),"")</f>
        <v>19</v>
      </c>
      <c r="O193" s="37" t="str">
        <f aca="false">IF(N193="","",IF(N193&gt;=Threshold,"Yes","No"))</f>
        <v>Yes</v>
      </c>
      <c r="P193" s="48" t="str">
        <f aca="false">IFERROR(AVERAGEIFS('Score Entry'!$M$5:$M$1276,'Score Entry'!$B$5:$B$1276,A193,'Score Entry'!$E$5:$E$1276,"Third"),"")</f>
        <v/>
      </c>
      <c r="Q193" s="48" t="str">
        <f aca="false">IF(H193&lt;&gt;"Eligible","",IF(O193="Yes",IF(ISNUMBER(P193),ROUND(AVERAGE(L193,M193,P193),1),""),IF(O193="No",ROUND(AVERAGE(L193:M193),1),"")))</f>
        <v/>
      </c>
      <c r="R193" s="37" t="str">
        <f aca="false">IF(H193&lt;&gt;"Eligible","Screened out",IF(COUNT(L193:M193)=0,"Not started",IF(COUNT(L193:M193)=1,"One read done",IF(O193="Yes",IF(ISNUMBER(P193),"Complete","Needs third read"),"Complete"))))</f>
        <v>Needs third read</v>
      </c>
      <c r="S193" s="37" t="str">
        <f aca="false">IF(Q193="","",COUNTIFS($C$5:$C$600,C193,$Q$5:$Q$600,"&gt;"&amp;Q193)+1)</f>
        <v/>
      </c>
      <c r="T193" s="37" t="str">
        <f aca="false">IF(Q193="","",IF(Q193&gt;=Cutoff,"Yes","No"))</f>
        <v/>
      </c>
      <c r="U193" s="49" t="n">
        <f aca="false">IF(T193="Yes",MIN(F193,INDEX(Settings!$G:$G,MATCH(C193,Settings!$E:$E,0))),0)</f>
        <v>0</v>
      </c>
      <c r="V193" s="49" t="str">
        <f aca="false">IF(T193="Yes",SUMIFS($U$5:$U$600,$C$5:$C$600,C193,$Q$5:$Q$600,"&gt;"&amp;Q193)+U193,"")</f>
        <v/>
      </c>
      <c r="W193" s="37" t="str">
        <f aca="false">IF(T193="Yes",IF(V193&lt;=INDEX(PoolList,MATCH(C193,ProgramList,0)),"Within pool","Over pool"),"")</f>
        <v/>
      </c>
      <c r="X193" s="37" t="n">
        <f aca="false">IF(O193="Yes",COUNTIF($O$5:O193,"Yes"),"")</f>
        <v>27</v>
      </c>
    </row>
    <row r="194" customFormat="false" ht="15" hidden="false" customHeight="false" outlineLevel="0" collapsed="false">
      <c r="A194" s="35" t="s">
        <v>571</v>
      </c>
      <c r="B194" s="35" t="s">
        <v>572</v>
      </c>
      <c r="C194" s="35" t="s">
        <v>105</v>
      </c>
      <c r="D194" s="35" t="s">
        <v>190</v>
      </c>
      <c r="E194" s="35" t="s">
        <v>191</v>
      </c>
      <c r="F194" s="42" t="n">
        <v>50000</v>
      </c>
      <c r="G194" s="36" t="n">
        <v>45917</v>
      </c>
      <c r="H194" s="35" t="s">
        <v>96</v>
      </c>
      <c r="I194" s="35"/>
      <c r="J194" s="35"/>
      <c r="K194" s="35"/>
      <c r="L194" s="48" t="str">
        <f aca="false">IFERROR(AVERAGEIFS('Score Entry'!$M$5:$M$1276,'Score Entry'!$B$5:$B$1276,A194,'Score Entry'!$E$5:$E$1276,"Primary"),"")</f>
        <v/>
      </c>
      <c r="M194" s="48" t="str">
        <f aca="false">IFERROR(AVERAGEIFS('Score Entry'!$M$5:$M$1276,'Score Entry'!$B$5:$B$1276,A194,'Score Entry'!$E$5:$E$1276,"Secondary"),"")</f>
        <v/>
      </c>
      <c r="N194" s="48" t="str">
        <f aca="false">IF(COUNT(L194:M194)=2,ABS(L194-M194),"")</f>
        <v/>
      </c>
      <c r="O194" s="37" t="str">
        <f aca="false">IF(N194="","",IF(N194&gt;=Threshold,"Yes","No"))</f>
        <v/>
      </c>
      <c r="P194" s="48" t="str">
        <f aca="false">IFERROR(AVERAGEIFS('Score Entry'!$M$5:$M$1276,'Score Entry'!$B$5:$B$1276,A194,'Score Entry'!$E$5:$E$1276,"Third"),"")</f>
        <v/>
      </c>
      <c r="Q194" s="48" t="str">
        <f aca="false">IF(H194&lt;&gt;"Eligible","",IF(O194="Yes",IF(ISNUMBER(P194),ROUND(AVERAGE(L194,M194,P194),1),""),IF(O194="No",ROUND(AVERAGE(L194:M194),1),"")))</f>
        <v/>
      </c>
      <c r="R194" s="37" t="str">
        <f aca="false">IF(H194&lt;&gt;"Eligible","Screened out",IF(COUNT(L194:M194)=0,"Not started",IF(COUNT(L194:M194)=1,"One read done",IF(O194="Yes",IF(ISNUMBER(P194),"Complete","Needs third read"),"Complete"))))</f>
        <v>Screened out</v>
      </c>
      <c r="S194" s="37" t="str">
        <f aca="false">IF(Q194="","",COUNTIFS($C$5:$C$600,C194,$Q$5:$Q$600,"&gt;"&amp;Q194)+1)</f>
        <v/>
      </c>
      <c r="T194" s="37" t="str">
        <f aca="false">IF(Q194="","",IF(Q194&gt;=Cutoff,"Yes","No"))</f>
        <v/>
      </c>
      <c r="U194" s="49" t="n">
        <f aca="false">IF(T194="Yes",MIN(F194,INDEX(Settings!$G:$G,MATCH(C194,Settings!$E:$E,0))),0)</f>
        <v>0</v>
      </c>
      <c r="V194" s="49" t="str">
        <f aca="false">IF(T194="Yes",SUMIFS($U$5:$U$600,$C$5:$C$600,C194,$Q$5:$Q$600,"&gt;"&amp;Q194)+U194,"")</f>
        <v/>
      </c>
      <c r="W194" s="37" t="str">
        <f aca="false">IF(T194="Yes",IF(V194&lt;=INDEX(PoolList,MATCH(C194,ProgramList,0)),"Within pool","Over pool"),"")</f>
        <v/>
      </c>
      <c r="X194" s="37" t="str">
        <f aca="false">IF(O194="Yes",COUNTIF($O$5:O194,"Yes"),"")</f>
        <v/>
      </c>
    </row>
    <row r="195" customFormat="false" ht="15" hidden="false" customHeight="false" outlineLevel="0" collapsed="false">
      <c r="A195" s="35" t="s">
        <v>573</v>
      </c>
      <c r="B195" s="35" t="s">
        <v>574</v>
      </c>
      <c r="C195" s="35" t="s">
        <v>106</v>
      </c>
      <c r="D195" s="35" t="s">
        <v>174</v>
      </c>
      <c r="E195" s="35" t="s">
        <v>232</v>
      </c>
      <c r="F195" s="42" t="n">
        <v>100000</v>
      </c>
      <c r="G195" s="36" t="n">
        <v>45921</v>
      </c>
      <c r="H195" s="35" t="s">
        <v>54</v>
      </c>
      <c r="I195" s="35" t="s">
        <v>94</v>
      </c>
      <c r="J195" s="35" t="s">
        <v>85</v>
      </c>
      <c r="K195" s="35"/>
      <c r="L195" s="48" t="n">
        <f aca="false">IFERROR(AVERAGEIFS('Score Entry'!$M$5:$M$1276,'Score Entry'!$B$5:$B$1276,A195,'Score Entry'!$E$5:$E$1276,"Primary"),"")</f>
        <v>42</v>
      </c>
      <c r="M195" s="48" t="n">
        <f aca="false">IFERROR(AVERAGEIFS('Score Entry'!$M$5:$M$1276,'Score Entry'!$B$5:$B$1276,A195,'Score Entry'!$E$5:$E$1276,"Secondary"),"")</f>
        <v>48</v>
      </c>
      <c r="N195" s="48" t="n">
        <f aca="false">IF(COUNT(L195:M195)=2,ABS(L195-M195),"")</f>
        <v>6</v>
      </c>
      <c r="O195" s="37" t="str">
        <f aca="false">IF(N195="","",IF(N195&gt;=Threshold,"Yes","No"))</f>
        <v>No</v>
      </c>
      <c r="P195" s="48" t="str">
        <f aca="false">IFERROR(AVERAGEIFS('Score Entry'!$M$5:$M$1276,'Score Entry'!$B$5:$B$1276,A195,'Score Entry'!$E$5:$E$1276,"Third"),"")</f>
        <v/>
      </c>
      <c r="Q195" s="48" t="n">
        <f aca="false">IF(H195&lt;&gt;"Eligible","",IF(O195="Yes",IF(ISNUMBER(P195),ROUND(AVERAGE(L195,M195,P195),1),""),IF(O195="No",ROUND(AVERAGE(L195:M195),1),"")))</f>
        <v>45</v>
      </c>
      <c r="R195" s="37" t="str">
        <f aca="false">IF(H195&lt;&gt;"Eligible","Screened out",IF(COUNT(L195:M195)=0,"Not started",IF(COUNT(L195:M195)=1,"One read done",IF(O195="Yes",IF(ISNUMBER(P195),"Complete","Needs third read"),"Complete"))))</f>
        <v>Complete</v>
      </c>
      <c r="S195" s="37" t="n">
        <f aca="false">IF(Q195="","",COUNTIFS($C$5:$C$600,C195,$Q$5:$Q$600,"&gt;"&amp;Q195)+1)</f>
        <v>113</v>
      </c>
      <c r="T195" s="37" t="str">
        <f aca="false">IF(Q195="","",IF(Q195&gt;=Cutoff,"Yes","No"))</f>
        <v>No</v>
      </c>
      <c r="U195" s="49" t="n">
        <f aca="false">IF(T195="Yes",MIN(F195,INDEX(Settings!$G:$G,MATCH(C195,Settings!$E:$E,0))),0)</f>
        <v>0</v>
      </c>
      <c r="V195" s="49" t="str">
        <f aca="false">IF(T195="Yes",SUMIFS($U$5:$U$600,$C$5:$C$600,C195,$Q$5:$Q$600,"&gt;"&amp;Q195)+U195,"")</f>
        <v/>
      </c>
      <c r="W195" s="37" t="str">
        <f aca="false">IF(T195="Yes",IF(V195&lt;=INDEX(PoolList,MATCH(C195,ProgramList,0)),"Within pool","Over pool"),"")</f>
        <v/>
      </c>
      <c r="X195" s="37" t="str">
        <f aca="false">IF(O195="Yes",COUNTIF($O$5:O195,"Yes"),"")</f>
        <v/>
      </c>
    </row>
    <row r="196" customFormat="false" ht="15" hidden="false" customHeight="false" outlineLevel="0" collapsed="false">
      <c r="A196" s="35" t="s">
        <v>575</v>
      </c>
      <c r="B196" s="35" t="s">
        <v>576</v>
      </c>
      <c r="C196" s="35" t="s">
        <v>104</v>
      </c>
      <c r="D196" s="35" t="s">
        <v>174</v>
      </c>
      <c r="E196" s="35" t="s">
        <v>175</v>
      </c>
      <c r="F196" s="42" t="n">
        <v>115000</v>
      </c>
      <c r="G196" s="36" t="n">
        <v>45923</v>
      </c>
      <c r="H196" s="35" t="s">
        <v>54</v>
      </c>
      <c r="I196" s="35" t="s">
        <v>78</v>
      </c>
      <c r="J196" s="35" t="s">
        <v>88</v>
      </c>
      <c r="K196" s="35"/>
      <c r="L196" s="48" t="n">
        <f aca="false">IFERROR(AVERAGEIFS('Score Entry'!$M$5:$M$1276,'Score Entry'!$B$5:$B$1276,A196,'Score Entry'!$E$5:$E$1276,"Primary"),"")</f>
        <v>60</v>
      </c>
      <c r="M196" s="48" t="n">
        <f aca="false">IFERROR(AVERAGEIFS('Score Entry'!$M$5:$M$1276,'Score Entry'!$B$5:$B$1276,A196,'Score Entry'!$E$5:$E$1276,"Secondary"),"")</f>
        <v>65</v>
      </c>
      <c r="N196" s="48" t="n">
        <f aca="false">IF(COUNT(L196:M196)=2,ABS(L196-M196),"")</f>
        <v>5</v>
      </c>
      <c r="O196" s="37" t="str">
        <f aca="false">IF(N196="","",IF(N196&gt;=Threshold,"Yes","No"))</f>
        <v>No</v>
      </c>
      <c r="P196" s="48" t="str">
        <f aca="false">IFERROR(AVERAGEIFS('Score Entry'!$M$5:$M$1276,'Score Entry'!$B$5:$B$1276,A196,'Score Entry'!$E$5:$E$1276,"Third"),"")</f>
        <v/>
      </c>
      <c r="Q196" s="48" t="n">
        <f aca="false">IF(H196&lt;&gt;"Eligible","",IF(O196="Yes",IF(ISNUMBER(P196),ROUND(AVERAGE(L196,M196,P196),1),""),IF(O196="No",ROUND(AVERAGE(L196:M196),1),"")))</f>
        <v>62.5</v>
      </c>
      <c r="R196" s="37" t="str">
        <f aca="false">IF(H196&lt;&gt;"Eligible","Screened out",IF(COUNT(L196:M196)=0,"Not started",IF(COUNT(L196:M196)=1,"One read done",IF(O196="Yes",IF(ISNUMBER(P196),"Complete","Needs third read"),"Complete"))))</f>
        <v>Complete</v>
      </c>
      <c r="S196" s="37" t="n">
        <f aca="false">IF(Q196="","",COUNTIFS($C$5:$C$600,C196,$Q$5:$Q$600,"&gt;"&amp;Q196)+1)</f>
        <v>66</v>
      </c>
      <c r="T196" s="37" t="str">
        <f aca="false">IF(Q196="","",IF(Q196&gt;=Cutoff,"Yes","No"))</f>
        <v>No</v>
      </c>
      <c r="U196" s="49" t="n">
        <f aca="false">IF(T196="Yes",MIN(F196,INDEX(Settings!$G:$G,MATCH(C196,Settings!$E:$E,0))),0)</f>
        <v>0</v>
      </c>
      <c r="V196" s="49" t="str">
        <f aca="false">IF(T196="Yes",SUMIFS($U$5:$U$600,$C$5:$C$600,C196,$Q$5:$Q$600,"&gt;"&amp;Q196)+U196,"")</f>
        <v/>
      </c>
      <c r="W196" s="37" t="str">
        <f aca="false">IF(T196="Yes",IF(V196&lt;=INDEX(PoolList,MATCH(C196,ProgramList,0)),"Within pool","Over pool"),"")</f>
        <v/>
      </c>
      <c r="X196" s="37" t="str">
        <f aca="false">IF(O196="Yes",COUNTIF($O$5:O196,"Yes"),"")</f>
        <v/>
      </c>
    </row>
    <row r="197" customFormat="false" ht="15" hidden="false" customHeight="false" outlineLevel="0" collapsed="false">
      <c r="A197" s="35" t="s">
        <v>577</v>
      </c>
      <c r="B197" s="35" t="s">
        <v>578</v>
      </c>
      <c r="C197" s="35" t="s">
        <v>106</v>
      </c>
      <c r="D197" s="35" t="s">
        <v>180</v>
      </c>
      <c r="E197" s="35" t="s">
        <v>218</v>
      </c>
      <c r="F197" s="42" t="n">
        <v>83000</v>
      </c>
      <c r="G197" s="36" t="n">
        <v>45921</v>
      </c>
      <c r="H197" s="35" t="s">
        <v>54</v>
      </c>
      <c r="I197" s="35" t="s">
        <v>82</v>
      </c>
      <c r="J197" s="35" t="s">
        <v>91</v>
      </c>
      <c r="K197" s="35"/>
      <c r="L197" s="48" t="n">
        <f aca="false">IFERROR(AVERAGEIFS('Score Entry'!$M$5:$M$1276,'Score Entry'!$B$5:$B$1276,A197,'Score Entry'!$E$5:$E$1276,"Primary"),"")</f>
        <v>75</v>
      </c>
      <c r="M197" s="48" t="n">
        <f aca="false">IFERROR(AVERAGEIFS('Score Entry'!$M$5:$M$1276,'Score Entry'!$B$5:$B$1276,A197,'Score Entry'!$E$5:$E$1276,"Secondary"),"")</f>
        <v>80</v>
      </c>
      <c r="N197" s="48" t="n">
        <f aca="false">IF(COUNT(L197:M197)=2,ABS(L197-M197),"")</f>
        <v>5</v>
      </c>
      <c r="O197" s="37" t="str">
        <f aca="false">IF(N197="","",IF(N197&gt;=Threshold,"Yes","No"))</f>
        <v>No</v>
      </c>
      <c r="P197" s="48" t="str">
        <f aca="false">IFERROR(AVERAGEIFS('Score Entry'!$M$5:$M$1276,'Score Entry'!$B$5:$B$1276,A197,'Score Entry'!$E$5:$E$1276,"Third"),"")</f>
        <v/>
      </c>
      <c r="Q197" s="48" t="n">
        <f aca="false">IF(H197&lt;&gt;"Eligible","",IF(O197="Yes",IF(ISNUMBER(P197),ROUND(AVERAGE(L197,M197,P197),1),""),IF(O197="No",ROUND(AVERAGE(L197:M197),1),"")))</f>
        <v>77.5</v>
      </c>
      <c r="R197" s="37" t="str">
        <f aca="false">IF(H197&lt;&gt;"Eligible","Screened out",IF(COUNT(L197:M197)=0,"Not started",IF(COUNT(L197:M197)=1,"One read done",IF(O197="Yes",IF(ISNUMBER(P197),"Complete","Needs third read"),"Complete"))))</f>
        <v>Complete</v>
      </c>
      <c r="S197" s="37" t="n">
        <f aca="false">IF(Q197="","",COUNTIFS($C$5:$C$600,C197,$Q$5:$Q$600,"&gt;"&amp;Q197)+1)</f>
        <v>29</v>
      </c>
      <c r="T197" s="37" t="str">
        <f aca="false">IF(Q197="","",IF(Q197&gt;=Cutoff,"Yes","No"))</f>
        <v>No</v>
      </c>
      <c r="U197" s="49" t="n">
        <f aca="false">IF(T197="Yes",MIN(F197,INDEX(Settings!$G:$G,MATCH(C197,Settings!$E:$E,0))),0)</f>
        <v>0</v>
      </c>
      <c r="V197" s="49" t="str">
        <f aca="false">IF(T197="Yes",SUMIFS($U$5:$U$600,$C$5:$C$600,C197,$Q$5:$Q$600,"&gt;"&amp;Q197)+U197,"")</f>
        <v/>
      </c>
      <c r="W197" s="37" t="str">
        <f aca="false">IF(T197="Yes",IF(V197&lt;=INDEX(PoolList,MATCH(C197,ProgramList,0)),"Within pool","Over pool"),"")</f>
        <v/>
      </c>
      <c r="X197" s="37" t="str">
        <f aca="false">IF(O197="Yes",COUNTIF($O$5:O197,"Yes"),"")</f>
        <v/>
      </c>
    </row>
    <row r="198" customFormat="false" ht="15" hidden="false" customHeight="false" outlineLevel="0" collapsed="false">
      <c r="A198" s="35" t="s">
        <v>579</v>
      </c>
      <c r="B198" s="35" t="s">
        <v>580</v>
      </c>
      <c r="C198" s="35" t="s">
        <v>104</v>
      </c>
      <c r="D198" s="35" t="s">
        <v>190</v>
      </c>
      <c r="E198" s="35" t="s">
        <v>298</v>
      </c>
      <c r="F198" s="42" t="n">
        <v>98500</v>
      </c>
      <c r="G198" s="36" t="n">
        <v>45927</v>
      </c>
      <c r="H198" s="35" t="s">
        <v>54</v>
      </c>
      <c r="I198" s="35" t="s">
        <v>94</v>
      </c>
      <c r="J198" s="35" t="s">
        <v>78</v>
      </c>
      <c r="K198" s="35"/>
      <c r="L198" s="48" t="n">
        <f aca="false">IFERROR(AVERAGEIFS('Score Entry'!$M$5:$M$1276,'Score Entry'!$B$5:$B$1276,A198,'Score Entry'!$E$5:$E$1276,"Primary"),"")</f>
        <v>79</v>
      </c>
      <c r="M198" s="48" t="n">
        <f aca="false">IFERROR(AVERAGEIFS('Score Entry'!$M$5:$M$1276,'Score Entry'!$B$5:$B$1276,A198,'Score Entry'!$E$5:$E$1276,"Secondary"),"")</f>
        <v>69</v>
      </c>
      <c r="N198" s="48" t="n">
        <f aca="false">IF(COUNT(L198:M198)=2,ABS(L198-M198),"")</f>
        <v>10</v>
      </c>
      <c r="O198" s="37" t="str">
        <f aca="false">IF(N198="","",IF(N198&gt;=Threshold,"Yes","No"))</f>
        <v>No</v>
      </c>
      <c r="P198" s="48" t="str">
        <f aca="false">IFERROR(AVERAGEIFS('Score Entry'!$M$5:$M$1276,'Score Entry'!$B$5:$B$1276,A198,'Score Entry'!$E$5:$E$1276,"Third"),"")</f>
        <v/>
      </c>
      <c r="Q198" s="48" t="n">
        <f aca="false">IF(H198&lt;&gt;"Eligible","",IF(O198="Yes",IF(ISNUMBER(P198),ROUND(AVERAGE(L198,M198,P198),1),""),IF(O198="No",ROUND(AVERAGE(L198:M198),1),"")))</f>
        <v>74</v>
      </c>
      <c r="R198" s="37" t="str">
        <f aca="false">IF(H198&lt;&gt;"Eligible","Screened out",IF(COUNT(L198:M198)=0,"Not started",IF(COUNT(L198:M198)=1,"One read done",IF(O198="Yes",IF(ISNUMBER(P198),"Complete","Needs third read"),"Complete"))))</f>
        <v>Complete</v>
      </c>
      <c r="S198" s="37" t="n">
        <f aca="false">IF(Q198="","",COUNTIFS($C$5:$C$600,C198,$Q$5:$Q$600,"&gt;"&amp;Q198)+1)</f>
        <v>37</v>
      </c>
      <c r="T198" s="37" t="str">
        <f aca="false">IF(Q198="","",IF(Q198&gt;=Cutoff,"Yes","No"))</f>
        <v>No</v>
      </c>
      <c r="U198" s="49" t="n">
        <f aca="false">IF(T198="Yes",MIN(F198,INDEX(Settings!$G:$G,MATCH(C198,Settings!$E:$E,0))),0)</f>
        <v>0</v>
      </c>
      <c r="V198" s="49" t="str">
        <f aca="false">IF(T198="Yes",SUMIFS($U$5:$U$600,$C$5:$C$600,C198,$Q$5:$Q$600,"&gt;"&amp;Q198)+U198,"")</f>
        <v/>
      </c>
      <c r="W198" s="37" t="str">
        <f aca="false">IF(T198="Yes",IF(V198&lt;=INDEX(PoolList,MATCH(C198,ProgramList,0)),"Within pool","Over pool"),"")</f>
        <v/>
      </c>
      <c r="X198" s="37" t="str">
        <f aca="false">IF(O198="Yes",COUNTIF($O$5:O198,"Yes"),"")</f>
        <v/>
      </c>
    </row>
    <row r="199" customFormat="false" ht="15" hidden="false" customHeight="false" outlineLevel="0" collapsed="false">
      <c r="A199" s="35" t="s">
        <v>581</v>
      </c>
      <c r="B199" s="35" t="s">
        <v>582</v>
      </c>
      <c r="C199" s="35" t="s">
        <v>103</v>
      </c>
      <c r="D199" s="35" t="s">
        <v>180</v>
      </c>
      <c r="E199" s="35" t="s">
        <v>269</v>
      </c>
      <c r="F199" s="42" t="n">
        <v>61000</v>
      </c>
      <c r="G199" s="36" t="n">
        <v>45923</v>
      </c>
      <c r="H199" s="35" t="s">
        <v>54</v>
      </c>
      <c r="I199" s="35" t="s">
        <v>85</v>
      </c>
      <c r="J199" s="35" t="s">
        <v>91</v>
      </c>
      <c r="K199" s="35" t="s">
        <v>78</v>
      </c>
      <c r="L199" s="48" t="n">
        <f aca="false">IFERROR(AVERAGEIFS('Score Entry'!$M$5:$M$1276,'Score Entry'!$B$5:$B$1276,A199,'Score Entry'!$E$5:$E$1276,"Primary"),"")</f>
        <v>62</v>
      </c>
      <c r="M199" s="48" t="n">
        <f aca="false">IFERROR(AVERAGEIFS('Score Entry'!$M$5:$M$1276,'Score Entry'!$B$5:$B$1276,A199,'Score Entry'!$E$5:$E$1276,"Secondary"),"")</f>
        <v>81</v>
      </c>
      <c r="N199" s="48" t="n">
        <f aca="false">IF(COUNT(L199:M199)=2,ABS(L199-M199),"")</f>
        <v>19</v>
      </c>
      <c r="O199" s="37" t="str">
        <f aca="false">IF(N199="","",IF(N199&gt;=Threshold,"Yes","No"))</f>
        <v>Yes</v>
      </c>
      <c r="P199" s="48" t="n">
        <f aca="false">IFERROR(AVERAGEIFS('Score Entry'!$M$5:$M$1276,'Score Entry'!$B$5:$B$1276,A199,'Score Entry'!$E$5:$E$1276,"Third"),"")</f>
        <v>70</v>
      </c>
      <c r="Q199" s="48" t="n">
        <f aca="false">IF(H199&lt;&gt;"Eligible","",IF(O199="Yes",IF(ISNUMBER(P199),ROUND(AVERAGE(L199,M199,P199),1),""),IF(O199="No",ROUND(AVERAGE(L199:M199),1),"")))</f>
        <v>71</v>
      </c>
      <c r="R199" s="37" t="str">
        <f aca="false">IF(H199&lt;&gt;"Eligible","Screened out",IF(COUNT(L199:M199)=0,"Not started",IF(COUNT(L199:M199)=1,"One read done",IF(O199="Yes",IF(ISNUMBER(P199),"Complete","Needs third read"),"Complete"))))</f>
        <v>Complete</v>
      </c>
      <c r="S199" s="37" t="n">
        <f aca="false">IF(Q199="","",COUNTIFS($C$5:$C$600,C199,$Q$5:$Q$600,"&gt;"&amp;Q199)+1)</f>
        <v>60</v>
      </c>
      <c r="T199" s="37" t="str">
        <f aca="false">IF(Q199="","",IF(Q199&gt;=Cutoff,"Yes","No"))</f>
        <v>No</v>
      </c>
      <c r="U199" s="49" t="n">
        <f aca="false">IF(T199="Yes",MIN(F199,INDEX(Settings!$G:$G,MATCH(C199,Settings!$E:$E,0))),0)</f>
        <v>0</v>
      </c>
      <c r="V199" s="49" t="str">
        <f aca="false">IF(T199="Yes",SUMIFS($U$5:$U$600,$C$5:$C$600,C199,$Q$5:$Q$600,"&gt;"&amp;Q199)+U199,"")</f>
        <v/>
      </c>
      <c r="W199" s="37" t="str">
        <f aca="false">IF(T199="Yes",IF(V199&lt;=INDEX(PoolList,MATCH(C199,ProgramList,0)),"Within pool","Over pool"),"")</f>
        <v/>
      </c>
      <c r="X199" s="37" t="n">
        <f aca="false">IF(O199="Yes",COUNTIF($O$5:O199,"Yes"),"")</f>
        <v>28</v>
      </c>
    </row>
    <row r="200" customFormat="false" ht="15" hidden="false" customHeight="false" outlineLevel="0" collapsed="false">
      <c r="A200" s="35" t="s">
        <v>583</v>
      </c>
      <c r="B200" s="35" t="s">
        <v>584</v>
      </c>
      <c r="C200" s="35" t="s">
        <v>105</v>
      </c>
      <c r="D200" s="35" t="s">
        <v>174</v>
      </c>
      <c r="E200" s="35" t="s">
        <v>232</v>
      </c>
      <c r="F200" s="42" t="n">
        <v>113000</v>
      </c>
      <c r="G200" s="36" t="n">
        <v>45920</v>
      </c>
      <c r="H200" s="35" t="s">
        <v>54</v>
      </c>
      <c r="I200" s="35" t="s">
        <v>88</v>
      </c>
      <c r="J200" s="35" t="s">
        <v>82</v>
      </c>
      <c r="K200" s="35"/>
      <c r="L200" s="48" t="n">
        <f aca="false">IFERROR(AVERAGEIFS('Score Entry'!$M$5:$M$1276,'Score Entry'!$B$5:$B$1276,A200,'Score Entry'!$E$5:$E$1276,"Primary"),"")</f>
        <v>60</v>
      </c>
      <c r="M200" s="48" t="n">
        <f aca="false">IFERROR(AVERAGEIFS('Score Entry'!$M$5:$M$1276,'Score Entry'!$B$5:$B$1276,A200,'Score Entry'!$E$5:$E$1276,"Secondary"),"")</f>
        <v>60</v>
      </c>
      <c r="N200" s="48" t="n">
        <f aca="false">IF(COUNT(L200:M200)=2,ABS(L200-M200),"")</f>
        <v>0</v>
      </c>
      <c r="O200" s="37" t="str">
        <f aca="false">IF(N200="","",IF(N200&gt;=Threshold,"Yes","No"))</f>
        <v>No</v>
      </c>
      <c r="P200" s="48" t="str">
        <f aca="false">IFERROR(AVERAGEIFS('Score Entry'!$M$5:$M$1276,'Score Entry'!$B$5:$B$1276,A200,'Score Entry'!$E$5:$E$1276,"Third"),"")</f>
        <v/>
      </c>
      <c r="Q200" s="48" t="n">
        <f aca="false">IF(H200&lt;&gt;"Eligible","",IF(O200="Yes",IF(ISNUMBER(P200),ROUND(AVERAGE(L200,M200,P200),1),""),IF(O200="No",ROUND(AVERAGE(L200:M200),1),"")))</f>
        <v>60</v>
      </c>
      <c r="R200" s="37" t="str">
        <f aca="false">IF(H200&lt;&gt;"Eligible","Screened out",IF(COUNT(L200:M200)=0,"Not started",IF(COUNT(L200:M200)=1,"One read done",IF(O200="Yes",IF(ISNUMBER(P200),"Complete","Needs third read"),"Complete"))))</f>
        <v>Complete</v>
      </c>
      <c r="S200" s="37" t="n">
        <f aca="false">IF(Q200="","",COUNTIFS($C$5:$C$600,C200,$Q$5:$Q$600,"&gt;"&amp;Q200)+1)</f>
        <v>72</v>
      </c>
      <c r="T200" s="37" t="str">
        <f aca="false">IF(Q200="","",IF(Q200&gt;=Cutoff,"Yes","No"))</f>
        <v>No</v>
      </c>
      <c r="U200" s="49" t="n">
        <f aca="false">IF(T200="Yes",MIN(F200,INDEX(Settings!$G:$G,MATCH(C200,Settings!$E:$E,0))),0)</f>
        <v>0</v>
      </c>
      <c r="V200" s="49" t="str">
        <f aca="false">IF(T200="Yes",SUMIFS($U$5:$U$600,$C$5:$C$600,C200,$Q$5:$Q$600,"&gt;"&amp;Q200)+U200,"")</f>
        <v/>
      </c>
      <c r="W200" s="37" t="str">
        <f aca="false">IF(T200="Yes",IF(V200&lt;=INDEX(PoolList,MATCH(C200,ProgramList,0)),"Within pool","Over pool"),"")</f>
        <v/>
      </c>
      <c r="X200" s="37" t="str">
        <f aca="false">IF(O200="Yes",COUNTIF($O$5:O200,"Yes"),"")</f>
        <v/>
      </c>
    </row>
    <row r="201" customFormat="false" ht="15" hidden="false" customHeight="false" outlineLevel="0" collapsed="false">
      <c r="A201" s="35" t="s">
        <v>585</v>
      </c>
      <c r="B201" s="35" t="s">
        <v>586</v>
      </c>
      <c r="C201" s="35" t="s">
        <v>104</v>
      </c>
      <c r="D201" s="35" t="s">
        <v>174</v>
      </c>
      <c r="E201" s="35" t="s">
        <v>175</v>
      </c>
      <c r="F201" s="42" t="n">
        <v>109500</v>
      </c>
      <c r="G201" s="36" t="n">
        <v>45925</v>
      </c>
      <c r="H201" s="35" t="s">
        <v>54</v>
      </c>
      <c r="I201" s="35" t="s">
        <v>85</v>
      </c>
      <c r="J201" s="35" t="s">
        <v>78</v>
      </c>
      <c r="K201" s="35"/>
      <c r="L201" s="48" t="n">
        <f aca="false">IFERROR(AVERAGEIFS('Score Entry'!$M$5:$M$1276,'Score Entry'!$B$5:$B$1276,A201,'Score Entry'!$E$5:$E$1276,"Primary"),"")</f>
        <v>47</v>
      </c>
      <c r="M201" s="48" t="n">
        <f aca="false">IFERROR(AVERAGEIFS('Score Entry'!$M$5:$M$1276,'Score Entry'!$B$5:$B$1276,A201,'Score Entry'!$E$5:$E$1276,"Secondary"),"")</f>
        <v>42</v>
      </c>
      <c r="N201" s="48" t="n">
        <f aca="false">IF(COUNT(L201:M201)=2,ABS(L201-M201),"")</f>
        <v>5</v>
      </c>
      <c r="O201" s="37" t="str">
        <f aca="false">IF(N201="","",IF(N201&gt;=Threshold,"Yes","No"))</f>
        <v>No</v>
      </c>
      <c r="P201" s="48" t="str">
        <f aca="false">IFERROR(AVERAGEIFS('Score Entry'!$M$5:$M$1276,'Score Entry'!$B$5:$B$1276,A201,'Score Entry'!$E$5:$E$1276,"Third"),"")</f>
        <v/>
      </c>
      <c r="Q201" s="48" t="n">
        <f aca="false">IF(H201&lt;&gt;"Eligible","",IF(O201="Yes",IF(ISNUMBER(P201),ROUND(AVERAGE(L201,M201,P201),1),""),IF(O201="No",ROUND(AVERAGE(L201:M201),1),"")))</f>
        <v>44.5</v>
      </c>
      <c r="R201" s="37" t="str">
        <f aca="false">IF(H201&lt;&gt;"Eligible","Screened out",IF(COUNT(L201:M201)=0,"Not started",IF(COUNT(L201:M201)=1,"One read done",IF(O201="Yes",IF(ISNUMBER(P201),"Complete","Needs third read"),"Complete"))))</f>
        <v>Complete</v>
      </c>
      <c r="S201" s="37" t="n">
        <f aca="false">IF(Q201="","",COUNTIFS($C$5:$C$600,C201,$Q$5:$Q$600,"&gt;"&amp;Q201)+1)</f>
        <v>100</v>
      </c>
      <c r="T201" s="37" t="str">
        <f aca="false">IF(Q201="","",IF(Q201&gt;=Cutoff,"Yes","No"))</f>
        <v>No</v>
      </c>
      <c r="U201" s="49" t="n">
        <f aca="false">IF(T201="Yes",MIN(F201,INDEX(Settings!$G:$G,MATCH(C201,Settings!$E:$E,0))),0)</f>
        <v>0</v>
      </c>
      <c r="V201" s="49" t="str">
        <f aca="false">IF(T201="Yes",SUMIFS($U$5:$U$600,$C$5:$C$600,C201,$Q$5:$Q$600,"&gt;"&amp;Q201)+U201,"")</f>
        <v/>
      </c>
      <c r="W201" s="37" t="str">
        <f aca="false">IF(T201="Yes",IF(V201&lt;=INDEX(PoolList,MATCH(C201,ProgramList,0)),"Within pool","Over pool"),"")</f>
        <v/>
      </c>
      <c r="X201" s="37" t="str">
        <f aca="false">IF(O201="Yes",COUNTIF($O$5:O201,"Yes"),"")</f>
        <v/>
      </c>
    </row>
    <row r="202" customFormat="false" ht="15" hidden="false" customHeight="false" outlineLevel="0" collapsed="false">
      <c r="A202" s="35" t="s">
        <v>587</v>
      </c>
      <c r="B202" s="35" t="s">
        <v>588</v>
      </c>
      <c r="C202" s="35" t="s">
        <v>104</v>
      </c>
      <c r="D202" s="35" t="s">
        <v>174</v>
      </c>
      <c r="E202" s="35" t="s">
        <v>175</v>
      </c>
      <c r="F202" s="42" t="n">
        <v>107500</v>
      </c>
      <c r="G202" s="36" t="n">
        <v>45927</v>
      </c>
      <c r="H202" s="35" t="s">
        <v>54</v>
      </c>
      <c r="I202" s="35" t="s">
        <v>82</v>
      </c>
      <c r="J202" s="35" t="s">
        <v>88</v>
      </c>
      <c r="K202" s="35"/>
      <c r="L202" s="48" t="n">
        <f aca="false">IFERROR(AVERAGEIFS('Score Entry'!$M$5:$M$1276,'Score Entry'!$B$5:$B$1276,A202,'Score Entry'!$E$5:$E$1276,"Primary"),"")</f>
        <v>59</v>
      </c>
      <c r="M202" s="48" t="n">
        <f aca="false">IFERROR(AVERAGEIFS('Score Entry'!$M$5:$M$1276,'Score Entry'!$B$5:$B$1276,A202,'Score Entry'!$E$5:$E$1276,"Secondary"),"")</f>
        <v>68</v>
      </c>
      <c r="N202" s="48" t="n">
        <f aca="false">IF(COUNT(L202:M202)=2,ABS(L202-M202),"")</f>
        <v>9</v>
      </c>
      <c r="O202" s="37" t="str">
        <f aca="false">IF(N202="","",IF(N202&gt;=Threshold,"Yes","No"))</f>
        <v>No</v>
      </c>
      <c r="P202" s="48" t="str">
        <f aca="false">IFERROR(AVERAGEIFS('Score Entry'!$M$5:$M$1276,'Score Entry'!$B$5:$B$1276,A202,'Score Entry'!$E$5:$E$1276,"Third"),"")</f>
        <v/>
      </c>
      <c r="Q202" s="48" t="n">
        <f aca="false">IF(H202&lt;&gt;"Eligible","",IF(O202="Yes",IF(ISNUMBER(P202),ROUND(AVERAGE(L202,M202,P202),1),""),IF(O202="No",ROUND(AVERAGE(L202:M202),1),"")))</f>
        <v>63.5</v>
      </c>
      <c r="R202" s="37" t="str">
        <f aca="false">IF(H202&lt;&gt;"Eligible","Screened out",IF(COUNT(L202:M202)=0,"Not started",IF(COUNT(L202:M202)=1,"One read done",IF(O202="Yes",IF(ISNUMBER(P202),"Complete","Needs third read"),"Complete"))))</f>
        <v>Complete</v>
      </c>
      <c r="S202" s="37" t="n">
        <f aca="false">IF(Q202="","",COUNTIFS($C$5:$C$600,C202,$Q$5:$Q$600,"&gt;"&amp;Q202)+1)</f>
        <v>63</v>
      </c>
      <c r="T202" s="37" t="str">
        <f aca="false">IF(Q202="","",IF(Q202&gt;=Cutoff,"Yes","No"))</f>
        <v>No</v>
      </c>
      <c r="U202" s="49" t="n">
        <f aca="false">IF(T202="Yes",MIN(F202,INDEX(Settings!$G:$G,MATCH(C202,Settings!$E:$E,0))),0)</f>
        <v>0</v>
      </c>
      <c r="V202" s="49" t="str">
        <f aca="false">IF(T202="Yes",SUMIFS($U$5:$U$600,$C$5:$C$600,C202,$Q$5:$Q$600,"&gt;"&amp;Q202)+U202,"")</f>
        <v/>
      </c>
      <c r="W202" s="37" t="str">
        <f aca="false">IF(T202="Yes",IF(V202&lt;=INDEX(PoolList,MATCH(C202,ProgramList,0)),"Within pool","Over pool"),"")</f>
        <v/>
      </c>
      <c r="X202" s="37" t="str">
        <f aca="false">IF(O202="Yes",COUNTIF($O$5:O202,"Yes"),"")</f>
        <v/>
      </c>
    </row>
    <row r="203" customFormat="false" ht="15" hidden="false" customHeight="false" outlineLevel="0" collapsed="false">
      <c r="A203" s="35" t="s">
        <v>589</v>
      </c>
      <c r="B203" s="35" t="s">
        <v>590</v>
      </c>
      <c r="C203" s="35" t="s">
        <v>105</v>
      </c>
      <c r="D203" s="35" t="s">
        <v>180</v>
      </c>
      <c r="E203" s="35" t="s">
        <v>269</v>
      </c>
      <c r="F203" s="42" t="n">
        <v>66500</v>
      </c>
      <c r="G203" s="36" t="n">
        <v>45918</v>
      </c>
      <c r="H203" s="35" t="s">
        <v>54</v>
      </c>
      <c r="I203" s="35" t="s">
        <v>91</v>
      </c>
      <c r="J203" s="35" t="s">
        <v>85</v>
      </c>
      <c r="K203" s="35"/>
      <c r="L203" s="48" t="n">
        <f aca="false">IFERROR(AVERAGEIFS('Score Entry'!$M$5:$M$1276,'Score Entry'!$B$5:$B$1276,A203,'Score Entry'!$E$5:$E$1276,"Primary"),"")</f>
        <v>60</v>
      </c>
      <c r="M203" s="48" t="n">
        <f aca="false">IFERROR(AVERAGEIFS('Score Entry'!$M$5:$M$1276,'Score Entry'!$B$5:$B$1276,A203,'Score Entry'!$E$5:$E$1276,"Secondary"),"")</f>
        <v>55</v>
      </c>
      <c r="N203" s="48" t="n">
        <f aca="false">IF(COUNT(L203:M203)=2,ABS(L203-M203),"")</f>
        <v>5</v>
      </c>
      <c r="O203" s="37" t="str">
        <f aca="false">IF(N203="","",IF(N203&gt;=Threshold,"Yes","No"))</f>
        <v>No</v>
      </c>
      <c r="P203" s="48" t="str">
        <f aca="false">IFERROR(AVERAGEIFS('Score Entry'!$M$5:$M$1276,'Score Entry'!$B$5:$B$1276,A203,'Score Entry'!$E$5:$E$1276,"Third"),"")</f>
        <v/>
      </c>
      <c r="Q203" s="48" t="n">
        <f aca="false">IF(H203&lt;&gt;"Eligible","",IF(O203="Yes",IF(ISNUMBER(P203),ROUND(AVERAGE(L203,M203,P203),1),""),IF(O203="No",ROUND(AVERAGE(L203:M203),1),"")))</f>
        <v>57.5</v>
      </c>
      <c r="R203" s="37" t="str">
        <f aca="false">IF(H203&lt;&gt;"Eligible","Screened out",IF(COUNT(L203:M203)=0,"Not started",IF(COUNT(L203:M203)=1,"One read done",IF(O203="Yes",IF(ISNUMBER(P203),"Complete","Needs third read"),"Complete"))))</f>
        <v>Complete</v>
      </c>
      <c r="S203" s="37" t="n">
        <f aca="false">IF(Q203="","",COUNTIFS($C$5:$C$600,C203,$Q$5:$Q$600,"&gt;"&amp;Q203)+1)</f>
        <v>78</v>
      </c>
      <c r="T203" s="37" t="str">
        <f aca="false">IF(Q203="","",IF(Q203&gt;=Cutoff,"Yes","No"))</f>
        <v>No</v>
      </c>
      <c r="U203" s="49" t="n">
        <f aca="false">IF(T203="Yes",MIN(F203,INDEX(Settings!$G:$G,MATCH(C203,Settings!$E:$E,0))),0)</f>
        <v>0</v>
      </c>
      <c r="V203" s="49" t="str">
        <f aca="false">IF(T203="Yes",SUMIFS($U$5:$U$600,$C$5:$C$600,C203,$Q$5:$Q$600,"&gt;"&amp;Q203)+U203,"")</f>
        <v/>
      </c>
      <c r="W203" s="37" t="str">
        <f aca="false">IF(T203="Yes",IF(V203&lt;=INDEX(PoolList,MATCH(C203,ProgramList,0)),"Within pool","Over pool"),"")</f>
        <v/>
      </c>
      <c r="X203" s="37" t="str">
        <f aca="false">IF(O203="Yes",COUNTIF($O$5:O203,"Yes"),"")</f>
        <v/>
      </c>
    </row>
    <row r="204" customFormat="false" ht="15" hidden="false" customHeight="false" outlineLevel="0" collapsed="false">
      <c r="A204" s="35" t="s">
        <v>591</v>
      </c>
      <c r="B204" s="35" t="s">
        <v>592</v>
      </c>
      <c r="C204" s="35" t="s">
        <v>105</v>
      </c>
      <c r="D204" s="35" t="s">
        <v>180</v>
      </c>
      <c r="E204" s="35" t="s">
        <v>181</v>
      </c>
      <c r="F204" s="42" t="n">
        <v>41000</v>
      </c>
      <c r="G204" s="36" t="n">
        <v>45918</v>
      </c>
      <c r="H204" s="35" t="s">
        <v>54</v>
      </c>
      <c r="I204" s="35" t="s">
        <v>82</v>
      </c>
      <c r="J204" s="35" t="s">
        <v>85</v>
      </c>
      <c r="K204" s="35"/>
      <c r="L204" s="48" t="n">
        <f aca="false">IFERROR(AVERAGEIFS('Score Entry'!$M$5:$M$1276,'Score Entry'!$B$5:$B$1276,A204,'Score Entry'!$E$5:$E$1276,"Primary"),"")</f>
        <v>73</v>
      </c>
      <c r="M204" s="48" t="n">
        <f aca="false">IFERROR(AVERAGEIFS('Score Entry'!$M$5:$M$1276,'Score Entry'!$B$5:$B$1276,A204,'Score Entry'!$E$5:$E$1276,"Secondary"),"")</f>
        <v>71</v>
      </c>
      <c r="N204" s="48" t="n">
        <f aca="false">IF(COUNT(L204:M204)=2,ABS(L204-M204),"")</f>
        <v>2</v>
      </c>
      <c r="O204" s="37" t="str">
        <f aca="false">IF(N204="","",IF(N204&gt;=Threshold,"Yes","No"))</f>
        <v>No</v>
      </c>
      <c r="P204" s="48" t="str">
        <f aca="false">IFERROR(AVERAGEIFS('Score Entry'!$M$5:$M$1276,'Score Entry'!$B$5:$B$1276,A204,'Score Entry'!$E$5:$E$1276,"Third"),"")</f>
        <v/>
      </c>
      <c r="Q204" s="48" t="n">
        <f aca="false">IF(H204&lt;&gt;"Eligible","",IF(O204="Yes",IF(ISNUMBER(P204),ROUND(AVERAGE(L204,M204,P204),1),""),IF(O204="No",ROUND(AVERAGE(L204:M204),1),"")))</f>
        <v>72</v>
      </c>
      <c r="R204" s="37" t="str">
        <f aca="false">IF(H204&lt;&gt;"Eligible","Screened out",IF(COUNT(L204:M204)=0,"Not started",IF(COUNT(L204:M204)=1,"One read done",IF(O204="Yes",IF(ISNUMBER(P204),"Complete","Needs third read"),"Complete"))))</f>
        <v>Complete</v>
      </c>
      <c r="S204" s="37" t="n">
        <f aca="false">IF(Q204="","",COUNTIFS($C$5:$C$600,C204,$Q$5:$Q$600,"&gt;"&amp;Q204)+1)</f>
        <v>33</v>
      </c>
      <c r="T204" s="37" t="str">
        <f aca="false">IF(Q204="","",IF(Q204&gt;=Cutoff,"Yes","No"))</f>
        <v>No</v>
      </c>
      <c r="U204" s="49" t="n">
        <f aca="false">IF(T204="Yes",MIN(F204,INDEX(Settings!$G:$G,MATCH(C204,Settings!$E:$E,0))),0)</f>
        <v>0</v>
      </c>
      <c r="V204" s="49" t="str">
        <f aca="false">IF(T204="Yes",SUMIFS($U$5:$U$600,$C$5:$C$600,C204,$Q$5:$Q$600,"&gt;"&amp;Q204)+U204,"")</f>
        <v/>
      </c>
      <c r="W204" s="37" t="str">
        <f aca="false">IF(T204="Yes",IF(V204&lt;=INDEX(PoolList,MATCH(C204,ProgramList,0)),"Within pool","Over pool"),"")</f>
        <v/>
      </c>
      <c r="X204" s="37" t="str">
        <f aca="false">IF(O204="Yes",COUNTIF($O$5:O204,"Yes"),"")</f>
        <v/>
      </c>
    </row>
    <row r="205" customFormat="false" ht="15" hidden="false" customHeight="false" outlineLevel="0" collapsed="false">
      <c r="A205" s="35" t="s">
        <v>593</v>
      </c>
      <c r="B205" s="35" t="s">
        <v>594</v>
      </c>
      <c r="C205" s="35" t="s">
        <v>105</v>
      </c>
      <c r="D205" s="35" t="s">
        <v>174</v>
      </c>
      <c r="E205" s="35" t="s">
        <v>175</v>
      </c>
      <c r="F205" s="42" t="n">
        <v>82500</v>
      </c>
      <c r="G205" s="36" t="n">
        <v>45927</v>
      </c>
      <c r="H205" s="35" t="s">
        <v>54</v>
      </c>
      <c r="I205" s="35" t="s">
        <v>94</v>
      </c>
      <c r="J205" s="35" t="s">
        <v>78</v>
      </c>
      <c r="K205" s="35" t="s">
        <v>88</v>
      </c>
      <c r="L205" s="48" t="n">
        <f aca="false">IFERROR(AVERAGEIFS('Score Entry'!$M$5:$M$1276,'Score Entry'!$B$5:$B$1276,A205,'Score Entry'!$E$5:$E$1276,"Primary"),"")</f>
        <v>35</v>
      </c>
      <c r="M205" s="48" t="n">
        <f aca="false">IFERROR(AVERAGEIFS('Score Entry'!$M$5:$M$1276,'Score Entry'!$B$5:$B$1276,A205,'Score Entry'!$E$5:$E$1276,"Secondary"),"")</f>
        <v>56</v>
      </c>
      <c r="N205" s="48" t="n">
        <f aca="false">IF(COUNT(L205:M205)=2,ABS(L205-M205),"")</f>
        <v>21</v>
      </c>
      <c r="O205" s="37" t="str">
        <f aca="false">IF(N205="","",IF(N205&gt;=Threshold,"Yes","No"))</f>
        <v>Yes</v>
      </c>
      <c r="P205" s="48" t="n">
        <f aca="false">IFERROR(AVERAGEIFS('Score Entry'!$M$5:$M$1276,'Score Entry'!$B$5:$B$1276,A205,'Score Entry'!$E$5:$E$1276,"Third"),"")</f>
        <v>65</v>
      </c>
      <c r="Q205" s="48" t="n">
        <f aca="false">IF(H205&lt;&gt;"Eligible","",IF(O205="Yes",IF(ISNUMBER(P205),ROUND(AVERAGE(L205,M205,P205),1),""),IF(O205="No",ROUND(AVERAGE(L205:M205),1),"")))</f>
        <v>52</v>
      </c>
      <c r="R205" s="37" t="str">
        <f aca="false">IF(H205&lt;&gt;"Eligible","Screened out",IF(COUNT(L205:M205)=0,"Not started",IF(COUNT(L205:M205)=1,"One read done",IF(O205="Yes",IF(ISNUMBER(P205),"Complete","Needs third read"),"Complete"))))</f>
        <v>Complete</v>
      </c>
      <c r="S205" s="37" t="n">
        <f aca="false">IF(Q205="","",COUNTIFS($C$5:$C$600,C205,$Q$5:$Q$600,"&gt;"&amp;Q205)+1)</f>
        <v>88</v>
      </c>
      <c r="T205" s="37" t="str">
        <f aca="false">IF(Q205="","",IF(Q205&gt;=Cutoff,"Yes","No"))</f>
        <v>No</v>
      </c>
      <c r="U205" s="49" t="n">
        <f aca="false">IF(T205="Yes",MIN(F205,INDEX(Settings!$G:$G,MATCH(C205,Settings!$E:$E,0))),0)</f>
        <v>0</v>
      </c>
      <c r="V205" s="49" t="str">
        <f aca="false">IF(T205="Yes",SUMIFS($U$5:$U$600,$C$5:$C$600,C205,$Q$5:$Q$600,"&gt;"&amp;Q205)+U205,"")</f>
        <v/>
      </c>
      <c r="W205" s="37" t="str">
        <f aca="false">IF(T205="Yes",IF(V205&lt;=INDEX(PoolList,MATCH(C205,ProgramList,0)),"Within pool","Over pool"),"")</f>
        <v/>
      </c>
      <c r="X205" s="37" t="n">
        <f aca="false">IF(O205="Yes",COUNTIF($O$5:O205,"Yes"),"")</f>
        <v>29</v>
      </c>
    </row>
    <row r="206" customFormat="false" ht="15" hidden="false" customHeight="false" outlineLevel="0" collapsed="false">
      <c r="A206" s="35" t="s">
        <v>595</v>
      </c>
      <c r="B206" s="35" t="s">
        <v>596</v>
      </c>
      <c r="C206" s="35" t="s">
        <v>105</v>
      </c>
      <c r="D206" s="35" t="s">
        <v>174</v>
      </c>
      <c r="E206" s="35" t="s">
        <v>232</v>
      </c>
      <c r="F206" s="42" t="n">
        <v>78000</v>
      </c>
      <c r="G206" s="36" t="n">
        <v>45914</v>
      </c>
      <c r="H206" s="35" t="s">
        <v>54</v>
      </c>
      <c r="I206" s="35" t="s">
        <v>91</v>
      </c>
      <c r="J206" s="35" t="s">
        <v>88</v>
      </c>
      <c r="K206" s="35"/>
      <c r="L206" s="48" t="n">
        <f aca="false">IFERROR(AVERAGEIFS('Score Entry'!$M$5:$M$1276,'Score Entry'!$B$5:$B$1276,A206,'Score Entry'!$E$5:$E$1276,"Primary"),"")</f>
        <v>91</v>
      </c>
      <c r="M206" s="48" t="n">
        <f aca="false">IFERROR(AVERAGEIFS('Score Entry'!$M$5:$M$1276,'Score Entry'!$B$5:$B$1276,A206,'Score Entry'!$E$5:$E$1276,"Secondary"),"")</f>
        <v>94</v>
      </c>
      <c r="N206" s="48" t="n">
        <f aca="false">IF(COUNT(L206:M206)=2,ABS(L206-M206),"")</f>
        <v>3</v>
      </c>
      <c r="O206" s="37" t="str">
        <f aca="false">IF(N206="","",IF(N206&gt;=Threshold,"Yes","No"))</f>
        <v>No</v>
      </c>
      <c r="P206" s="48" t="str">
        <f aca="false">IFERROR(AVERAGEIFS('Score Entry'!$M$5:$M$1276,'Score Entry'!$B$5:$B$1276,A206,'Score Entry'!$E$5:$E$1276,"Third"),"")</f>
        <v/>
      </c>
      <c r="Q206" s="48" t="n">
        <f aca="false">IF(H206&lt;&gt;"Eligible","",IF(O206="Yes",IF(ISNUMBER(P206),ROUND(AVERAGE(L206,M206,P206),1),""),IF(O206="No",ROUND(AVERAGE(L206:M206),1),"")))</f>
        <v>92.5</v>
      </c>
      <c r="R206" s="37" t="str">
        <f aca="false">IF(H206&lt;&gt;"Eligible","Screened out",IF(COUNT(L206:M206)=0,"Not started",IF(COUNT(L206:M206)=1,"One read done",IF(O206="Yes",IF(ISNUMBER(P206),"Complete","Needs third read"),"Complete"))))</f>
        <v>Complete</v>
      </c>
      <c r="S206" s="37" t="n">
        <f aca="false">IF(Q206="","",COUNTIFS($C$5:$C$600,C206,$Q$5:$Q$600,"&gt;"&amp;Q206)+1)</f>
        <v>3</v>
      </c>
      <c r="T206" s="37" t="str">
        <f aca="false">IF(Q206="","",IF(Q206&gt;=Cutoff,"Yes","No"))</f>
        <v>Yes</v>
      </c>
      <c r="U206" s="49" t="n">
        <f aca="false">IF(T206="Yes",MIN(F206,INDEX(Settings!$G:$G,MATCH(C206,Settings!$E:$E,0))),0)</f>
        <v>78000</v>
      </c>
      <c r="V206" s="49" t="n">
        <f aca="false">IF(T206="Yes",SUMIFS($U$5:$U$600,$C$5:$C$600,C206,$Q$5:$Q$600,"&gt;"&amp;Q206)+U206,"")</f>
        <v>193000</v>
      </c>
      <c r="W206" s="37" t="str">
        <f aca="false">IF(T206="Yes",IF(V206&lt;=INDEX(PoolList,MATCH(C206,ProgramList,0)),"Within pool","Over pool"),"")</f>
        <v>Within pool</v>
      </c>
      <c r="X206" s="37" t="str">
        <f aca="false">IF(O206="Yes",COUNTIF($O$5:O206,"Yes"),"")</f>
        <v/>
      </c>
    </row>
    <row r="207" customFormat="false" ht="15" hidden="false" customHeight="false" outlineLevel="0" collapsed="false">
      <c r="A207" s="35" t="s">
        <v>597</v>
      </c>
      <c r="B207" s="35" t="s">
        <v>598</v>
      </c>
      <c r="C207" s="35" t="s">
        <v>106</v>
      </c>
      <c r="D207" s="35" t="s">
        <v>190</v>
      </c>
      <c r="E207" s="35" t="s">
        <v>298</v>
      </c>
      <c r="F207" s="42" t="n">
        <v>57500</v>
      </c>
      <c r="G207" s="36" t="n">
        <v>45922</v>
      </c>
      <c r="H207" s="35" t="s">
        <v>54</v>
      </c>
      <c r="I207" s="35" t="s">
        <v>94</v>
      </c>
      <c r="J207" s="35" t="s">
        <v>82</v>
      </c>
      <c r="K207" s="35"/>
      <c r="L207" s="48" t="n">
        <f aca="false">IFERROR(AVERAGEIFS('Score Entry'!$M$5:$M$1276,'Score Entry'!$B$5:$B$1276,A207,'Score Entry'!$E$5:$E$1276,"Primary"),"")</f>
        <v>78</v>
      </c>
      <c r="M207" s="48" t="n">
        <f aca="false">IFERROR(AVERAGEIFS('Score Entry'!$M$5:$M$1276,'Score Entry'!$B$5:$B$1276,A207,'Score Entry'!$E$5:$E$1276,"Secondary"),"")</f>
        <v>80</v>
      </c>
      <c r="N207" s="48" t="n">
        <f aca="false">IF(COUNT(L207:M207)=2,ABS(L207-M207),"")</f>
        <v>2</v>
      </c>
      <c r="O207" s="37" t="str">
        <f aca="false">IF(N207="","",IF(N207&gt;=Threshold,"Yes","No"))</f>
        <v>No</v>
      </c>
      <c r="P207" s="48" t="str">
        <f aca="false">IFERROR(AVERAGEIFS('Score Entry'!$M$5:$M$1276,'Score Entry'!$B$5:$B$1276,A207,'Score Entry'!$E$5:$E$1276,"Third"),"")</f>
        <v/>
      </c>
      <c r="Q207" s="48" t="n">
        <f aca="false">IF(H207&lt;&gt;"Eligible","",IF(O207="Yes",IF(ISNUMBER(P207),ROUND(AVERAGE(L207,M207,P207),1),""),IF(O207="No",ROUND(AVERAGE(L207:M207),1),"")))</f>
        <v>79</v>
      </c>
      <c r="R207" s="37" t="str">
        <f aca="false">IF(H207&lt;&gt;"Eligible","Screened out",IF(COUNT(L207:M207)=0,"Not started",IF(COUNT(L207:M207)=1,"One read done",IF(O207="Yes",IF(ISNUMBER(P207),"Complete","Needs third read"),"Complete"))))</f>
        <v>Complete</v>
      </c>
      <c r="S207" s="37" t="n">
        <f aca="false">IF(Q207="","",COUNTIFS($C$5:$C$600,C207,$Q$5:$Q$600,"&gt;"&amp;Q207)+1)</f>
        <v>23</v>
      </c>
      <c r="T207" s="37" t="str">
        <f aca="false">IF(Q207="","",IF(Q207&gt;=Cutoff,"Yes","No"))</f>
        <v>No</v>
      </c>
      <c r="U207" s="49" t="n">
        <f aca="false">IF(T207="Yes",MIN(F207,INDEX(Settings!$G:$G,MATCH(C207,Settings!$E:$E,0))),0)</f>
        <v>0</v>
      </c>
      <c r="V207" s="49" t="str">
        <f aca="false">IF(T207="Yes",SUMIFS($U$5:$U$600,$C$5:$C$600,C207,$Q$5:$Q$600,"&gt;"&amp;Q207)+U207,"")</f>
        <v/>
      </c>
      <c r="W207" s="37" t="str">
        <f aca="false">IF(T207="Yes",IF(V207&lt;=INDEX(PoolList,MATCH(C207,ProgramList,0)),"Within pool","Over pool"),"")</f>
        <v/>
      </c>
      <c r="X207" s="37" t="str">
        <f aca="false">IF(O207="Yes",COUNTIF($O$5:O207,"Yes"),"")</f>
        <v/>
      </c>
    </row>
    <row r="208" customFormat="false" ht="15" hidden="false" customHeight="false" outlineLevel="0" collapsed="false">
      <c r="A208" s="35" t="s">
        <v>599</v>
      </c>
      <c r="B208" s="35" t="s">
        <v>600</v>
      </c>
      <c r="C208" s="35" t="s">
        <v>103</v>
      </c>
      <c r="D208" s="35" t="s">
        <v>180</v>
      </c>
      <c r="E208" s="35" t="s">
        <v>218</v>
      </c>
      <c r="F208" s="42" t="n">
        <v>43000</v>
      </c>
      <c r="G208" s="36" t="n">
        <v>45920</v>
      </c>
      <c r="H208" s="35" t="s">
        <v>54</v>
      </c>
      <c r="I208" s="35" t="s">
        <v>91</v>
      </c>
      <c r="J208" s="35" t="s">
        <v>78</v>
      </c>
      <c r="K208" s="35" t="s">
        <v>85</v>
      </c>
      <c r="L208" s="48" t="n">
        <f aca="false">IFERROR(AVERAGEIFS('Score Entry'!$M$5:$M$1276,'Score Entry'!$B$5:$B$1276,A208,'Score Entry'!$E$5:$E$1276,"Primary"),"")</f>
        <v>89</v>
      </c>
      <c r="M208" s="48" t="n">
        <f aca="false">IFERROR(AVERAGEIFS('Score Entry'!$M$5:$M$1276,'Score Entry'!$B$5:$B$1276,A208,'Score Entry'!$E$5:$E$1276,"Secondary"),"")</f>
        <v>68</v>
      </c>
      <c r="N208" s="48" t="n">
        <f aca="false">IF(COUNT(L208:M208)=2,ABS(L208-M208),"")</f>
        <v>21</v>
      </c>
      <c r="O208" s="37" t="str">
        <f aca="false">IF(N208="","",IF(N208&gt;=Threshold,"Yes","No"))</f>
        <v>Yes</v>
      </c>
      <c r="P208" s="48" t="n">
        <f aca="false">IFERROR(AVERAGEIFS('Score Entry'!$M$5:$M$1276,'Score Entry'!$B$5:$B$1276,A208,'Score Entry'!$E$5:$E$1276,"Third"),"")</f>
        <v>80</v>
      </c>
      <c r="Q208" s="48" t="n">
        <f aca="false">IF(H208&lt;&gt;"Eligible","",IF(O208="Yes",IF(ISNUMBER(P208),ROUND(AVERAGE(L208,M208,P208),1),""),IF(O208="No",ROUND(AVERAGE(L208:M208),1),"")))</f>
        <v>79</v>
      </c>
      <c r="R208" s="37" t="str">
        <f aca="false">IF(H208&lt;&gt;"Eligible","Screened out",IF(COUNT(L208:M208)=0,"Not started",IF(COUNT(L208:M208)=1,"One read done",IF(O208="Yes",IF(ISNUMBER(P208),"Complete","Needs third read"),"Complete"))))</f>
        <v>Complete</v>
      </c>
      <c r="S208" s="37" t="n">
        <f aca="false">IF(Q208="","",COUNTIFS($C$5:$C$600,C208,$Q$5:$Q$600,"&gt;"&amp;Q208)+1)</f>
        <v>24</v>
      </c>
      <c r="T208" s="37" t="str">
        <f aca="false">IF(Q208="","",IF(Q208&gt;=Cutoff,"Yes","No"))</f>
        <v>No</v>
      </c>
      <c r="U208" s="49" t="n">
        <f aca="false">IF(T208="Yes",MIN(F208,INDEX(Settings!$G:$G,MATCH(C208,Settings!$E:$E,0))),0)</f>
        <v>0</v>
      </c>
      <c r="V208" s="49" t="str">
        <f aca="false">IF(T208="Yes",SUMIFS($U$5:$U$600,$C$5:$C$600,C208,$Q$5:$Q$600,"&gt;"&amp;Q208)+U208,"")</f>
        <v/>
      </c>
      <c r="W208" s="37" t="str">
        <f aca="false">IF(T208="Yes",IF(V208&lt;=INDEX(PoolList,MATCH(C208,ProgramList,0)),"Within pool","Over pool"),"")</f>
        <v/>
      </c>
      <c r="X208" s="37" t="n">
        <f aca="false">IF(O208="Yes",COUNTIF($O$5:O208,"Yes"),"")</f>
        <v>30</v>
      </c>
    </row>
    <row r="209" customFormat="false" ht="15" hidden="false" customHeight="false" outlineLevel="0" collapsed="false">
      <c r="A209" s="35" t="s">
        <v>601</v>
      </c>
      <c r="B209" s="35" t="s">
        <v>602</v>
      </c>
      <c r="C209" s="35" t="s">
        <v>103</v>
      </c>
      <c r="D209" s="35" t="s">
        <v>180</v>
      </c>
      <c r="E209" s="35" t="s">
        <v>181</v>
      </c>
      <c r="F209" s="42" t="n">
        <v>148500</v>
      </c>
      <c r="G209" s="36" t="n">
        <v>45917</v>
      </c>
      <c r="H209" s="35" t="s">
        <v>54</v>
      </c>
      <c r="I209" s="35" t="s">
        <v>88</v>
      </c>
      <c r="J209" s="35" t="s">
        <v>85</v>
      </c>
      <c r="K209" s="35"/>
      <c r="L209" s="48" t="n">
        <f aca="false">IFERROR(AVERAGEIFS('Score Entry'!$M$5:$M$1276,'Score Entry'!$B$5:$B$1276,A209,'Score Entry'!$E$5:$E$1276,"Primary"),"")</f>
        <v>68</v>
      </c>
      <c r="M209" s="48" t="n">
        <f aca="false">IFERROR(AVERAGEIFS('Score Entry'!$M$5:$M$1276,'Score Entry'!$B$5:$B$1276,A209,'Score Entry'!$E$5:$E$1276,"Secondary"),"")</f>
        <v>53</v>
      </c>
      <c r="N209" s="48" t="n">
        <f aca="false">IF(COUNT(L209:M209)=2,ABS(L209-M209),"")</f>
        <v>15</v>
      </c>
      <c r="O209" s="37" t="str">
        <f aca="false">IF(N209="","",IF(N209&gt;=Threshold,"Yes","No"))</f>
        <v>No</v>
      </c>
      <c r="P209" s="48" t="str">
        <f aca="false">IFERROR(AVERAGEIFS('Score Entry'!$M$5:$M$1276,'Score Entry'!$B$5:$B$1276,A209,'Score Entry'!$E$5:$E$1276,"Third"),"")</f>
        <v/>
      </c>
      <c r="Q209" s="48" t="n">
        <f aca="false">IF(H209&lt;&gt;"Eligible","",IF(O209="Yes",IF(ISNUMBER(P209),ROUND(AVERAGE(L209,M209,P209),1),""),IF(O209="No",ROUND(AVERAGE(L209:M209),1),"")))</f>
        <v>60.5</v>
      </c>
      <c r="R209" s="37" t="str">
        <f aca="false">IF(H209&lt;&gt;"Eligible","Screened out",IF(COUNT(L209:M209)=0,"Not started",IF(COUNT(L209:M209)=1,"One read done",IF(O209="Yes",IF(ISNUMBER(P209),"Complete","Needs third read"),"Complete"))))</f>
        <v>Complete</v>
      </c>
      <c r="S209" s="37" t="n">
        <f aca="false">IF(Q209="","",COUNTIFS($C$5:$C$600,C209,$Q$5:$Q$600,"&gt;"&amp;Q209)+1)</f>
        <v>110</v>
      </c>
      <c r="T209" s="37" t="str">
        <f aca="false">IF(Q209="","",IF(Q209&gt;=Cutoff,"Yes","No"))</f>
        <v>No</v>
      </c>
      <c r="U209" s="49" t="n">
        <f aca="false">IF(T209="Yes",MIN(F209,INDEX(Settings!$G:$G,MATCH(C209,Settings!$E:$E,0))),0)</f>
        <v>0</v>
      </c>
      <c r="V209" s="49" t="str">
        <f aca="false">IF(T209="Yes",SUMIFS($U$5:$U$600,$C$5:$C$600,C209,$Q$5:$Q$600,"&gt;"&amp;Q209)+U209,"")</f>
        <v/>
      </c>
      <c r="W209" s="37" t="str">
        <f aca="false">IF(T209="Yes",IF(V209&lt;=INDEX(PoolList,MATCH(C209,ProgramList,0)),"Within pool","Over pool"),"")</f>
        <v/>
      </c>
      <c r="X209" s="37" t="str">
        <f aca="false">IF(O209="Yes",COUNTIF($O$5:O209,"Yes"),"")</f>
        <v/>
      </c>
    </row>
    <row r="210" customFormat="false" ht="15" hidden="false" customHeight="false" outlineLevel="0" collapsed="false">
      <c r="A210" s="35" t="s">
        <v>603</v>
      </c>
      <c r="B210" s="35" t="s">
        <v>604</v>
      </c>
      <c r="C210" s="35" t="s">
        <v>106</v>
      </c>
      <c r="D210" s="35" t="s">
        <v>174</v>
      </c>
      <c r="E210" s="35" t="s">
        <v>175</v>
      </c>
      <c r="F210" s="42" t="n">
        <v>198500</v>
      </c>
      <c r="G210" s="36" t="n">
        <v>45921</v>
      </c>
      <c r="H210" s="35" t="s">
        <v>54</v>
      </c>
      <c r="I210" s="35" t="s">
        <v>82</v>
      </c>
      <c r="J210" s="35" t="s">
        <v>85</v>
      </c>
      <c r="K210" s="35" t="s">
        <v>94</v>
      </c>
      <c r="L210" s="48" t="n">
        <f aca="false">IFERROR(AVERAGEIFS('Score Entry'!$M$5:$M$1276,'Score Entry'!$B$5:$B$1276,A210,'Score Entry'!$E$5:$E$1276,"Primary"),"")</f>
        <v>80</v>
      </c>
      <c r="M210" s="48" t="n">
        <f aca="false">IFERROR(AVERAGEIFS('Score Entry'!$M$5:$M$1276,'Score Entry'!$B$5:$B$1276,A210,'Score Entry'!$E$5:$E$1276,"Secondary"),"")</f>
        <v>62</v>
      </c>
      <c r="N210" s="48" t="n">
        <f aca="false">IF(COUNT(L210:M210)=2,ABS(L210-M210),"")</f>
        <v>18</v>
      </c>
      <c r="O210" s="37" t="str">
        <f aca="false">IF(N210="","",IF(N210&gt;=Threshold,"Yes","No"))</f>
        <v>Yes</v>
      </c>
      <c r="P210" s="48" t="str">
        <f aca="false">IFERROR(AVERAGEIFS('Score Entry'!$M$5:$M$1276,'Score Entry'!$B$5:$B$1276,A210,'Score Entry'!$E$5:$E$1276,"Third"),"")</f>
        <v/>
      </c>
      <c r="Q210" s="48" t="str">
        <f aca="false">IF(H210&lt;&gt;"Eligible","",IF(O210="Yes",IF(ISNUMBER(P210),ROUND(AVERAGE(L210,M210,P210),1),""),IF(O210="No",ROUND(AVERAGE(L210:M210),1),"")))</f>
        <v/>
      </c>
      <c r="R210" s="37" t="str">
        <f aca="false">IF(H210&lt;&gt;"Eligible","Screened out",IF(COUNT(L210:M210)=0,"Not started",IF(COUNT(L210:M210)=1,"One read done",IF(O210="Yes",IF(ISNUMBER(P210),"Complete","Needs third read"),"Complete"))))</f>
        <v>Needs third read</v>
      </c>
      <c r="S210" s="37" t="str">
        <f aca="false">IF(Q210="","",COUNTIFS($C$5:$C$600,C210,$Q$5:$Q$600,"&gt;"&amp;Q210)+1)</f>
        <v/>
      </c>
      <c r="T210" s="37" t="str">
        <f aca="false">IF(Q210="","",IF(Q210&gt;=Cutoff,"Yes","No"))</f>
        <v/>
      </c>
      <c r="U210" s="49" t="n">
        <f aca="false">IF(T210="Yes",MIN(F210,INDEX(Settings!$G:$G,MATCH(C210,Settings!$E:$E,0))),0)</f>
        <v>0</v>
      </c>
      <c r="V210" s="49" t="str">
        <f aca="false">IF(T210="Yes",SUMIFS($U$5:$U$600,$C$5:$C$600,C210,$Q$5:$Q$600,"&gt;"&amp;Q210)+U210,"")</f>
        <v/>
      </c>
      <c r="W210" s="37" t="str">
        <f aca="false">IF(T210="Yes",IF(V210&lt;=INDEX(PoolList,MATCH(C210,ProgramList,0)),"Within pool","Over pool"),"")</f>
        <v/>
      </c>
      <c r="X210" s="37" t="n">
        <f aca="false">IF(O210="Yes",COUNTIF($O$5:O210,"Yes"),"")</f>
        <v>31</v>
      </c>
    </row>
    <row r="211" customFormat="false" ht="15" hidden="false" customHeight="false" outlineLevel="0" collapsed="false">
      <c r="A211" s="35" t="s">
        <v>605</v>
      </c>
      <c r="B211" s="35" t="s">
        <v>606</v>
      </c>
      <c r="C211" s="35" t="s">
        <v>106</v>
      </c>
      <c r="D211" s="35" t="s">
        <v>174</v>
      </c>
      <c r="E211" s="35" t="s">
        <v>232</v>
      </c>
      <c r="F211" s="42" t="n">
        <v>56000</v>
      </c>
      <c r="G211" s="36" t="n">
        <v>45927</v>
      </c>
      <c r="H211" s="35" t="s">
        <v>54</v>
      </c>
      <c r="I211" s="35" t="s">
        <v>91</v>
      </c>
      <c r="J211" s="35" t="s">
        <v>94</v>
      </c>
      <c r="K211" s="35"/>
      <c r="L211" s="48" t="n">
        <f aca="false">IFERROR(AVERAGEIFS('Score Entry'!$M$5:$M$1276,'Score Entry'!$B$5:$B$1276,A211,'Score Entry'!$E$5:$E$1276,"Primary"),"")</f>
        <v>76</v>
      </c>
      <c r="M211" s="48" t="n">
        <f aca="false">IFERROR(AVERAGEIFS('Score Entry'!$M$5:$M$1276,'Score Entry'!$B$5:$B$1276,A211,'Score Entry'!$E$5:$E$1276,"Secondary"),"")</f>
        <v>65</v>
      </c>
      <c r="N211" s="48" t="n">
        <f aca="false">IF(COUNT(L211:M211)=2,ABS(L211-M211),"")</f>
        <v>11</v>
      </c>
      <c r="O211" s="37" t="str">
        <f aca="false">IF(N211="","",IF(N211&gt;=Threshold,"Yes","No"))</f>
        <v>No</v>
      </c>
      <c r="P211" s="48" t="str">
        <f aca="false">IFERROR(AVERAGEIFS('Score Entry'!$M$5:$M$1276,'Score Entry'!$B$5:$B$1276,A211,'Score Entry'!$E$5:$E$1276,"Third"),"")</f>
        <v/>
      </c>
      <c r="Q211" s="48" t="n">
        <f aca="false">IF(H211&lt;&gt;"Eligible","",IF(O211="Yes",IF(ISNUMBER(P211),ROUND(AVERAGE(L211,M211,P211),1),""),IF(O211="No",ROUND(AVERAGE(L211:M211),1),"")))</f>
        <v>70.5</v>
      </c>
      <c r="R211" s="37" t="str">
        <f aca="false">IF(H211&lt;&gt;"Eligible","Screened out",IF(COUNT(L211:M211)=0,"Not started",IF(COUNT(L211:M211)=1,"One read done",IF(O211="Yes",IF(ISNUMBER(P211),"Complete","Needs third read"),"Complete"))))</f>
        <v>Complete</v>
      </c>
      <c r="S211" s="37" t="n">
        <f aca="false">IF(Q211="","",COUNTIFS($C$5:$C$600,C211,$Q$5:$Q$600,"&gt;"&amp;Q211)+1)</f>
        <v>52</v>
      </c>
      <c r="T211" s="37" t="str">
        <f aca="false">IF(Q211="","",IF(Q211&gt;=Cutoff,"Yes","No"))</f>
        <v>No</v>
      </c>
      <c r="U211" s="49" t="n">
        <f aca="false">IF(T211="Yes",MIN(F211,INDEX(Settings!$G:$G,MATCH(C211,Settings!$E:$E,0))),0)</f>
        <v>0</v>
      </c>
      <c r="V211" s="49" t="str">
        <f aca="false">IF(T211="Yes",SUMIFS($U$5:$U$600,$C$5:$C$600,C211,$Q$5:$Q$600,"&gt;"&amp;Q211)+U211,"")</f>
        <v/>
      </c>
      <c r="W211" s="37" t="str">
        <f aca="false">IF(T211="Yes",IF(V211&lt;=INDEX(PoolList,MATCH(C211,ProgramList,0)),"Within pool","Over pool"),"")</f>
        <v/>
      </c>
      <c r="X211" s="37" t="str">
        <f aca="false">IF(O211="Yes",COUNTIF($O$5:O211,"Yes"),"")</f>
        <v/>
      </c>
    </row>
    <row r="212" customFormat="false" ht="15" hidden="false" customHeight="false" outlineLevel="0" collapsed="false">
      <c r="A212" s="35" t="s">
        <v>607</v>
      </c>
      <c r="B212" s="35" t="s">
        <v>608</v>
      </c>
      <c r="C212" s="35" t="s">
        <v>103</v>
      </c>
      <c r="D212" s="35" t="s">
        <v>174</v>
      </c>
      <c r="E212" s="35" t="s">
        <v>175</v>
      </c>
      <c r="F212" s="42" t="n">
        <v>91500</v>
      </c>
      <c r="G212" s="36" t="n">
        <v>45923</v>
      </c>
      <c r="H212" s="35" t="s">
        <v>54</v>
      </c>
      <c r="I212" s="35" t="s">
        <v>78</v>
      </c>
      <c r="J212" s="35" t="s">
        <v>85</v>
      </c>
      <c r="K212" s="35"/>
      <c r="L212" s="48" t="n">
        <f aca="false">IFERROR(AVERAGEIFS('Score Entry'!$M$5:$M$1276,'Score Entry'!$B$5:$B$1276,A212,'Score Entry'!$E$5:$E$1276,"Primary"),"")</f>
        <v>63</v>
      </c>
      <c r="M212" s="48" t="n">
        <f aca="false">IFERROR(AVERAGEIFS('Score Entry'!$M$5:$M$1276,'Score Entry'!$B$5:$B$1276,A212,'Score Entry'!$E$5:$E$1276,"Secondary"),"")</f>
        <v>65</v>
      </c>
      <c r="N212" s="48" t="n">
        <f aca="false">IF(COUNT(L212:M212)=2,ABS(L212-M212),"")</f>
        <v>2</v>
      </c>
      <c r="O212" s="37" t="str">
        <f aca="false">IF(N212="","",IF(N212&gt;=Threshold,"Yes","No"))</f>
        <v>No</v>
      </c>
      <c r="P212" s="48" t="str">
        <f aca="false">IFERROR(AVERAGEIFS('Score Entry'!$M$5:$M$1276,'Score Entry'!$B$5:$B$1276,A212,'Score Entry'!$E$5:$E$1276,"Third"),"")</f>
        <v/>
      </c>
      <c r="Q212" s="48" t="n">
        <f aca="false">IF(H212&lt;&gt;"Eligible","",IF(O212="Yes",IF(ISNUMBER(P212),ROUND(AVERAGE(L212,M212,P212),1),""),IF(O212="No",ROUND(AVERAGE(L212:M212),1),"")))</f>
        <v>64</v>
      </c>
      <c r="R212" s="37" t="str">
        <f aca="false">IF(H212&lt;&gt;"Eligible","Screened out",IF(COUNT(L212:M212)=0,"Not started",IF(COUNT(L212:M212)=1,"One read done",IF(O212="Yes",IF(ISNUMBER(P212),"Complete","Needs third read"),"Complete"))))</f>
        <v>Complete</v>
      </c>
      <c r="S212" s="37" t="n">
        <f aca="false">IF(Q212="","",COUNTIFS($C$5:$C$600,C212,$Q$5:$Q$600,"&gt;"&amp;Q212)+1)</f>
        <v>95</v>
      </c>
      <c r="T212" s="37" t="str">
        <f aca="false">IF(Q212="","",IF(Q212&gt;=Cutoff,"Yes","No"))</f>
        <v>No</v>
      </c>
      <c r="U212" s="49" t="n">
        <f aca="false">IF(T212="Yes",MIN(F212,INDEX(Settings!$G:$G,MATCH(C212,Settings!$E:$E,0))),0)</f>
        <v>0</v>
      </c>
      <c r="V212" s="49" t="str">
        <f aca="false">IF(T212="Yes",SUMIFS($U$5:$U$600,$C$5:$C$600,C212,$Q$5:$Q$600,"&gt;"&amp;Q212)+U212,"")</f>
        <v/>
      </c>
      <c r="W212" s="37" t="str">
        <f aca="false">IF(T212="Yes",IF(V212&lt;=INDEX(PoolList,MATCH(C212,ProgramList,0)),"Within pool","Over pool"),"")</f>
        <v/>
      </c>
      <c r="X212" s="37" t="str">
        <f aca="false">IF(O212="Yes",COUNTIF($O$5:O212,"Yes"),"")</f>
        <v/>
      </c>
    </row>
    <row r="213" customFormat="false" ht="15" hidden="false" customHeight="false" outlineLevel="0" collapsed="false">
      <c r="A213" s="35" t="s">
        <v>609</v>
      </c>
      <c r="B213" s="35" t="s">
        <v>610</v>
      </c>
      <c r="C213" s="35" t="s">
        <v>105</v>
      </c>
      <c r="D213" s="35" t="s">
        <v>239</v>
      </c>
      <c r="E213" s="35" t="s">
        <v>240</v>
      </c>
      <c r="F213" s="42" t="n">
        <v>68000</v>
      </c>
      <c r="G213" s="36" t="n">
        <v>45911</v>
      </c>
      <c r="H213" s="35" t="s">
        <v>54</v>
      </c>
      <c r="I213" s="35" t="s">
        <v>88</v>
      </c>
      <c r="J213" s="35" t="s">
        <v>94</v>
      </c>
      <c r="K213" s="35"/>
      <c r="L213" s="48" t="n">
        <f aca="false">IFERROR(AVERAGEIFS('Score Entry'!$M$5:$M$1276,'Score Entry'!$B$5:$B$1276,A213,'Score Entry'!$E$5:$E$1276,"Primary"),"")</f>
        <v>71</v>
      </c>
      <c r="M213" s="48" t="n">
        <f aca="false">IFERROR(AVERAGEIFS('Score Entry'!$M$5:$M$1276,'Score Entry'!$B$5:$B$1276,A213,'Score Entry'!$E$5:$E$1276,"Secondary"),"")</f>
        <v>67</v>
      </c>
      <c r="N213" s="48" t="n">
        <f aca="false">IF(COUNT(L213:M213)=2,ABS(L213-M213),"")</f>
        <v>4</v>
      </c>
      <c r="O213" s="37" t="str">
        <f aca="false">IF(N213="","",IF(N213&gt;=Threshold,"Yes","No"))</f>
        <v>No</v>
      </c>
      <c r="P213" s="48" t="str">
        <f aca="false">IFERROR(AVERAGEIFS('Score Entry'!$M$5:$M$1276,'Score Entry'!$B$5:$B$1276,A213,'Score Entry'!$E$5:$E$1276,"Third"),"")</f>
        <v/>
      </c>
      <c r="Q213" s="48" t="n">
        <f aca="false">IF(H213&lt;&gt;"Eligible","",IF(O213="Yes",IF(ISNUMBER(P213),ROUND(AVERAGE(L213,M213,P213),1),""),IF(O213="No",ROUND(AVERAGE(L213:M213),1),"")))</f>
        <v>69</v>
      </c>
      <c r="R213" s="37" t="str">
        <f aca="false">IF(H213&lt;&gt;"Eligible","Screened out",IF(COUNT(L213:M213)=0,"Not started",IF(COUNT(L213:M213)=1,"One read done",IF(O213="Yes",IF(ISNUMBER(P213),"Complete","Needs third read"),"Complete"))))</f>
        <v>Complete</v>
      </c>
      <c r="S213" s="37" t="n">
        <f aca="false">IF(Q213="","",COUNTIFS($C$5:$C$600,C213,$Q$5:$Q$600,"&gt;"&amp;Q213)+1)</f>
        <v>42</v>
      </c>
      <c r="T213" s="37" t="str">
        <f aca="false">IF(Q213="","",IF(Q213&gt;=Cutoff,"Yes","No"))</f>
        <v>No</v>
      </c>
      <c r="U213" s="49" t="n">
        <f aca="false">IF(T213="Yes",MIN(F213,INDEX(Settings!$G:$G,MATCH(C213,Settings!$E:$E,0))),0)</f>
        <v>0</v>
      </c>
      <c r="V213" s="49" t="str">
        <f aca="false">IF(T213="Yes",SUMIFS($U$5:$U$600,$C$5:$C$600,C213,$Q$5:$Q$600,"&gt;"&amp;Q213)+U213,"")</f>
        <v/>
      </c>
      <c r="W213" s="37" t="str">
        <f aca="false">IF(T213="Yes",IF(V213&lt;=INDEX(PoolList,MATCH(C213,ProgramList,0)),"Within pool","Over pool"),"")</f>
        <v/>
      </c>
      <c r="X213" s="37" t="str">
        <f aca="false">IF(O213="Yes",COUNTIF($O$5:O213,"Yes"),"")</f>
        <v/>
      </c>
    </row>
    <row r="214" customFormat="false" ht="15" hidden="false" customHeight="false" outlineLevel="0" collapsed="false">
      <c r="A214" s="35" t="s">
        <v>611</v>
      </c>
      <c r="B214" s="35" t="s">
        <v>612</v>
      </c>
      <c r="C214" s="35" t="s">
        <v>105</v>
      </c>
      <c r="D214" s="35" t="s">
        <v>174</v>
      </c>
      <c r="E214" s="35" t="s">
        <v>175</v>
      </c>
      <c r="F214" s="42" t="n">
        <v>51000</v>
      </c>
      <c r="G214" s="36" t="n">
        <v>45920</v>
      </c>
      <c r="H214" s="35" t="s">
        <v>54</v>
      </c>
      <c r="I214" s="35" t="s">
        <v>82</v>
      </c>
      <c r="J214" s="35" t="s">
        <v>85</v>
      </c>
      <c r="K214" s="35"/>
      <c r="L214" s="48" t="n">
        <f aca="false">IFERROR(AVERAGEIFS('Score Entry'!$M$5:$M$1276,'Score Entry'!$B$5:$B$1276,A214,'Score Entry'!$E$5:$E$1276,"Primary"),"")</f>
        <v>67</v>
      </c>
      <c r="M214" s="48" t="n">
        <f aca="false">IFERROR(AVERAGEIFS('Score Entry'!$M$5:$M$1276,'Score Entry'!$B$5:$B$1276,A214,'Score Entry'!$E$5:$E$1276,"Secondary"),"")</f>
        <v>64</v>
      </c>
      <c r="N214" s="48" t="n">
        <f aca="false">IF(COUNT(L214:M214)=2,ABS(L214-M214),"")</f>
        <v>3</v>
      </c>
      <c r="O214" s="37" t="str">
        <f aca="false">IF(N214="","",IF(N214&gt;=Threshold,"Yes","No"))</f>
        <v>No</v>
      </c>
      <c r="P214" s="48" t="str">
        <f aca="false">IFERROR(AVERAGEIFS('Score Entry'!$M$5:$M$1276,'Score Entry'!$B$5:$B$1276,A214,'Score Entry'!$E$5:$E$1276,"Third"),"")</f>
        <v/>
      </c>
      <c r="Q214" s="48" t="n">
        <f aca="false">IF(H214&lt;&gt;"Eligible","",IF(O214="Yes",IF(ISNUMBER(P214),ROUND(AVERAGE(L214,M214,P214),1),""),IF(O214="No",ROUND(AVERAGE(L214:M214),1),"")))</f>
        <v>65.5</v>
      </c>
      <c r="R214" s="37" t="str">
        <f aca="false">IF(H214&lt;&gt;"Eligible","Screened out",IF(COUNT(L214:M214)=0,"Not started",IF(COUNT(L214:M214)=1,"One read done",IF(O214="Yes",IF(ISNUMBER(P214),"Complete","Needs third read"),"Complete"))))</f>
        <v>Complete</v>
      </c>
      <c r="S214" s="37" t="n">
        <f aca="false">IF(Q214="","",COUNTIFS($C$5:$C$600,C214,$Q$5:$Q$600,"&gt;"&amp;Q214)+1)</f>
        <v>58</v>
      </c>
      <c r="T214" s="37" t="str">
        <f aca="false">IF(Q214="","",IF(Q214&gt;=Cutoff,"Yes","No"))</f>
        <v>No</v>
      </c>
      <c r="U214" s="49" t="n">
        <f aca="false">IF(T214="Yes",MIN(F214,INDEX(Settings!$G:$G,MATCH(C214,Settings!$E:$E,0))),0)</f>
        <v>0</v>
      </c>
      <c r="V214" s="49" t="str">
        <f aca="false">IF(T214="Yes",SUMIFS($U$5:$U$600,$C$5:$C$600,C214,$Q$5:$Q$600,"&gt;"&amp;Q214)+U214,"")</f>
        <v/>
      </c>
      <c r="W214" s="37" t="str">
        <f aca="false">IF(T214="Yes",IF(V214&lt;=INDEX(PoolList,MATCH(C214,ProgramList,0)),"Within pool","Over pool"),"")</f>
        <v/>
      </c>
      <c r="X214" s="37" t="str">
        <f aca="false">IF(O214="Yes",COUNTIF($O$5:O214,"Yes"),"")</f>
        <v/>
      </c>
    </row>
    <row r="215" customFormat="false" ht="15" hidden="false" customHeight="false" outlineLevel="0" collapsed="false">
      <c r="A215" s="35" t="s">
        <v>613</v>
      </c>
      <c r="B215" s="35" t="s">
        <v>614</v>
      </c>
      <c r="C215" s="35" t="s">
        <v>106</v>
      </c>
      <c r="D215" s="35" t="s">
        <v>180</v>
      </c>
      <c r="E215" s="35" t="s">
        <v>252</v>
      </c>
      <c r="F215" s="42" t="n">
        <v>26000</v>
      </c>
      <c r="G215" s="36" t="n">
        <v>45925</v>
      </c>
      <c r="H215" s="35" t="s">
        <v>54</v>
      </c>
      <c r="I215" s="35" t="s">
        <v>78</v>
      </c>
      <c r="J215" s="35" t="s">
        <v>88</v>
      </c>
      <c r="K215" s="35"/>
      <c r="L215" s="48" t="n">
        <f aca="false">IFERROR(AVERAGEIFS('Score Entry'!$M$5:$M$1276,'Score Entry'!$B$5:$B$1276,A215,'Score Entry'!$E$5:$E$1276,"Primary"),"")</f>
        <v>80</v>
      </c>
      <c r="M215" s="48" t="n">
        <f aca="false">IFERROR(AVERAGEIFS('Score Entry'!$M$5:$M$1276,'Score Entry'!$B$5:$B$1276,A215,'Score Entry'!$E$5:$E$1276,"Secondary"),"")</f>
        <v>86</v>
      </c>
      <c r="N215" s="48" t="n">
        <f aca="false">IF(COUNT(L215:M215)=2,ABS(L215-M215),"")</f>
        <v>6</v>
      </c>
      <c r="O215" s="37" t="str">
        <f aca="false">IF(N215="","",IF(N215&gt;=Threshold,"Yes","No"))</f>
        <v>No</v>
      </c>
      <c r="P215" s="48" t="str">
        <f aca="false">IFERROR(AVERAGEIFS('Score Entry'!$M$5:$M$1276,'Score Entry'!$B$5:$B$1276,A215,'Score Entry'!$E$5:$E$1276,"Third"),"")</f>
        <v/>
      </c>
      <c r="Q215" s="48" t="n">
        <f aca="false">IF(H215&lt;&gt;"Eligible","",IF(O215="Yes",IF(ISNUMBER(P215),ROUND(AVERAGE(L215,M215,P215),1),""),IF(O215="No",ROUND(AVERAGE(L215:M215),1),"")))</f>
        <v>83</v>
      </c>
      <c r="R215" s="37" t="str">
        <f aca="false">IF(H215&lt;&gt;"Eligible","Screened out",IF(COUNT(L215:M215)=0,"Not started",IF(COUNT(L215:M215)=1,"One read done",IF(O215="Yes",IF(ISNUMBER(P215),"Complete","Needs third read"),"Complete"))))</f>
        <v>Complete</v>
      </c>
      <c r="S215" s="37" t="n">
        <f aca="false">IF(Q215="","",COUNTIFS($C$5:$C$600,C215,$Q$5:$Q$600,"&gt;"&amp;Q215)+1)</f>
        <v>13</v>
      </c>
      <c r="T215" s="37" t="str">
        <f aca="false">IF(Q215="","",IF(Q215&gt;=Cutoff,"Yes","No"))</f>
        <v>No</v>
      </c>
      <c r="U215" s="49" t="n">
        <f aca="false">IF(T215="Yes",MIN(F215,INDEX(Settings!$G:$G,MATCH(C215,Settings!$E:$E,0))),0)</f>
        <v>0</v>
      </c>
      <c r="V215" s="49" t="str">
        <f aca="false">IF(T215="Yes",SUMIFS($U$5:$U$600,$C$5:$C$600,C215,$Q$5:$Q$600,"&gt;"&amp;Q215)+U215,"")</f>
        <v/>
      </c>
      <c r="W215" s="37" t="str">
        <f aca="false">IF(T215="Yes",IF(V215&lt;=INDEX(PoolList,MATCH(C215,ProgramList,0)),"Within pool","Over pool"),"")</f>
        <v/>
      </c>
      <c r="X215" s="37" t="str">
        <f aca="false">IF(O215="Yes",COUNTIF($O$5:O215,"Yes"),"")</f>
        <v/>
      </c>
    </row>
    <row r="216" customFormat="false" ht="15" hidden="false" customHeight="false" outlineLevel="0" collapsed="false">
      <c r="A216" s="35" t="s">
        <v>615</v>
      </c>
      <c r="B216" s="35" t="s">
        <v>616</v>
      </c>
      <c r="C216" s="35" t="s">
        <v>106</v>
      </c>
      <c r="D216" s="35" t="s">
        <v>190</v>
      </c>
      <c r="E216" s="35" t="s">
        <v>191</v>
      </c>
      <c r="F216" s="42" t="n">
        <v>83500</v>
      </c>
      <c r="G216" s="36" t="n">
        <v>45913</v>
      </c>
      <c r="H216" s="35" t="s">
        <v>54</v>
      </c>
      <c r="I216" s="35" t="s">
        <v>91</v>
      </c>
      <c r="J216" s="35" t="s">
        <v>78</v>
      </c>
      <c r="K216" s="35"/>
      <c r="L216" s="48" t="str">
        <f aca="false">IFERROR(AVERAGEIFS('Score Entry'!$M$5:$M$1276,'Score Entry'!$B$5:$B$1276,A216,'Score Entry'!$E$5:$E$1276,"Primary"),"")</f>
        <v/>
      </c>
      <c r="M216" s="48" t="n">
        <f aca="false">IFERROR(AVERAGEIFS('Score Entry'!$M$5:$M$1276,'Score Entry'!$B$5:$B$1276,A216,'Score Entry'!$E$5:$E$1276,"Secondary"),"")</f>
        <v>54</v>
      </c>
      <c r="N216" s="48" t="str">
        <f aca="false">IF(COUNT(L216:M216)=2,ABS(L216-M216),"")</f>
        <v/>
      </c>
      <c r="O216" s="37" t="str">
        <f aca="false">IF(N216="","",IF(N216&gt;=Threshold,"Yes","No"))</f>
        <v/>
      </c>
      <c r="P216" s="48" t="str">
        <f aca="false">IFERROR(AVERAGEIFS('Score Entry'!$M$5:$M$1276,'Score Entry'!$B$5:$B$1276,A216,'Score Entry'!$E$5:$E$1276,"Third"),"")</f>
        <v/>
      </c>
      <c r="Q216" s="48" t="str">
        <f aca="false">IF(H216&lt;&gt;"Eligible","",IF(O216="Yes",IF(ISNUMBER(P216),ROUND(AVERAGE(L216,M216,P216),1),""),IF(O216="No",ROUND(AVERAGE(L216:M216),1),"")))</f>
        <v/>
      </c>
      <c r="R216" s="37" t="str">
        <f aca="false">IF(H216&lt;&gt;"Eligible","Screened out",IF(COUNT(L216:M216)=0,"Not started",IF(COUNT(L216:M216)=1,"One read done",IF(O216="Yes",IF(ISNUMBER(P216),"Complete","Needs third read"),"Complete"))))</f>
        <v>One read done</v>
      </c>
      <c r="S216" s="37" t="str">
        <f aca="false">IF(Q216="","",COUNTIFS($C$5:$C$600,C216,$Q$5:$Q$600,"&gt;"&amp;Q216)+1)</f>
        <v/>
      </c>
      <c r="T216" s="37" t="str">
        <f aca="false">IF(Q216="","",IF(Q216&gt;=Cutoff,"Yes","No"))</f>
        <v/>
      </c>
      <c r="U216" s="49" t="n">
        <f aca="false">IF(T216="Yes",MIN(F216,INDEX(Settings!$G:$G,MATCH(C216,Settings!$E:$E,0))),0)</f>
        <v>0</v>
      </c>
      <c r="V216" s="49" t="str">
        <f aca="false">IF(T216="Yes",SUMIFS($U$5:$U$600,$C$5:$C$600,C216,$Q$5:$Q$600,"&gt;"&amp;Q216)+U216,"")</f>
        <v/>
      </c>
      <c r="W216" s="37" t="str">
        <f aca="false">IF(T216="Yes",IF(V216&lt;=INDEX(PoolList,MATCH(C216,ProgramList,0)),"Within pool","Over pool"),"")</f>
        <v/>
      </c>
      <c r="X216" s="37" t="str">
        <f aca="false">IF(O216="Yes",COUNTIF($O$5:O216,"Yes"),"")</f>
        <v/>
      </c>
    </row>
    <row r="217" customFormat="false" ht="15" hidden="false" customHeight="false" outlineLevel="0" collapsed="false">
      <c r="A217" s="35" t="s">
        <v>617</v>
      </c>
      <c r="B217" s="35" t="s">
        <v>618</v>
      </c>
      <c r="C217" s="35" t="s">
        <v>103</v>
      </c>
      <c r="D217" s="35" t="s">
        <v>239</v>
      </c>
      <c r="E217" s="35" t="s">
        <v>554</v>
      </c>
      <c r="F217" s="42" t="n">
        <v>105000</v>
      </c>
      <c r="G217" s="36" t="n">
        <v>45919</v>
      </c>
      <c r="H217" s="35" t="s">
        <v>96</v>
      </c>
      <c r="I217" s="35"/>
      <c r="J217" s="35"/>
      <c r="K217" s="35"/>
      <c r="L217" s="48" t="str">
        <f aca="false">IFERROR(AVERAGEIFS('Score Entry'!$M$5:$M$1276,'Score Entry'!$B$5:$B$1276,A217,'Score Entry'!$E$5:$E$1276,"Primary"),"")</f>
        <v/>
      </c>
      <c r="M217" s="48" t="str">
        <f aca="false">IFERROR(AVERAGEIFS('Score Entry'!$M$5:$M$1276,'Score Entry'!$B$5:$B$1276,A217,'Score Entry'!$E$5:$E$1276,"Secondary"),"")</f>
        <v/>
      </c>
      <c r="N217" s="48" t="str">
        <f aca="false">IF(COUNT(L217:M217)=2,ABS(L217-M217),"")</f>
        <v/>
      </c>
      <c r="O217" s="37" t="str">
        <f aca="false">IF(N217="","",IF(N217&gt;=Threshold,"Yes","No"))</f>
        <v/>
      </c>
      <c r="P217" s="48" t="str">
        <f aca="false">IFERROR(AVERAGEIFS('Score Entry'!$M$5:$M$1276,'Score Entry'!$B$5:$B$1276,A217,'Score Entry'!$E$5:$E$1276,"Third"),"")</f>
        <v/>
      </c>
      <c r="Q217" s="48" t="str">
        <f aca="false">IF(H217&lt;&gt;"Eligible","",IF(O217="Yes",IF(ISNUMBER(P217),ROUND(AVERAGE(L217,M217,P217),1),""),IF(O217="No",ROUND(AVERAGE(L217:M217),1),"")))</f>
        <v/>
      </c>
      <c r="R217" s="37" t="str">
        <f aca="false">IF(H217&lt;&gt;"Eligible","Screened out",IF(COUNT(L217:M217)=0,"Not started",IF(COUNT(L217:M217)=1,"One read done",IF(O217="Yes",IF(ISNUMBER(P217),"Complete","Needs third read"),"Complete"))))</f>
        <v>Screened out</v>
      </c>
      <c r="S217" s="37" t="str">
        <f aca="false">IF(Q217="","",COUNTIFS($C$5:$C$600,C217,$Q$5:$Q$600,"&gt;"&amp;Q217)+1)</f>
        <v/>
      </c>
      <c r="T217" s="37" t="str">
        <f aca="false">IF(Q217="","",IF(Q217&gt;=Cutoff,"Yes","No"))</f>
        <v/>
      </c>
      <c r="U217" s="49" t="n">
        <f aca="false">IF(T217="Yes",MIN(F217,INDEX(Settings!$G:$G,MATCH(C217,Settings!$E:$E,0))),0)</f>
        <v>0</v>
      </c>
      <c r="V217" s="49" t="str">
        <f aca="false">IF(T217="Yes",SUMIFS($U$5:$U$600,$C$5:$C$600,C217,$Q$5:$Q$600,"&gt;"&amp;Q217)+U217,"")</f>
        <v/>
      </c>
      <c r="W217" s="37" t="str">
        <f aca="false">IF(T217="Yes",IF(V217&lt;=INDEX(PoolList,MATCH(C217,ProgramList,0)),"Within pool","Over pool"),"")</f>
        <v/>
      </c>
      <c r="X217" s="37" t="str">
        <f aca="false">IF(O217="Yes",COUNTIF($O$5:O217,"Yes"),"")</f>
        <v/>
      </c>
    </row>
    <row r="218" customFormat="false" ht="15" hidden="false" customHeight="false" outlineLevel="0" collapsed="false">
      <c r="A218" s="35" t="s">
        <v>619</v>
      </c>
      <c r="B218" s="35" t="s">
        <v>620</v>
      </c>
      <c r="C218" s="35" t="s">
        <v>104</v>
      </c>
      <c r="D218" s="35" t="s">
        <v>174</v>
      </c>
      <c r="E218" s="35" t="s">
        <v>175</v>
      </c>
      <c r="F218" s="42" t="n">
        <v>43500</v>
      </c>
      <c r="G218" s="36" t="n">
        <v>45913</v>
      </c>
      <c r="H218" s="35" t="s">
        <v>54</v>
      </c>
      <c r="I218" s="35" t="s">
        <v>85</v>
      </c>
      <c r="J218" s="35" t="s">
        <v>91</v>
      </c>
      <c r="K218" s="35"/>
      <c r="L218" s="48" t="n">
        <f aca="false">IFERROR(AVERAGEIFS('Score Entry'!$M$5:$M$1276,'Score Entry'!$B$5:$B$1276,A218,'Score Entry'!$E$5:$E$1276,"Primary"),"")</f>
        <v>34</v>
      </c>
      <c r="M218" s="48" t="n">
        <f aca="false">IFERROR(AVERAGEIFS('Score Entry'!$M$5:$M$1276,'Score Entry'!$B$5:$B$1276,A218,'Score Entry'!$E$5:$E$1276,"Secondary"),"")</f>
        <v>44</v>
      </c>
      <c r="N218" s="48" t="n">
        <f aca="false">IF(COUNT(L218:M218)=2,ABS(L218-M218),"")</f>
        <v>10</v>
      </c>
      <c r="O218" s="37" t="str">
        <f aca="false">IF(N218="","",IF(N218&gt;=Threshold,"Yes","No"))</f>
        <v>No</v>
      </c>
      <c r="P218" s="48" t="str">
        <f aca="false">IFERROR(AVERAGEIFS('Score Entry'!$M$5:$M$1276,'Score Entry'!$B$5:$B$1276,A218,'Score Entry'!$E$5:$E$1276,"Third"),"")</f>
        <v/>
      </c>
      <c r="Q218" s="48" t="n">
        <f aca="false">IF(H218&lt;&gt;"Eligible","",IF(O218="Yes",IF(ISNUMBER(P218),ROUND(AVERAGE(L218,M218,P218),1),""),IF(O218="No",ROUND(AVERAGE(L218:M218),1),"")))</f>
        <v>39</v>
      </c>
      <c r="R218" s="37" t="str">
        <f aca="false">IF(H218&lt;&gt;"Eligible","Screened out",IF(COUNT(L218:M218)=0,"Not started",IF(COUNT(L218:M218)=1,"One read done",IF(O218="Yes",IF(ISNUMBER(P218),"Complete","Needs third read"),"Complete"))))</f>
        <v>Complete</v>
      </c>
      <c r="S218" s="37" t="n">
        <f aca="false">IF(Q218="","",COUNTIFS($C$5:$C$600,C218,$Q$5:$Q$600,"&gt;"&amp;Q218)+1)</f>
        <v>102</v>
      </c>
      <c r="T218" s="37" t="str">
        <f aca="false">IF(Q218="","",IF(Q218&gt;=Cutoff,"Yes","No"))</f>
        <v>No</v>
      </c>
      <c r="U218" s="49" t="n">
        <f aca="false">IF(T218="Yes",MIN(F218,INDEX(Settings!$G:$G,MATCH(C218,Settings!$E:$E,0))),0)</f>
        <v>0</v>
      </c>
      <c r="V218" s="49" t="str">
        <f aca="false">IF(T218="Yes",SUMIFS($U$5:$U$600,$C$5:$C$600,C218,$Q$5:$Q$600,"&gt;"&amp;Q218)+U218,"")</f>
        <v/>
      </c>
      <c r="W218" s="37" t="str">
        <f aca="false">IF(T218="Yes",IF(V218&lt;=INDEX(PoolList,MATCH(C218,ProgramList,0)),"Within pool","Over pool"),"")</f>
        <v/>
      </c>
      <c r="X218" s="37" t="str">
        <f aca="false">IF(O218="Yes",COUNTIF($O$5:O218,"Yes"),"")</f>
        <v/>
      </c>
    </row>
    <row r="219" customFormat="false" ht="15" hidden="false" customHeight="false" outlineLevel="0" collapsed="false">
      <c r="A219" s="35" t="s">
        <v>621</v>
      </c>
      <c r="B219" s="35" t="s">
        <v>622</v>
      </c>
      <c r="C219" s="35" t="s">
        <v>103</v>
      </c>
      <c r="D219" s="35" t="s">
        <v>174</v>
      </c>
      <c r="E219" s="35" t="s">
        <v>232</v>
      </c>
      <c r="F219" s="42" t="n">
        <v>65000</v>
      </c>
      <c r="G219" s="36" t="n">
        <v>45927</v>
      </c>
      <c r="H219" s="35" t="s">
        <v>54</v>
      </c>
      <c r="I219" s="35" t="s">
        <v>82</v>
      </c>
      <c r="J219" s="35" t="s">
        <v>85</v>
      </c>
      <c r="K219" s="35"/>
      <c r="L219" s="48" t="n">
        <f aca="false">IFERROR(AVERAGEIFS('Score Entry'!$M$5:$M$1276,'Score Entry'!$B$5:$B$1276,A219,'Score Entry'!$E$5:$E$1276,"Primary"),"")</f>
        <v>54</v>
      </c>
      <c r="M219" s="48" t="n">
        <f aca="false">IFERROR(AVERAGEIFS('Score Entry'!$M$5:$M$1276,'Score Entry'!$B$5:$B$1276,A219,'Score Entry'!$E$5:$E$1276,"Secondary"),"")</f>
        <v>54</v>
      </c>
      <c r="N219" s="48" t="n">
        <f aca="false">IF(COUNT(L219:M219)=2,ABS(L219-M219),"")</f>
        <v>0</v>
      </c>
      <c r="O219" s="37" t="str">
        <f aca="false">IF(N219="","",IF(N219&gt;=Threshold,"Yes","No"))</f>
        <v>No</v>
      </c>
      <c r="P219" s="48" t="str">
        <f aca="false">IFERROR(AVERAGEIFS('Score Entry'!$M$5:$M$1276,'Score Entry'!$B$5:$B$1276,A219,'Score Entry'!$E$5:$E$1276,"Third"),"")</f>
        <v/>
      </c>
      <c r="Q219" s="48" t="n">
        <f aca="false">IF(H219&lt;&gt;"Eligible","",IF(O219="Yes",IF(ISNUMBER(P219),ROUND(AVERAGE(L219,M219,P219),1),""),IF(O219="No",ROUND(AVERAGE(L219:M219),1),"")))</f>
        <v>54</v>
      </c>
      <c r="R219" s="37" t="str">
        <f aca="false">IF(H219&lt;&gt;"Eligible","Screened out",IF(COUNT(L219:M219)=0,"Not started",IF(COUNT(L219:M219)=1,"One read done",IF(O219="Yes",IF(ISNUMBER(P219),"Complete","Needs third read"),"Complete"))))</f>
        <v>Complete</v>
      </c>
      <c r="S219" s="37" t="n">
        <f aca="false">IF(Q219="","",COUNTIFS($C$5:$C$600,C219,$Q$5:$Q$600,"&gt;"&amp;Q219)+1)</f>
        <v>140</v>
      </c>
      <c r="T219" s="37" t="str">
        <f aca="false">IF(Q219="","",IF(Q219&gt;=Cutoff,"Yes","No"))</f>
        <v>No</v>
      </c>
      <c r="U219" s="49" t="n">
        <f aca="false">IF(T219="Yes",MIN(F219,INDEX(Settings!$G:$G,MATCH(C219,Settings!$E:$E,0))),0)</f>
        <v>0</v>
      </c>
      <c r="V219" s="49" t="str">
        <f aca="false">IF(T219="Yes",SUMIFS($U$5:$U$600,$C$5:$C$600,C219,$Q$5:$Q$600,"&gt;"&amp;Q219)+U219,"")</f>
        <v/>
      </c>
      <c r="W219" s="37" t="str">
        <f aca="false">IF(T219="Yes",IF(V219&lt;=INDEX(PoolList,MATCH(C219,ProgramList,0)),"Within pool","Over pool"),"")</f>
        <v/>
      </c>
      <c r="X219" s="37" t="str">
        <f aca="false">IF(O219="Yes",COUNTIF($O$5:O219,"Yes"),"")</f>
        <v/>
      </c>
    </row>
    <row r="220" customFormat="false" ht="15" hidden="false" customHeight="false" outlineLevel="0" collapsed="false">
      <c r="A220" s="35" t="s">
        <v>623</v>
      </c>
      <c r="B220" s="35" t="s">
        <v>624</v>
      </c>
      <c r="C220" s="35" t="s">
        <v>104</v>
      </c>
      <c r="D220" s="35" t="s">
        <v>174</v>
      </c>
      <c r="E220" s="35" t="s">
        <v>175</v>
      </c>
      <c r="F220" s="42" t="n">
        <v>42000</v>
      </c>
      <c r="G220" s="36" t="n">
        <v>45912</v>
      </c>
      <c r="H220" s="35" t="s">
        <v>54</v>
      </c>
      <c r="I220" s="35" t="s">
        <v>88</v>
      </c>
      <c r="J220" s="35" t="s">
        <v>82</v>
      </c>
      <c r="K220" s="35"/>
      <c r="L220" s="48" t="n">
        <f aca="false">IFERROR(AVERAGEIFS('Score Entry'!$M$5:$M$1276,'Score Entry'!$B$5:$B$1276,A220,'Score Entry'!$E$5:$E$1276,"Primary"),"")</f>
        <v>63</v>
      </c>
      <c r="M220" s="48" t="n">
        <f aca="false">IFERROR(AVERAGEIFS('Score Entry'!$M$5:$M$1276,'Score Entry'!$B$5:$B$1276,A220,'Score Entry'!$E$5:$E$1276,"Secondary"),"")</f>
        <v>64</v>
      </c>
      <c r="N220" s="48" t="n">
        <f aca="false">IF(COUNT(L220:M220)=2,ABS(L220-M220),"")</f>
        <v>1</v>
      </c>
      <c r="O220" s="37" t="str">
        <f aca="false">IF(N220="","",IF(N220&gt;=Threshold,"Yes","No"))</f>
        <v>No</v>
      </c>
      <c r="P220" s="48" t="str">
        <f aca="false">IFERROR(AVERAGEIFS('Score Entry'!$M$5:$M$1276,'Score Entry'!$B$5:$B$1276,A220,'Score Entry'!$E$5:$E$1276,"Third"),"")</f>
        <v/>
      </c>
      <c r="Q220" s="48" t="n">
        <f aca="false">IF(H220&lt;&gt;"Eligible","",IF(O220="Yes",IF(ISNUMBER(P220),ROUND(AVERAGE(L220,M220,P220),1),""),IF(O220="No",ROUND(AVERAGE(L220:M220),1),"")))</f>
        <v>63.5</v>
      </c>
      <c r="R220" s="37" t="str">
        <f aca="false">IF(H220&lt;&gt;"Eligible","Screened out",IF(COUNT(L220:M220)=0,"Not started",IF(COUNT(L220:M220)=1,"One read done",IF(O220="Yes",IF(ISNUMBER(P220),"Complete","Needs third read"),"Complete"))))</f>
        <v>Complete</v>
      </c>
      <c r="S220" s="37" t="n">
        <f aca="false">IF(Q220="","",COUNTIFS($C$5:$C$600,C220,$Q$5:$Q$600,"&gt;"&amp;Q220)+1)</f>
        <v>63</v>
      </c>
      <c r="T220" s="37" t="str">
        <f aca="false">IF(Q220="","",IF(Q220&gt;=Cutoff,"Yes","No"))</f>
        <v>No</v>
      </c>
      <c r="U220" s="49" t="n">
        <f aca="false">IF(T220="Yes",MIN(F220,INDEX(Settings!$G:$G,MATCH(C220,Settings!$E:$E,0))),0)</f>
        <v>0</v>
      </c>
      <c r="V220" s="49" t="str">
        <f aca="false">IF(T220="Yes",SUMIFS($U$5:$U$600,$C$5:$C$600,C220,$Q$5:$Q$600,"&gt;"&amp;Q220)+U220,"")</f>
        <v/>
      </c>
      <c r="W220" s="37" t="str">
        <f aca="false">IF(T220="Yes",IF(V220&lt;=INDEX(PoolList,MATCH(C220,ProgramList,0)),"Within pool","Over pool"),"")</f>
        <v/>
      </c>
      <c r="X220" s="37" t="str">
        <f aca="false">IF(O220="Yes",COUNTIF($O$5:O220,"Yes"),"")</f>
        <v/>
      </c>
    </row>
    <row r="221" customFormat="false" ht="15" hidden="false" customHeight="false" outlineLevel="0" collapsed="false">
      <c r="A221" s="35" t="s">
        <v>625</v>
      </c>
      <c r="B221" s="35" t="s">
        <v>626</v>
      </c>
      <c r="C221" s="35" t="s">
        <v>104</v>
      </c>
      <c r="D221" s="35" t="s">
        <v>174</v>
      </c>
      <c r="E221" s="35" t="s">
        <v>232</v>
      </c>
      <c r="F221" s="42" t="n">
        <v>125500</v>
      </c>
      <c r="G221" s="36" t="n">
        <v>45921</v>
      </c>
      <c r="H221" s="35" t="s">
        <v>54</v>
      </c>
      <c r="I221" s="35" t="s">
        <v>88</v>
      </c>
      <c r="J221" s="35" t="s">
        <v>78</v>
      </c>
      <c r="K221" s="35"/>
      <c r="L221" s="48" t="n">
        <f aca="false">IFERROR(AVERAGEIFS('Score Entry'!$M$5:$M$1276,'Score Entry'!$B$5:$B$1276,A221,'Score Entry'!$E$5:$E$1276,"Primary"),"")</f>
        <v>51</v>
      </c>
      <c r="M221" s="48" t="n">
        <f aca="false">IFERROR(AVERAGEIFS('Score Entry'!$M$5:$M$1276,'Score Entry'!$B$5:$B$1276,A221,'Score Entry'!$E$5:$E$1276,"Secondary"),"")</f>
        <v>60</v>
      </c>
      <c r="N221" s="48" t="n">
        <f aca="false">IF(COUNT(L221:M221)=2,ABS(L221-M221),"")</f>
        <v>9</v>
      </c>
      <c r="O221" s="37" t="str">
        <f aca="false">IF(N221="","",IF(N221&gt;=Threshold,"Yes","No"))</f>
        <v>No</v>
      </c>
      <c r="P221" s="48" t="str">
        <f aca="false">IFERROR(AVERAGEIFS('Score Entry'!$M$5:$M$1276,'Score Entry'!$B$5:$B$1276,A221,'Score Entry'!$E$5:$E$1276,"Third"),"")</f>
        <v/>
      </c>
      <c r="Q221" s="48" t="n">
        <f aca="false">IF(H221&lt;&gt;"Eligible","",IF(O221="Yes",IF(ISNUMBER(P221),ROUND(AVERAGE(L221,M221,P221),1),""),IF(O221="No",ROUND(AVERAGE(L221:M221),1),"")))</f>
        <v>55.5</v>
      </c>
      <c r="R221" s="37" t="str">
        <f aca="false">IF(H221&lt;&gt;"Eligible","Screened out",IF(COUNT(L221:M221)=0,"Not started",IF(COUNT(L221:M221)=1,"One read done",IF(O221="Yes",IF(ISNUMBER(P221),"Complete","Needs third read"),"Complete"))))</f>
        <v>Complete</v>
      </c>
      <c r="S221" s="37" t="n">
        <f aca="false">IF(Q221="","",COUNTIFS($C$5:$C$600,C221,$Q$5:$Q$600,"&gt;"&amp;Q221)+1)</f>
        <v>90</v>
      </c>
      <c r="T221" s="37" t="str">
        <f aca="false">IF(Q221="","",IF(Q221&gt;=Cutoff,"Yes","No"))</f>
        <v>No</v>
      </c>
      <c r="U221" s="49" t="n">
        <f aca="false">IF(T221="Yes",MIN(F221,INDEX(Settings!$G:$G,MATCH(C221,Settings!$E:$E,0))),0)</f>
        <v>0</v>
      </c>
      <c r="V221" s="49" t="str">
        <f aca="false">IF(T221="Yes",SUMIFS($U$5:$U$600,$C$5:$C$600,C221,$Q$5:$Q$600,"&gt;"&amp;Q221)+U221,"")</f>
        <v/>
      </c>
      <c r="W221" s="37" t="str">
        <f aca="false">IF(T221="Yes",IF(V221&lt;=INDEX(PoolList,MATCH(C221,ProgramList,0)),"Within pool","Over pool"),"")</f>
        <v/>
      </c>
      <c r="X221" s="37" t="str">
        <f aca="false">IF(O221="Yes",COUNTIF($O$5:O221,"Yes"),"")</f>
        <v/>
      </c>
    </row>
    <row r="222" customFormat="false" ht="15" hidden="false" customHeight="false" outlineLevel="0" collapsed="false">
      <c r="A222" s="35" t="s">
        <v>627</v>
      </c>
      <c r="B222" s="35" t="s">
        <v>628</v>
      </c>
      <c r="C222" s="35" t="s">
        <v>105</v>
      </c>
      <c r="D222" s="35" t="s">
        <v>174</v>
      </c>
      <c r="E222" s="35" t="s">
        <v>175</v>
      </c>
      <c r="F222" s="42" t="n">
        <v>59000</v>
      </c>
      <c r="G222" s="36" t="n">
        <v>45927</v>
      </c>
      <c r="H222" s="35" t="s">
        <v>54</v>
      </c>
      <c r="I222" s="35" t="s">
        <v>91</v>
      </c>
      <c r="J222" s="35" t="s">
        <v>94</v>
      </c>
      <c r="K222" s="35"/>
      <c r="L222" s="48" t="n">
        <f aca="false">IFERROR(AVERAGEIFS('Score Entry'!$M$5:$M$1276,'Score Entry'!$B$5:$B$1276,A222,'Score Entry'!$E$5:$E$1276,"Primary"),"")</f>
        <v>62</v>
      </c>
      <c r="M222" s="48" t="n">
        <f aca="false">IFERROR(AVERAGEIFS('Score Entry'!$M$5:$M$1276,'Score Entry'!$B$5:$B$1276,A222,'Score Entry'!$E$5:$E$1276,"Secondary"),"")</f>
        <v>53</v>
      </c>
      <c r="N222" s="48" t="n">
        <f aca="false">IF(COUNT(L222:M222)=2,ABS(L222-M222),"")</f>
        <v>9</v>
      </c>
      <c r="O222" s="37" t="str">
        <f aca="false">IF(N222="","",IF(N222&gt;=Threshold,"Yes","No"))</f>
        <v>No</v>
      </c>
      <c r="P222" s="48" t="str">
        <f aca="false">IFERROR(AVERAGEIFS('Score Entry'!$M$5:$M$1276,'Score Entry'!$B$5:$B$1276,A222,'Score Entry'!$E$5:$E$1276,"Third"),"")</f>
        <v/>
      </c>
      <c r="Q222" s="48" t="n">
        <f aca="false">IF(H222&lt;&gt;"Eligible","",IF(O222="Yes",IF(ISNUMBER(P222),ROUND(AVERAGE(L222,M222,P222),1),""),IF(O222="No",ROUND(AVERAGE(L222:M222),1),"")))</f>
        <v>57.5</v>
      </c>
      <c r="R222" s="37" t="str">
        <f aca="false">IF(H222&lt;&gt;"Eligible","Screened out",IF(COUNT(L222:M222)=0,"Not started",IF(COUNT(L222:M222)=1,"One read done",IF(O222="Yes",IF(ISNUMBER(P222),"Complete","Needs third read"),"Complete"))))</f>
        <v>Complete</v>
      </c>
      <c r="S222" s="37" t="n">
        <f aca="false">IF(Q222="","",COUNTIFS($C$5:$C$600,C222,$Q$5:$Q$600,"&gt;"&amp;Q222)+1)</f>
        <v>78</v>
      </c>
      <c r="T222" s="37" t="str">
        <f aca="false">IF(Q222="","",IF(Q222&gt;=Cutoff,"Yes","No"))</f>
        <v>No</v>
      </c>
      <c r="U222" s="49" t="n">
        <f aca="false">IF(T222="Yes",MIN(F222,INDEX(Settings!$G:$G,MATCH(C222,Settings!$E:$E,0))),0)</f>
        <v>0</v>
      </c>
      <c r="V222" s="49" t="str">
        <f aca="false">IF(T222="Yes",SUMIFS($U$5:$U$600,$C$5:$C$600,C222,$Q$5:$Q$600,"&gt;"&amp;Q222)+U222,"")</f>
        <v/>
      </c>
      <c r="W222" s="37" t="str">
        <f aca="false">IF(T222="Yes",IF(V222&lt;=INDEX(PoolList,MATCH(C222,ProgramList,0)),"Within pool","Over pool"),"")</f>
        <v/>
      </c>
      <c r="X222" s="37" t="str">
        <f aca="false">IF(O222="Yes",COUNTIF($O$5:O222,"Yes"),"")</f>
        <v/>
      </c>
    </row>
    <row r="223" customFormat="false" ht="15" hidden="false" customHeight="false" outlineLevel="0" collapsed="false">
      <c r="A223" s="35" t="s">
        <v>629</v>
      </c>
      <c r="B223" s="35" t="s">
        <v>630</v>
      </c>
      <c r="C223" s="35" t="s">
        <v>104</v>
      </c>
      <c r="D223" s="35" t="s">
        <v>174</v>
      </c>
      <c r="E223" s="35" t="s">
        <v>232</v>
      </c>
      <c r="F223" s="42" t="n">
        <v>236000</v>
      </c>
      <c r="G223" s="36" t="n">
        <v>45921</v>
      </c>
      <c r="H223" s="35" t="s">
        <v>54</v>
      </c>
      <c r="I223" s="35" t="s">
        <v>94</v>
      </c>
      <c r="J223" s="35" t="s">
        <v>85</v>
      </c>
      <c r="K223" s="35"/>
      <c r="L223" s="48" t="n">
        <f aca="false">IFERROR(AVERAGEIFS('Score Entry'!$M$5:$M$1276,'Score Entry'!$B$5:$B$1276,A223,'Score Entry'!$E$5:$E$1276,"Primary"),"")</f>
        <v>75</v>
      </c>
      <c r="M223" s="48" t="n">
        <f aca="false">IFERROR(AVERAGEIFS('Score Entry'!$M$5:$M$1276,'Score Entry'!$B$5:$B$1276,A223,'Score Entry'!$E$5:$E$1276,"Secondary"),"")</f>
        <v>68</v>
      </c>
      <c r="N223" s="48" t="n">
        <f aca="false">IF(COUNT(L223:M223)=2,ABS(L223-M223),"")</f>
        <v>7</v>
      </c>
      <c r="O223" s="37" t="str">
        <f aca="false">IF(N223="","",IF(N223&gt;=Threshold,"Yes","No"))</f>
        <v>No</v>
      </c>
      <c r="P223" s="48" t="str">
        <f aca="false">IFERROR(AVERAGEIFS('Score Entry'!$M$5:$M$1276,'Score Entry'!$B$5:$B$1276,A223,'Score Entry'!$E$5:$E$1276,"Third"),"")</f>
        <v/>
      </c>
      <c r="Q223" s="48" t="n">
        <f aca="false">IF(H223&lt;&gt;"Eligible","",IF(O223="Yes",IF(ISNUMBER(P223),ROUND(AVERAGE(L223,M223,P223),1),""),IF(O223="No",ROUND(AVERAGE(L223:M223),1),"")))</f>
        <v>71.5</v>
      </c>
      <c r="R223" s="37" t="str">
        <f aca="false">IF(H223&lt;&gt;"Eligible","Screened out",IF(COUNT(L223:M223)=0,"Not started",IF(COUNT(L223:M223)=1,"One read done",IF(O223="Yes",IF(ISNUMBER(P223),"Complete","Needs third read"),"Complete"))))</f>
        <v>Complete</v>
      </c>
      <c r="S223" s="37" t="n">
        <f aca="false">IF(Q223="","",COUNTIFS($C$5:$C$600,C223,$Q$5:$Q$600,"&gt;"&amp;Q223)+1)</f>
        <v>43</v>
      </c>
      <c r="T223" s="37" t="str">
        <f aca="false">IF(Q223="","",IF(Q223&gt;=Cutoff,"Yes","No"))</f>
        <v>No</v>
      </c>
      <c r="U223" s="49" t="n">
        <f aca="false">IF(T223="Yes",MIN(F223,INDEX(Settings!$G:$G,MATCH(C223,Settings!$E:$E,0))),0)</f>
        <v>0</v>
      </c>
      <c r="V223" s="49" t="str">
        <f aca="false">IF(T223="Yes",SUMIFS($U$5:$U$600,$C$5:$C$600,C223,$Q$5:$Q$600,"&gt;"&amp;Q223)+U223,"")</f>
        <v/>
      </c>
      <c r="W223" s="37" t="str">
        <f aca="false">IF(T223="Yes",IF(V223&lt;=INDEX(PoolList,MATCH(C223,ProgramList,0)),"Within pool","Over pool"),"")</f>
        <v/>
      </c>
      <c r="X223" s="37" t="str">
        <f aca="false">IF(O223="Yes",COUNTIF($O$5:O223,"Yes"),"")</f>
        <v/>
      </c>
    </row>
    <row r="224" customFormat="false" ht="15" hidden="false" customHeight="false" outlineLevel="0" collapsed="false">
      <c r="A224" s="35" t="s">
        <v>631</v>
      </c>
      <c r="B224" s="35" t="s">
        <v>632</v>
      </c>
      <c r="C224" s="35" t="s">
        <v>104</v>
      </c>
      <c r="D224" s="35" t="s">
        <v>174</v>
      </c>
      <c r="E224" s="35" t="s">
        <v>175</v>
      </c>
      <c r="F224" s="42" t="n">
        <v>77500</v>
      </c>
      <c r="G224" s="36" t="n">
        <v>45918</v>
      </c>
      <c r="H224" s="35" t="s">
        <v>96</v>
      </c>
      <c r="I224" s="35"/>
      <c r="J224" s="35"/>
      <c r="K224" s="35"/>
      <c r="L224" s="48" t="str">
        <f aca="false">IFERROR(AVERAGEIFS('Score Entry'!$M$5:$M$1276,'Score Entry'!$B$5:$B$1276,A224,'Score Entry'!$E$5:$E$1276,"Primary"),"")</f>
        <v/>
      </c>
      <c r="M224" s="48" t="str">
        <f aca="false">IFERROR(AVERAGEIFS('Score Entry'!$M$5:$M$1276,'Score Entry'!$B$5:$B$1276,A224,'Score Entry'!$E$5:$E$1276,"Secondary"),"")</f>
        <v/>
      </c>
      <c r="N224" s="48" t="str">
        <f aca="false">IF(COUNT(L224:M224)=2,ABS(L224-M224),"")</f>
        <v/>
      </c>
      <c r="O224" s="37" t="str">
        <f aca="false">IF(N224="","",IF(N224&gt;=Threshold,"Yes","No"))</f>
        <v/>
      </c>
      <c r="P224" s="48" t="str">
        <f aca="false">IFERROR(AVERAGEIFS('Score Entry'!$M$5:$M$1276,'Score Entry'!$B$5:$B$1276,A224,'Score Entry'!$E$5:$E$1276,"Third"),"")</f>
        <v/>
      </c>
      <c r="Q224" s="48" t="str">
        <f aca="false">IF(H224&lt;&gt;"Eligible","",IF(O224="Yes",IF(ISNUMBER(P224),ROUND(AVERAGE(L224,M224,P224),1),""),IF(O224="No",ROUND(AVERAGE(L224:M224),1),"")))</f>
        <v/>
      </c>
      <c r="R224" s="37" t="str">
        <f aca="false">IF(H224&lt;&gt;"Eligible","Screened out",IF(COUNT(L224:M224)=0,"Not started",IF(COUNT(L224:M224)=1,"One read done",IF(O224="Yes",IF(ISNUMBER(P224),"Complete","Needs third read"),"Complete"))))</f>
        <v>Screened out</v>
      </c>
      <c r="S224" s="37" t="str">
        <f aca="false">IF(Q224="","",COUNTIFS($C$5:$C$600,C224,$Q$5:$Q$600,"&gt;"&amp;Q224)+1)</f>
        <v/>
      </c>
      <c r="T224" s="37" t="str">
        <f aca="false">IF(Q224="","",IF(Q224&gt;=Cutoff,"Yes","No"))</f>
        <v/>
      </c>
      <c r="U224" s="49" t="n">
        <f aca="false">IF(T224="Yes",MIN(F224,INDEX(Settings!$G:$G,MATCH(C224,Settings!$E:$E,0))),0)</f>
        <v>0</v>
      </c>
      <c r="V224" s="49" t="str">
        <f aca="false">IF(T224="Yes",SUMIFS($U$5:$U$600,$C$5:$C$600,C224,$Q$5:$Q$600,"&gt;"&amp;Q224)+U224,"")</f>
        <v/>
      </c>
      <c r="W224" s="37" t="str">
        <f aca="false">IF(T224="Yes",IF(V224&lt;=INDEX(PoolList,MATCH(C224,ProgramList,0)),"Within pool","Over pool"),"")</f>
        <v/>
      </c>
      <c r="X224" s="37" t="str">
        <f aca="false">IF(O224="Yes",COUNTIF($O$5:O224,"Yes"),"")</f>
        <v/>
      </c>
    </row>
    <row r="225" customFormat="false" ht="15" hidden="false" customHeight="false" outlineLevel="0" collapsed="false">
      <c r="A225" s="35" t="s">
        <v>633</v>
      </c>
      <c r="B225" s="35" t="s">
        <v>634</v>
      </c>
      <c r="C225" s="35" t="s">
        <v>104</v>
      </c>
      <c r="D225" s="35" t="s">
        <v>174</v>
      </c>
      <c r="E225" s="35" t="s">
        <v>232</v>
      </c>
      <c r="F225" s="42" t="n">
        <v>69500</v>
      </c>
      <c r="G225" s="36" t="n">
        <v>45924</v>
      </c>
      <c r="H225" s="35" t="s">
        <v>54</v>
      </c>
      <c r="I225" s="35" t="s">
        <v>78</v>
      </c>
      <c r="J225" s="35" t="s">
        <v>91</v>
      </c>
      <c r="K225" s="35"/>
      <c r="L225" s="48" t="n">
        <f aca="false">IFERROR(AVERAGEIFS('Score Entry'!$M$5:$M$1276,'Score Entry'!$B$5:$B$1276,A225,'Score Entry'!$E$5:$E$1276,"Primary"),"")</f>
        <v>67</v>
      </c>
      <c r="M225" s="48" t="n">
        <f aca="false">IFERROR(AVERAGEIFS('Score Entry'!$M$5:$M$1276,'Score Entry'!$B$5:$B$1276,A225,'Score Entry'!$E$5:$E$1276,"Secondary"),"")</f>
        <v>55</v>
      </c>
      <c r="N225" s="48" t="n">
        <f aca="false">IF(COUNT(L225:M225)=2,ABS(L225-M225),"")</f>
        <v>12</v>
      </c>
      <c r="O225" s="37" t="str">
        <f aca="false">IF(N225="","",IF(N225&gt;=Threshold,"Yes","No"))</f>
        <v>No</v>
      </c>
      <c r="P225" s="48" t="str">
        <f aca="false">IFERROR(AVERAGEIFS('Score Entry'!$M$5:$M$1276,'Score Entry'!$B$5:$B$1276,A225,'Score Entry'!$E$5:$E$1276,"Third"),"")</f>
        <v/>
      </c>
      <c r="Q225" s="48" t="n">
        <f aca="false">IF(H225&lt;&gt;"Eligible","",IF(O225="Yes",IF(ISNUMBER(P225),ROUND(AVERAGE(L225,M225,P225),1),""),IF(O225="No",ROUND(AVERAGE(L225:M225),1),"")))</f>
        <v>61</v>
      </c>
      <c r="R225" s="37" t="str">
        <f aca="false">IF(H225&lt;&gt;"Eligible","Screened out",IF(COUNT(L225:M225)=0,"Not started",IF(COUNT(L225:M225)=1,"One read done",IF(O225="Yes",IF(ISNUMBER(P225),"Complete","Needs third read"),"Complete"))))</f>
        <v>Complete</v>
      </c>
      <c r="S225" s="37" t="n">
        <f aca="false">IF(Q225="","",COUNTIFS($C$5:$C$600,C225,$Q$5:$Q$600,"&gt;"&amp;Q225)+1)</f>
        <v>75</v>
      </c>
      <c r="T225" s="37" t="str">
        <f aca="false">IF(Q225="","",IF(Q225&gt;=Cutoff,"Yes","No"))</f>
        <v>No</v>
      </c>
      <c r="U225" s="49" t="n">
        <f aca="false">IF(T225="Yes",MIN(F225,INDEX(Settings!$G:$G,MATCH(C225,Settings!$E:$E,0))),0)</f>
        <v>0</v>
      </c>
      <c r="V225" s="49" t="str">
        <f aca="false">IF(T225="Yes",SUMIFS($U$5:$U$600,$C$5:$C$600,C225,$Q$5:$Q$600,"&gt;"&amp;Q225)+U225,"")</f>
        <v/>
      </c>
      <c r="W225" s="37" t="str">
        <f aca="false">IF(T225="Yes",IF(V225&lt;=INDEX(PoolList,MATCH(C225,ProgramList,0)),"Within pool","Over pool"),"")</f>
        <v/>
      </c>
      <c r="X225" s="37" t="str">
        <f aca="false">IF(O225="Yes",COUNTIF($O$5:O225,"Yes"),"")</f>
        <v/>
      </c>
    </row>
    <row r="226" customFormat="false" ht="15" hidden="false" customHeight="false" outlineLevel="0" collapsed="false">
      <c r="A226" s="35" t="s">
        <v>635</v>
      </c>
      <c r="B226" s="35" t="s">
        <v>636</v>
      </c>
      <c r="C226" s="35" t="s">
        <v>106</v>
      </c>
      <c r="D226" s="35" t="s">
        <v>174</v>
      </c>
      <c r="E226" s="35" t="s">
        <v>175</v>
      </c>
      <c r="F226" s="42" t="n">
        <v>73500</v>
      </c>
      <c r="G226" s="36" t="n">
        <v>45908</v>
      </c>
      <c r="H226" s="35" t="s">
        <v>54</v>
      </c>
      <c r="I226" s="35" t="s">
        <v>88</v>
      </c>
      <c r="J226" s="35" t="s">
        <v>82</v>
      </c>
      <c r="K226" s="35" t="s">
        <v>85</v>
      </c>
      <c r="L226" s="48" t="n">
        <f aca="false">IFERROR(AVERAGEIFS('Score Entry'!$M$5:$M$1276,'Score Entry'!$B$5:$B$1276,A226,'Score Entry'!$E$5:$E$1276,"Primary"),"")</f>
        <v>84</v>
      </c>
      <c r="M226" s="48" t="n">
        <f aca="false">IFERROR(AVERAGEIFS('Score Entry'!$M$5:$M$1276,'Score Entry'!$B$5:$B$1276,A226,'Score Entry'!$E$5:$E$1276,"Secondary"),"")</f>
        <v>60</v>
      </c>
      <c r="N226" s="48" t="n">
        <f aca="false">IF(COUNT(L226:M226)=2,ABS(L226-M226),"")</f>
        <v>24</v>
      </c>
      <c r="O226" s="37" t="str">
        <f aca="false">IF(N226="","",IF(N226&gt;=Threshold,"Yes","No"))</f>
        <v>Yes</v>
      </c>
      <c r="P226" s="48" t="str">
        <f aca="false">IFERROR(AVERAGEIFS('Score Entry'!$M$5:$M$1276,'Score Entry'!$B$5:$B$1276,A226,'Score Entry'!$E$5:$E$1276,"Third"),"")</f>
        <v/>
      </c>
      <c r="Q226" s="48" t="str">
        <f aca="false">IF(H226&lt;&gt;"Eligible","",IF(O226="Yes",IF(ISNUMBER(P226),ROUND(AVERAGE(L226,M226,P226),1),""),IF(O226="No",ROUND(AVERAGE(L226:M226),1),"")))</f>
        <v/>
      </c>
      <c r="R226" s="37" t="str">
        <f aca="false">IF(H226&lt;&gt;"Eligible","Screened out",IF(COUNT(L226:M226)=0,"Not started",IF(COUNT(L226:M226)=1,"One read done",IF(O226="Yes",IF(ISNUMBER(P226),"Complete","Needs third read"),"Complete"))))</f>
        <v>Needs third read</v>
      </c>
      <c r="S226" s="37" t="str">
        <f aca="false">IF(Q226="","",COUNTIFS($C$5:$C$600,C226,$Q$5:$Q$600,"&gt;"&amp;Q226)+1)</f>
        <v/>
      </c>
      <c r="T226" s="37" t="str">
        <f aca="false">IF(Q226="","",IF(Q226&gt;=Cutoff,"Yes","No"))</f>
        <v/>
      </c>
      <c r="U226" s="49" t="n">
        <f aca="false">IF(T226="Yes",MIN(F226,INDEX(Settings!$G:$G,MATCH(C226,Settings!$E:$E,0))),0)</f>
        <v>0</v>
      </c>
      <c r="V226" s="49" t="str">
        <f aca="false">IF(T226="Yes",SUMIFS($U$5:$U$600,$C$5:$C$600,C226,$Q$5:$Q$600,"&gt;"&amp;Q226)+U226,"")</f>
        <v/>
      </c>
      <c r="W226" s="37" t="str">
        <f aca="false">IF(T226="Yes",IF(V226&lt;=INDEX(PoolList,MATCH(C226,ProgramList,0)),"Within pool","Over pool"),"")</f>
        <v/>
      </c>
      <c r="X226" s="37" t="n">
        <f aca="false">IF(O226="Yes",COUNTIF($O$5:O226,"Yes"),"")</f>
        <v>32</v>
      </c>
    </row>
    <row r="227" customFormat="false" ht="15" hidden="false" customHeight="false" outlineLevel="0" collapsed="false">
      <c r="A227" s="35" t="s">
        <v>637</v>
      </c>
      <c r="B227" s="35" t="s">
        <v>638</v>
      </c>
      <c r="C227" s="35" t="s">
        <v>105</v>
      </c>
      <c r="D227" s="35" t="s">
        <v>174</v>
      </c>
      <c r="E227" s="35" t="s">
        <v>175</v>
      </c>
      <c r="F227" s="42" t="n">
        <v>103000</v>
      </c>
      <c r="G227" s="36" t="n">
        <v>45927</v>
      </c>
      <c r="H227" s="35" t="s">
        <v>54</v>
      </c>
      <c r="I227" s="35" t="s">
        <v>85</v>
      </c>
      <c r="J227" s="35" t="s">
        <v>78</v>
      </c>
      <c r="K227" s="35" t="s">
        <v>88</v>
      </c>
      <c r="L227" s="48" t="n">
        <f aca="false">IFERROR(AVERAGEIFS('Score Entry'!$M$5:$M$1276,'Score Entry'!$B$5:$B$1276,A227,'Score Entry'!$E$5:$E$1276,"Primary"),"")</f>
        <v>40</v>
      </c>
      <c r="M227" s="48" t="n">
        <f aca="false">IFERROR(AVERAGEIFS('Score Entry'!$M$5:$M$1276,'Score Entry'!$B$5:$B$1276,A227,'Score Entry'!$E$5:$E$1276,"Secondary"),"")</f>
        <v>73</v>
      </c>
      <c r="N227" s="48" t="n">
        <f aca="false">IF(COUNT(L227:M227)=2,ABS(L227-M227),"")</f>
        <v>33</v>
      </c>
      <c r="O227" s="37" t="str">
        <f aca="false">IF(N227="","",IF(N227&gt;=Threshold,"Yes","No"))</f>
        <v>Yes</v>
      </c>
      <c r="P227" s="48" t="n">
        <f aca="false">IFERROR(AVERAGEIFS('Score Entry'!$M$5:$M$1276,'Score Entry'!$B$5:$B$1276,A227,'Score Entry'!$E$5:$E$1276,"Third"),"")</f>
        <v>54</v>
      </c>
      <c r="Q227" s="48" t="n">
        <f aca="false">IF(H227&lt;&gt;"Eligible","",IF(O227="Yes",IF(ISNUMBER(P227),ROUND(AVERAGE(L227,M227,P227),1),""),IF(O227="No",ROUND(AVERAGE(L227:M227),1),"")))</f>
        <v>55.7</v>
      </c>
      <c r="R227" s="37" t="str">
        <f aca="false">IF(H227&lt;&gt;"Eligible","Screened out",IF(COUNT(L227:M227)=0,"Not started",IF(COUNT(L227:M227)=1,"One read done",IF(O227="Yes",IF(ISNUMBER(P227),"Complete","Needs third read"),"Complete"))))</f>
        <v>Complete</v>
      </c>
      <c r="S227" s="37" t="n">
        <f aca="false">IF(Q227="","",COUNTIFS($C$5:$C$600,C227,$Q$5:$Q$600,"&gt;"&amp;Q227)+1)</f>
        <v>82</v>
      </c>
      <c r="T227" s="37" t="str">
        <f aca="false">IF(Q227="","",IF(Q227&gt;=Cutoff,"Yes","No"))</f>
        <v>No</v>
      </c>
      <c r="U227" s="49" t="n">
        <f aca="false">IF(T227="Yes",MIN(F227,INDEX(Settings!$G:$G,MATCH(C227,Settings!$E:$E,0))),0)</f>
        <v>0</v>
      </c>
      <c r="V227" s="49" t="str">
        <f aca="false">IF(T227="Yes",SUMIFS($U$5:$U$600,$C$5:$C$600,C227,$Q$5:$Q$600,"&gt;"&amp;Q227)+U227,"")</f>
        <v/>
      </c>
      <c r="W227" s="37" t="str">
        <f aca="false">IF(T227="Yes",IF(V227&lt;=INDEX(PoolList,MATCH(C227,ProgramList,0)),"Within pool","Over pool"),"")</f>
        <v/>
      </c>
      <c r="X227" s="37" t="n">
        <f aca="false">IF(O227="Yes",COUNTIF($O$5:O227,"Yes"),"")</f>
        <v>33</v>
      </c>
    </row>
    <row r="228" customFormat="false" ht="15" hidden="false" customHeight="false" outlineLevel="0" collapsed="false">
      <c r="A228" s="35" t="s">
        <v>639</v>
      </c>
      <c r="B228" s="35" t="s">
        <v>640</v>
      </c>
      <c r="C228" s="35" t="s">
        <v>104</v>
      </c>
      <c r="D228" s="35" t="s">
        <v>239</v>
      </c>
      <c r="E228" s="35" t="s">
        <v>554</v>
      </c>
      <c r="F228" s="42" t="n">
        <v>45000</v>
      </c>
      <c r="G228" s="36" t="n">
        <v>45906</v>
      </c>
      <c r="H228" s="35" t="s">
        <v>54</v>
      </c>
      <c r="I228" s="35" t="s">
        <v>88</v>
      </c>
      <c r="J228" s="35" t="s">
        <v>85</v>
      </c>
      <c r="K228" s="35"/>
      <c r="L228" s="48" t="n">
        <f aca="false">IFERROR(AVERAGEIFS('Score Entry'!$M$5:$M$1276,'Score Entry'!$B$5:$B$1276,A228,'Score Entry'!$E$5:$E$1276,"Primary"),"")</f>
        <v>64</v>
      </c>
      <c r="M228" s="48" t="n">
        <f aca="false">IFERROR(AVERAGEIFS('Score Entry'!$M$5:$M$1276,'Score Entry'!$B$5:$B$1276,A228,'Score Entry'!$E$5:$E$1276,"Secondary"),"")</f>
        <v>71</v>
      </c>
      <c r="N228" s="48" t="n">
        <f aca="false">IF(COUNT(L228:M228)=2,ABS(L228-M228),"")</f>
        <v>7</v>
      </c>
      <c r="O228" s="37" t="str">
        <f aca="false">IF(N228="","",IF(N228&gt;=Threshold,"Yes","No"))</f>
        <v>No</v>
      </c>
      <c r="P228" s="48" t="str">
        <f aca="false">IFERROR(AVERAGEIFS('Score Entry'!$M$5:$M$1276,'Score Entry'!$B$5:$B$1276,A228,'Score Entry'!$E$5:$E$1276,"Third"),"")</f>
        <v/>
      </c>
      <c r="Q228" s="48" t="n">
        <f aca="false">IF(H228&lt;&gt;"Eligible","",IF(O228="Yes",IF(ISNUMBER(P228),ROUND(AVERAGE(L228,M228,P228),1),""),IF(O228="No",ROUND(AVERAGE(L228:M228),1),"")))</f>
        <v>67.5</v>
      </c>
      <c r="R228" s="37" t="str">
        <f aca="false">IF(H228&lt;&gt;"Eligible","Screened out",IF(COUNT(L228:M228)=0,"Not started",IF(COUNT(L228:M228)=1,"One read done",IF(O228="Yes",IF(ISNUMBER(P228),"Complete","Needs third read"),"Complete"))))</f>
        <v>Complete</v>
      </c>
      <c r="S228" s="37" t="n">
        <f aca="false">IF(Q228="","",COUNTIFS($C$5:$C$600,C228,$Q$5:$Q$600,"&gt;"&amp;Q228)+1)</f>
        <v>49</v>
      </c>
      <c r="T228" s="37" t="str">
        <f aca="false">IF(Q228="","",IF(Q228&gt;=Cutoff,"Yes","No"))</f>
        <v>No</v>
      </c>
      <c r="U228" s="49" t="n">
        <f aca="false">IF(T228="Yes",MIN(F228,INDEX(Settings!$G:$G,MATCH(C228,Settings!$E:$E,0))),0)</f>
        <v>0</v>
      </c>
      <c r="V228" s="49" t="str">
        <f aca="false">IF(T228="Yes",SUMIFS($U$5:$U$600,$C$5:$C$600,C228,$Q$5:$Q$600,"&gt;"&amp;Q228)+U228,"")</f>
        <v/>
      </c>
      <c r="W228" s="37" t="str">
        <f aca="false">IF(T228="Yes",IF(V228&lt;=INDEX(PoolList,MATCH(C228,ProgramList,0)),"Within pool","Over pool"),"")</f>
        <v/>
      </c>
      <c r="X228" s="37" t="str">
        <f aca="false">IF(O228="Yes",COUNTIF($O$5:O228,"Yes"),"")</f>
        <v/>
      </c>
    </row>
    <row r="229" customFormat="false" ht="15" hidden="false" customHeight="false" outlineLevel="0" collapsed="false">
      <c r="A229" s="35" t="s">
        <v>641</v>
      </c>
      <c r="B229" s="35" t="s">
        <v>642</v>
      </c>
      <c r="C229" s="35" t="s">
        <v>105</v>
      </c>
      <c r="D229" s="35" t="s">
        <v>174</v>
      </c>
      <c r="E229" s="35" t="s">
        <v>175</v>
      </c>
      <c r="F229" s="42" t="n">
        <v>76000</v>
      </c>
      <c r="G229" s="36" t="n">
        <v>45916</v>
      </c>
      <c r="H229" s="35" t="s">
        <v>54</v>
      </c>
      <c r="I229" s="35" t="s">
        <v>82</v>
      </c>
      <c r="J229" s="35" t="s">
        <v>91</v>
      </c>
      <c r="K229" s="35"/>
      <c r="L229" s="48" t="n">
        <f aca="false">IFERROR(AVERAGEIFS('Score Entry'!$M$5:$M$1276,'Score Entry'!$B$5:$B$1276,A229,'Score Entry'!$E$5:$E$1276,"Primary"),"")</f>
        <v>58</v>
      </c>
      <c r="M229" s="48" t="n">
        <f aca="false">IFERROR(AVERAGEIFS('Score Entry'!$M$5:$M$1276,'Score Entry'!$B$5:$B$1276,A229,'Score Entry'!$E$5:$E$1276,"Secondary"),"")</f>
        <v>63</v>
      </c>
      <c r="N229" s="48" t="n">
        <f aca="false">IF(COUNT(L229:M229)=2,ABS(L229-M229),"")</f>
        <v>5</v>
      </c>
      <c r="O229" s="37" t="str">
        <f aca="false">IF(N229="","",IF(N229&gt;=Threshold,"Yes","No"))</f>
        <v>No</v>
      </c>
      <c r="P229" s="48" t="str">
        <f aca="false">IFERROR(AVERAGEIFS('Score Entry'!$M$5:$M$1276,'Score Entry'!$B$5:$B$1276,A229,'Score Entry'!$E$5:$E$1276,"Third"),"")</f>
        <v/>
      </c>
      <c r="Q229" s="48" t="n">
        <f aca="false">IF(H229&lt;&gt;"Eligible","",IF(O229="Yes",IF(ISNUMBER(P229),ROUND(AVERAGE(L229,M229,P229),1),""),IF(O229="No",ROUND(AVERAGE(L229:M229),1),"")))</f>
        <v>60.5</v>
      </c>
      <c r="R229" s="37" t="str">
        <f aca="false">IF(H229&lt;&gt;"Eligible","Screened out",IF(COUNT(L229:M229)=0,"Not started",IF(COUNT(L229:M229)=1,"One read done",IF(O229="Yes",IF(ISNUMBER(P229),"Complete","Needs third read"),"Complete"))))</f>
        <v>Complete</v>
      </c>
      <c r="S229" s="37" t="n">
        <f aca="false">IF(Q229="","",COUNTIFS($C$5:$C$600,C229,$Q$5:$Q$600,"&gt;"&amp;Q229)+1)</f>
        <v>69</v>
      </c>
      <c r="T229" s="37" t="str">
        <f aca="false">IF(Q229="","",IF(Q229&gt;=Cutoff,"Yes","No"))</f>
        <v>No</v>
      </c>
      <c r="U229" s="49" t="n">
        <f aca="false">IF(T229="Yes",MIN(F229,INDEX(Settings!$G:$G,MATCH(C229,Settings!$E:$E,0))),0)</f>
        <v>0</v>
      </c>
      <c r="V229" s="49" t="str">
        <f aca="false">IF(T229="Yes",SUMIFS($U$5:$U$600,$C$5:$C$600,C229,$Q$5:$Q$600,"&gt;"&amp;Q229)+U229,"")</f>
        <v/>
      </c>
      <c r="W229" s="37" t="str">
        <f aca="false">IF(T229="Yes",IF(V229&lt;=INDEX(PoolList,MATCH(C229,ProgramList,0)),"Within pool","Over pool"),"")</f>
        <v/>
      </c>
      <c r="X229" s="37" t="str">
        <f aca="false">IF(O229="Yes",COUNTIF($O$5:O229,"Yes"),"")</f>
        <v/>
      </c>
    </row>
    <row r="230" customFormat="false" ht="15" hidden="false" customHeight="false" outlineLevel="0" collapsed="false">
      <c r="A230" s="35" t="s">
        <v>643</v>
      </c>
      <c r="B230" s="35" t="s">
        <v>644</v>
      </c>
      <c r="C230" s="35" t="s">
        <v>103</v>
      </c>
      <c r="D230" s="35" t="s">
        <v>180</v>
      </c>
      <c r="E230" s="35" t="s">
        <v>252</v>
      </c>
      <c r="F230" s="42" t="n">
        <v>83000</v>
      </c>
      <c r="G230" s="36" t="n">
        <v>45926</v>
      </c>
      <c r="H230" s="35" t="s">
        <v>54</v>
      </c>
      <c r="I230" s="35" t="s">
        <v>88</v>
      </c>
      <c r="J230" s="35" t="s">
        <v>94</v>
      </c>
      <c r="K230" s="35"/>
      <c r="L230" s="48" t="str">
        <f aca="false">IFERROR(AVERAGEIFS('Score Entry'!$M$5:$M$1276,'Score Entry'!$B$5:$B$1276,A230,'Score Entry'!$E$5:$E$1276,"Primary"),"")</f>
        <v/>
      </c>
      <c r="M230" s="48" t="n">
        <f aca="false">IFERROR(AVERAGEIFS('Score Entry'!$M$5:$M$1276,'Score Entry'!$B$5:$B$1276,A230,'Score Entry'!$E$5:$E$1276,"Secondary"),"")</f>
        <v>76</v>
      </c>
      <c r="N230" s="48" t="str">
        <f aca="false">IF(COUNT(L230:M230)=2,ABS(L230-M230),"")</f>
        <v/>
      </c>
      <c r="O230" s="37" t="str">
        <f aca="false">IF(N230="","",IF(N230&gt;=Threshold,"Yes","No"))</f>
        <v/>
      </c>
      <c r="P230" s="48" t="str">
        <f aca="false">IFERROR(AVERAGEIFS('Score Entry'!$M$5:$M$1276,'Score Entry'!$B$5:$B$1276,A230,'Score Entry'!$E$5:$E$1276,"Third"),"")</f>
        <v/>
      </c>
      <c r="Q230" s="48" t="str">
        <f aca="false">IF(H230&lt;&gt;"Eligible","",IF(O230="Yes",IF(ISNUMBER(P230),ROUND(AVERAGE(L230,M230,P230),1),""),IF(O230="No",ROUND(AVERAGE(L230:M230),1),"")))</f>
        <v/>
      </c>
      <c r="R230" s="37" t="str">
        <f aca="false">IF(H230&lt;&gt;"Eligible","Screened out",IF(COUNT(L230:M230)=0,"Not started",IF(COUNT(L230:M230)=1,"One read done",IF(O230="Yes",IF(ISNUMBER(P230),"Complete","Needs third read"),"Complete"))))</f>
        <v>One read done</v>
      </c>
      <c r="S230" s="37" t="str">
        <f aca="false">IF(Q230="","",COUNTIFS($C$5:$C$600,C230,$Q$5:$Q$600,"&gt;"&amp;Q230)+1)</f>
        <v/>
      </c>
      <c r="T230" s="37" t="str">
        <f aca="false">IF(Q230="","",IF(Q230&gt;=Cutoff,"Yes","No"))</f>
        <v/>
      </c>
      <c r="U230" s="49" t="n">
        <f aca="false">IF(T230="Yes",MIN(F230,INDEX(Settings!$G:$G,MATCH(C230,Settings!$E:$E,0))),0)</f>
        <v>0</v>
      </c>
      <c r="V230" s="49" t="str">
        <f aca="false">IF(T230="Yes",SUMIFS($U$5:$U$600,$C$5:$C$600,C230,$Q$5:$Q$600,"&gt;"&amp;Q230)+U230,"")</f>
        <v/>
      </c>
      <c r="W230" s="37" t="str">
        <f aca="false">IF(T230="Yes",IF(V230&lt;=INDEX(PoolList,MATCH(C230,ProgramList,0)),"Within pool","Over pool"),"")</f>
        <v/>
      </c>
      <c r="X230" s="37" t="str">
        <f aca="false">IF(O230="Yes",COUNTIF($O$5:O230,"Yes"),"")</f>
        <v/>
      </c>
    </row>
    <row r="231" customFormat="false" ht="15" hidden="false" customHeight="false" outlineLevel="0" collapsed="false">
      <c r="A231" s="35" t="s">
        <v>645</v>
      </c>
      <c r="B231" s="35" t="s">
        <v>646</v>
      </c>
      <c r="C231" s="35" t="s">
        <v>104</v>
      </c>
      <c r="D231" s="35" t="s">
        <v>174</v>
      </c>
      <c r="E231" s="35" t="s">
        <v>175</v>
      </c>
      <c r="F231" s="42" t="n">
        <v>129500</v>
      </c>
      <c r="G231" s="36" t="n">
        <v>45914</v>
      </c>
      <c r="H231" s="35" t="s">
        <v>54</v>
      </c>
      <c r="I231" s="35" t="s">
        <v>91</v>
      </c>
      <c r="J231" s="35" t="s">
        <v>85</v>
      </c>
      <c r="K231" s="35"/>
      <c r="L231" s="48" t="n">
        <f aca="false">IFERROR(AVERAGEIFS('Score Entry'!$M$5:$M$1276,'Score Entry'!$B$5:$B$1276,A231,'Score Entry'!$E$5:$E$1276,"Primary"),"")</f>
        <v>66</v>
      </c>
      <c r="M231" s="48" t="n">
        <f aca="false">IFERROR(AVERAGEIFS('Score Entry'!$M$5:$M$1276,'Score Entry'!$B$5:$B$1276,A231,'Score Entry'!$E$5:$E$1276,"Secondary"),"")</f>
        <v>57</v>
      </c>
      <c r="N231" s="48" t="n">
        <f aca="false">IF(COUNT(L231:M231)=2,ABS(L231-M231),"")</f>
        <v>9</v>
      </c>
      <c r="O231" s="37" t="str">
        <f aca="false">IF(N231="","",IF(N231&gt;=Threshold,"Yes","No"))</f>
        <v>No</v>
      </c>
      <c r="P231" s="48" t="str">
        <f aca="false">IFERROR(AVERAGEIFS('Score Entry'!$M$5:$M$1276,'Score Entry'!$B$5:$B$1276,A231,'Score Entry'!$E$5:$E$1276,"Third"),"")</f>
        <v/>
      </c>
      <c r="Q231" s="48" t="n">
        <f aca="false">IF(H231&lt;&gt;"Eligible","",IF(O231="Yes",IF(ISNUMBER(P231),ROUND(AVERAGE(L231,M231,P231),1),""),IF(O231="No",ROUND(AVERAGE(L231:M231),1),"")))</f>
        <v>61.5</v>
      </c>
      <c r="R231" s="37" t="str">
        <f aca="false">IF(H231&lt;&gt;"Eligible","Screened out",IF(COUNT(L231:M231)=0,"Not started",IF(COUNT(L231:M231)=1,"One read done",IF(O231="Yes",IF(ISNUMBER(P231),"Complete","Needs third read"),"Complete"))))</f>
        <v>Complete</v>
      </c>
      <c r="S231" s="37" t="n">
        <f aca="false">IF(Q231="","",COUNTIFS($C$5:$C$600,C231,$Q$5:$Q$600,"&gt;"&amp;Q231)+1)</f>
        <v>71</v>
      </c>
      <c r="T231" s="37" t="str">
        <f aca="false">IF(Q231="","",IF(Q231&gt;=Cutoff,"Yes","No"))</f>
        <v>No</v>
      </c>
      <c r="U231" s="49" t="n">
        <f aca="false">IF(T231="Yes",MIN(F231,INDEX(Settings!$G:$G,MATCH(C231,Settings!$E:$E,0))),0)</f>
        <v>0</v>
      </c>
      <c r="V231" s="49" t="str">
        <f aca="false">IF(T231="Yes",SUMIFS($U$5:$U$600,$C$5:$C$600,C231,$Q$5:$Q$600,"&gt;"&amp;Q231)+U231,"")</f>
        <v/>
      </c>
      <c r="W231" s="37" t="str">
        <f aca="false">IF(T231="Yes",IF(V231&lt;=INDEX(PoolList,MATCH(C231,ProgramList,0)),"Within pool","Over pool"),"")</f>
        <v/>
      </c>
      <c r="X231" s="37" t="str">
        <f aca="false">IF(O231="Yes",COUNTIF($O$5:O231,"Yes"),"")</f>
        <v/>
      </c>
    </row>
    <row r="232" customFormat="false" ht="15" hidden="false" customHeight="false" outlineLevel="0" collapsed="false">
      <c r="A232" s="35" t="s">
        <v>647</v>
      </c>
      <c r="B232" s="35" t="s">
        <v>648</v>
      </c>
      <c r="C232" s="35" t="s">
        <v>103</v>
      </c>
      <c r="D232" s="35" t="s">
        <v>174</v>
      </c>
      <c r="E232" s="35" t="s">
        <v>175</v>
      </c>
      <c r="F232" s="42" t="n">
        <v>79500</v>
      </c>
      <c r="G232" s="36" t="n">
        <v>45918</v>
      </c>
      <c r="H232" s="35" t="s">
        <v>54</v>
      </c>
      <c r="I232" s="35" t="s">
        <v>78</v>
      </c>
      <c r="J232" s="35" t="s">
        <v>82</v>
      </c>
      <c r="K232" s="35"/>
      <c r="L232" s="48" t="n">
        <f aca="false">IFERROR(AVERAGEIFS('Score Entry'!$M$5:$M$1276,'Score Entry'!$B$5:$B$1276,A232,'Score Entry'!$E$5:$E$1276,"Primary"),"")</f>
        <v>66</v>
      </c>
      <c r="M232" s="48" t="n">
        <f aca="false">IFERROR(AVERAGEIFS('Score Entry'!$M$5:$M$1276,'Score Entry'!$B$5:$B$1276,A232,'Score Entry'!$E$5:$E$1276,"Secondary"),"")</f>
        <v>68</v>
      </c>
      <c r="N232" s="48" t="n">
        <f aca="false">IF(COUNT(L232:M232)=2,ABS(L232-M232),"")</f>
        <v>2</v>
      </c>
      <c r="O232" s="37" t="str">
        <f aca="false">IF(N232="","",IF(N232&gt;=Threshold,"Yes","No"))</f>
        <v>No</v>
      </c>
      <c r="P232" s="48" t="str">
        <f aca="false">IFERROR(AVERAGEIFS('Score Entry'!$M$5:$M$1276,'Score Entry'!$B$5:$B$1276,A232,'Score Entry'!$E$5:$E$1276,"Third"),"")</f>
        <v/>
      </c>
      <c r="Q232" s="48" t="n">
        <f aca="false">IF(H232&lt;&gt;"Eligible","",IF(O232="Yes",IF(ISNUMBER(P232),ROUND(AVERAGE(L232,M232,P232),1),""),IF(O232="No",ROUND(AVERAGE(L232:M232),1),"")))</f>
        <v>67</v>
      </c>
      <c r="R232" s="37" t="str">
        <f aca="false">IF(H232&lt;&gt;"Eligible","Screened out",IF(COUNT(L232:M232)=0,"Not started",IF(COUNT(L232:M232)=1,"One read done",IF(O232="Yes",IF(ISNUMBER(P232),"Complete","Needs third read"),"Complete"))))</f>
        <v>Complete</v>
      </c>
      <c r="S232" s="37" t="n">
        <f aca="false">IF(Q232="","",COUNTIFS($C$5:$C$600,C232,$Q$5:$Q$600,"&gt;"&amp;Q232)+1)</f>
        <v>80</v>
      </c>
      <c r="T232" s="37" t="str">
        <f aca="false">IF(Q232="","",IF(Q232&gt;=Cutoff,"Yes","No"))</f>
        <v>No</v>
      </c>
      <c r="U232" s="49" t="n">
        <f aca="false">IF(T232="Yes",MIN(F232,INDEX(Settings!$G:$G,MATCH(C232,Settings!$E:$E,0))),0)</f>
        <v>0</v>
      </c>
      <c r="V232" s="49" t="str">
        <f aca="false">IF(T232="Yes",SUMIFS($U$5:$U$600,$C$5:$C$600,C232,$Q$5:$Q$600,"&gt;"&amp;Q232)+U232,"")</f>
        <v/>
      </c>
      <c r="W232" s="37" t="str">
        <f aca="false">IF(T232="Yes",IF(V232&lt;=INDEX(PoolList,MATCH(C232,ProgramList,0)),"Within pool","Over pool"),"")</f>
        <v/>
      </c>
      <c r="X232" s="37" t="str">
        <f aca="false">IF(O232="Yes",COUNTIF($O$5:O232,"Yes"),"")</f>
        <v/>
      </c>
    </row>
    <row r="233" customFormat="false" ht="15" hidden="false" customHeight="false" outlineLevel="0" collapsed="false">
      <c r="A233" s="35" t="s">
        <v>649</v>
      </c>
      <c r="B233" s="35" t="s">
        <v>650</v>
      </c>
      <c r="C233" s="35" t="s">
        <v>103</v>
      </c>
      <c r="D233" s="35" t="s">
        <v>174</v>
      </c>
      <c r="E233" s="35" t="s">
        <v>175</v>
      </c>
      <c r="F233" s="42" t="n">
        <v>82500</v>
      </c>
      <c r="G233" s="36" t="n">
        <v>45908</v>
      </c>
      <c r="H233" s="35" t="s">
        <v>54</v>
      </c>
      <c r="I233" s="35" t="s">
        <v>78</v>
      </c>
      <c r="J233" s="35" t="s">
        <v>91</v>
      </c>
      <c r="K233" s="35"/>
      <c r="L233" s="48" t="n">
        <f aca="false">IFERROR(AVERAGEIFS('Score Entry'!$M$5:$M$1276,'Score Entry'!$B$5:$B$1276,A233,'Score Entry'!$E$5:$E$1276,"Primary"),"")</f>
        <v>69</v>
      </c>
      <c r="M233" s="48" t="str">
        <f aca="false">IFERROR(AVERAGEIFS('Score Entry'!$M$5:$M$1276,'Score Entry'!$B$5:$B$1276,A233,'Score Entry'!$E$5:$E$1276,"Secondary"),"")</f>
        <v/>
      </c>
      <c r="N233" s="48" t="str">
        <f aca="false">IF(COUNT(L233:M233)=2,ABS(L233-M233),"")</f>
        <v/>
      </c>
      <c r="O233" s="37" t="str">
        <f aca="false">IF(N233="","",IF(N233&gt;=Threshold,"Yes","No"))</f>
        <v/>
      </c>
      <c r="P233" s="48" t="str">
        <f aca="false">IFERROR(AVERAGEIFS('Score Entry'!$M$5:$M$1276,'Score Entry'!$B$5:$B$1276,A233,'Score Entry'!$E$5:$E$1276,"Third"),"")</f>
        <v/>
      </c>
      <c r="Q233" s="48" t="str">
        <f aca="false">IF(H233&lt;&gt;"Eligible","",IF(O233="Yes",IF(ISNUMBER(P233),ROUND(AVERAGE(L233,M233,P233),1),""),IF(O233="No",ROUND(AVERAGE(L233:M233),1),"")))</f>
        <v/>
      </c>
      <c r="R233" s="37" t="str">
        <f aca="false">IF(H233&lt;&gt;"Eligible","Screened out",IF(COUNT(L233:M233)=0,"Not started",IF(COUNT(L233:M233)=1,"One read done",IF(O233="Yes",IF(ISNUMBER(P233),"Complete","Needs third read"),"Complete"))))</f>
        <v>One read done</v>
      </c>
      <c r="S233" s="37" t="str">
        <f aca="false">IF(Q233="","",COUNTIFS($C$5:$C$600,C233,$Q$5:$Q$600,"&gt;"&amp;Q233)+1)</f>
        <v/>
      </c>
      <c r="T233" s="37" t="str">
        <f aca="false">IF(Q233="","",IF(Q233&gt;=Cutoff,"Yes","No"))</f>
        <v/>
      </c>
      <c r="U233" s="49" t="n">
        <f aca="false">IF(T233="Yes",MIN(F233,INDEX(Settings!$G:$G,MATCH(C233,Settings!$E:$E,0))),0)</f>
        <v>0</v>
      </c>
      <c r="V233" s="49" t="str">
        <f aca="false">IF(T233="Yes",SUMIFS($U$5:$U$600,$C$5:$C$600,C233,$Q$5:$Q$600,"&gt;"&amp;Q233)+U233,"")</f>
        <v/>
      </c>
      <c r="W233" s="37" t="str">
        <f aca="false">IF(T233="Yes",IF(V233&lt;=INDEX(PoolList,MATCH(C233,ProgramList,0)),"Within pool","Over pool"),"")</f>
        <v/>
      </c>
      <c r="X233" s="37" t="str">
        <f aca="false">IF(O233="Yes",COUNTIF($O$5:O233,"Yes"),"")</f>
        <v/>
      </c>
    </row>
    <row r="234" customFormat="false" ht="15" hidden="false" customHeight="false" outlineLevel="0" collapsed="false">
      <c r="A234" s="35" t="s">
        <v>651</v>
      </c>
      <c r="B234" s="35" t="s">
        <v>652</v>
      </c>
      <c r="C234" s="35" t="s">
        <v>103</v>
      </c>
      <c r="D234" s="35" t="s">
        <v>174</v>
      </c>
      <c r="E234" s="35" t="s">
        <v>175</v>
      </c>
      <c r="F234" s="42" t="n">
        <v>124000</v>
      </c>
      <c r="G234" s="36" t="n">
        <v>45927</v>
      </c>
      <c r="H234" s="35" t="s">
        <v>54</v>
      </c>
      <c r="I234" s="35" t="s">
        <v>85</v>
      </c>
      <c r="J234" s="35" t="s">
        <v>88</v>
      </c>
      <c r="K234" s="35"/>
      <c r="L234" s="48" t="n">
        <f aca="false">IFERROR(AVERAGEIFS('Score Entry'!$M$5:$M$1276,'Score Entry'!$B$5:$B$1276,A234,'Score Entry'!$E$5:$E$1276,"Primary"),"")</f>
        <v>46</v>
      </c>
      <c r="M234" s="48" t="n">
        <f aca="false">IFERROR(AVERAGEIFS('Score Entry'!$M$5:$M$1276,'Score Entry'!$B$5:$B$1276,A234,'Score Entry'!$E$5:$E$1276,"Secondary"),"")</f>
        <v>44</v>
      </c>
      <c r="N234" s="48" t="n">
        <f aca="false">IF(COUNT(L234:M234)=2,ABS(L234-M234),"")</f>
        <v>2</v>
      </c>
      <c r="O234" s="37" t="str">
        <f aca="false">IF(N234="","",IF(N234&gt;=Threshold,"Yes","No"))</f>
        <v>No</v>
      </c>
      <c r="P234" s="48" t="str">
        <f aca="false">IFERROR(AVERAGEIFS('Score Entry'!$M$5:$M$1276,'Score Entry'!$B$5:$B$1276,A234,'Score Entry'!$E$5:$E$1276,"Third"),"")</f>
        <v/>
      </c>
      <c r="Q234" s="48" t="n">
        <f aca="false">IF(H234&lt;&gt;"Eligible","",IF(O234="Yes",IF(ISNUMBER(P234),ROUND(AVERAGE(L234,M234,P234),1),""),IF(O234="No",ROUND(AVERAGE(L234:M234),1),"")))</f>
        <v>45</v>
      </c>
      <c r="R234" s="37" t="str">
        <f aca="false">IF(H234&lt;&gt;"Eligible","Screened out",IF(COUNT(L234:M234)=0,"Not started",IF(COUNT(L234:M234)=1,"One read done",IF(O234="Yes",IF(ISNUMBER(P234),"Complete","Needs third read"),"Complete"))))</f>
        <v>Complete</v>
      </c>
      <c r="S234" s="37" t="n">
        <f aca="false">IF(Q234="","",COUNTIFS($C$5:$C$600,C234,$Q$5:$Q$600,"&gt;"&amp;Q234)+1)</f>
        <v>157</v>
      </c>
      <c r="T234" s="37" t="str">
        <f aca="false">IF(Q234="","",IF(Q234&gt;=Cutoff,"Yes","No"))</f>
        <v>No</v>
      </c>
      <c r="U234" s="49" t="n">
        <f aca="false">IF(T234="Yes",MIN(F234,INDEX(Settings!$G:$G,MATCH(C234,Settings!$E:$E,0))),0)</f>
        <v>0</v>
      </c>
      <c r="V234" s="49" t="str">
        <f aca="false">IF(T234="Yes",SUMIFS($U$5:$U$600,$C$5:$C$600,C234,$Q$5:$Q$600,"&gt;"&amp;Q234)+U234,"")</f>
        <v/>
      </c>
      <c r="W234" s="37" t="str">
        <f aca="false">IF(T234="Yes",IF(V234&lt;=INDEX(PoolList,MATCH(C234,ProgramList,0)),"Within pool","Over pool"),"")</f>
        <v/>
      </c>
      <c r="X234" s="37" t="str">
        <f aca="false">IF(O234="Yes",COUNTIF($O$5:O234,"Yes"),"")</f>
        <v/>
      </c>
    </row>
    <row r="235" customFormat="false" ht="15" hidden="false" customHeight="false" outlineLevel="0" collapsed="false">
      <c r="A235" s="35" t="s">
        <v>653</v>
      </c>
      <c r="B235" s="35" t="s">
        <v>654</v>
      </c>
      <c r="C235" s="35" t="s">
        <v>105</v>
      </c>
      <c r="D235" s="35" t="s">
        <v>174</v>
      </c>
      <c r="E235" s="35" t="s">
        <v>175</v>
      </c>
      <c r="F235" s="42" t="n">
        <v>77000</v>
      </c>
      <c r="G235" s="36" t="n">
        <v>45919</v>
      </c>
      <c r="H235" s="35" t="s">
        <v>96</v>
      </c>
      <c r="I235" s="35"/>
      <c r="J235" s="35"/>
      <c r="K235" s="35"/>
      <c r="L235" s="48" t="str">
        <f aca="false">IFERROR(AVERAGEIFS('Score Entry'!$M$5:$M$1276,'Score Entry'!$B$5:$B$1276,A235,'Score Entry'!$E$5:$E$1276,"Primary"),"")</f>
        <v/>
      </c>
      <c r="M235" s="48" t="str">
        <f aca="false">IFERROR(AVERAGEIFS('Score Entry'!$M$5:$M$1276,'Score Entry'!$B$5:$B$1276,A235,'Score Entry'!$E$5:$E$1276,"Secondary"),"")</f>
        <v/>
      </c>
      <c r="N235" s="48" t="str">
        <f aca="false">IF(COUNT(L235:M235)=2,ABS(L235-M235),"")</f>
        <v/>
      </c>
      <c r="O235" s="37" t="str">
        <f aca="false">IF(N235="","",IF(N235&gt;=Threshold,"Yes","No"))</f>
        <v/>
      </c>
      <c r="P235" s="48" t="str">
        <f aca="false">IFERROR(AVERAGEIFS('Score Entry'!$M$5:$M$1276,'Score Entry'!$B$5:$B$1276,A235,'Score Entry'!$E$5:$E$1276,"Third"),"")</f>
        <v/>
      </c>
      <c r="Q235" s="48" t="str">
        <f aca="false">IF(H235&lt;&gt;"Eligible","",IF(O235="Yes",IF(ISNUMBER(P235),ROUND(AVERAGE(L235,M235,P235),1),""),IF(O235="No",ROUND(AVERAGE(L235:M235),1),"")))</f>
        <v/>
      </c>
      <c r="R235" s="37" t="str">
        <f aca="false">IF(H235&lt;&gt;"Eligible","Screened out",IF(COUNT(L235:M235)=0,"Not started",IF(COUNT(L235:M235)=1,"One read done",IF(O235="Yes",IF(ISNUMBER(P235),"Complete","Needs third read"),"Complete"))))</f>
        <v>Screened out</v>
      </c>
      <c r="S235" s="37" t="str">
        <f aca="false">IF(Q235="","",COUNTIFS($C$5:$C$600,C235,$Q$5:$Q$600,"&gt;"&amp;Q235)+1)</f>
        <v/>
      </c>
      <c r="T235" s="37" t="str">
        <f aca="false">IF(Q235="","",IF(Q235&gt;=Cutoff,"Yes","No"))</f>
        <v/>
      </c>
      <c r="U235" s="49" t="n">
        <f aca="false">IF(T235="Yes",MIN(F235,INDEX(Settings!$G:$G,MATCH(C235,Settings!$E:$E,0))),0)</f>
        <v>0</v>
      </c>
      <c r="V235" s="49" t="str">
        <f aca="false">IF(T235="Yes",SUMIFS($U$5:$U$600,$C$5:$C$600,C235,$Q$5:$Q$600,"&gt;"&amp;Q235)+U235,"")</f>
        <v/>
      </c>
      <c r="W235" s="37" t="str">
        <f aca="false">IF(T235="Yes",IF(V235&lt;=INDEX(PoolList,MATCH(C235,ProgramList,0)),"Within pool","Over pool"),"")</f>
        <v/>
      </c>
      <c r="X235" s="37" t="str">
        <f aca="false">IF(O235="Yes",COUNTIF($O$5:O235,"Yes"),"")</f>
        <v/>
      </c>
    </row>
    <row r="236" customFormat="false" ht="15" hidden="false" customHeight="false" outlineLevel="0" collapsed="false">
      <c r="A236" s="35" t="s">
        <v>655</v>
      </c>
      <c r="B236" s="35" t="s">
        <v>656</v>
      </c>
      <c r="C236" s="35" t="s">
        <v>103</v>
      </c>
      <c r="D236" s="35" t="s">
        <v>174</v>
      </c>
      <c r="E236" s="35" t="s">
        <v>175</v>
      </c>
      <c r="F236" s="42" t="n">
        <v>151000</v>
      </c>
      <c r="G236" s="36" t="n">
        <v>45915</v>
      </c>
      <c r="H236" s="35" t="s">
        <v>54</v>
      </c>
      <c r="I236" s="35" t="s">
        <v>82</v>
      </c>
      <c r="J236" s="35" t="s">
        <v>94</v>
      </c>
      <c r="K236" s="35"/>
      <c r="L236" s="48" t="n">
        <f aca="false">IFERROR(AVERAGEIFS('Score Entry'!$M$5:$M$1276,'Score Entry'!$B$5:$B$1276,A236,'Score Entry'!$E$5:$E$1276,"Primary"),"")</f>
        <v>78</v>
      </c>
      <c r="M236" s="48" t="n">
        <f aca="false">IFERROR(AVERAGEIFS('Score Entry'!$M$5:$M$1276,'Score Entry'!$B$5:$B$1276,A236,'Score Entry'!$E$5:$E$1276,"Secondary"),"")</f>
        <v>76</v>
      </c>
      <c r="N236" s="48" t="n">
        <f aca="false">IF(COUNT(L236:M236)=2,ABS(L236-M236),"")</f>
        <v>2</v>
      </c>
      <c r="O236" s="37" t="str">
        <f aca="false">IF(N236="","",IF(N236&gt;=Threshold,"Yes","No"))</f>
        <v>No</v>
      </c>
      <c r="P236" s="48" t="str">
        <f aca="false">IFERROR(AVERAGEIFS('Score Entry'!$M$5:$M$1276,'Score Entry'!$B$5:$B$1276,A236,'Score Entry'!$E$5:$E$1276,"Third"),"")</f>
        <v/>
      </c>
      <c r="Q236" s="48" t="n">
        <f aca="false">IF(H236&lt;&gt;"Eligible","",IF(O236="Yes",IF(ISNUMBER(P236),ROUND(AVERAGE(L236,M236,P236),1),""),IF(O236="No",ROUND(AVERAGE(L236:M236),1),"")))</f>
        <v>77</v>
      </c>
      <c r="R236" s="37" t="str">
        <f aca="false">IF(H236&lt;&gt;"Eligible","Screened out",IF(COUNT(L236:M236)=0,"Not started",IF(COUNT(L236:M236)=1,"One read done",IF(O236="Yes",IF(ISNUMBER(P236),"Complete","Needs third read"),"Complete"))))</f>
        <v>Complete</v>
      </c>
      <c r="S236" s="37" t="n">
        <f aca="false">IF(Q236="","",COUNTIFS($C$5:$C$600,C236,$Q$5:$Q$600,"&gt;"&amp;Q236)+1)</f>
        <v>29</v>
      </c>
      <c r="T236" s="37" t="str">
        <f aca="false">IF(Q236="","",IF(Q236&gt;=Cutoff,"Yes","No"))</f>
        <v>No</v>
      </c>
      <c r="U236" s="49" t="n">
        <f aca="false">IF(T236="Yes",MIN(F236,INDEX(Settings!$G:$G,MATCH(C236,Settings!$E:$E,0))),0)</f>
        <v>0</v>
      </c>
      <c r="V236" s="49" t="str">
        <f aca="false">IF(T236="Yes",SUMIFS($U$5:$U$600,$C$5:$C$600,C236,$Q$5:$Q$600,"&gt;"&amp;Q236)+U236,"")</f>
        <v/>
      </c>
      <c r="W236" s="37" t="str">
        <f aca="false">IF(T236="Yes",IF(V236&lt;=INDEX(PoolList,MATCH(C236,ProgramList,0)),"Within pool","Over pool"),"")</f>
        <v/>
      </c>
      <c r="X236" s="37" t="str">
        <f aca="false">IF(O236="Yes",COUNTIF($O$5:O236,"Yes"),"")</f>
        <v/>
      </c>
    </row>
    <row r="237" customFormat="false" ht="15" hidden="false" customHeight="false" outlineLevel="0" collapsed="false">
      <c r="A237" s="35" t="s">
        <v>657</v>
      </c>
      <c r="B237" s="35" t="s">
        <v>658</v>
      </c>
      <c r="C237" s="35" t="s">
        <v>104</v>
      </c>
      <c r="D237" s="35" t="s">
        <v>174</v>
      </c>
      <c r="E237" s="35" t="s">
        <v>175</v>
      </c>
      <c r="F237" s="42" t="n">
        <v>123000</v>
      </c>
      <c r="G237" s="36" t="n">
        <v>45922</v>
      </c>
      <c r="H237" s="35" t="s">
        <v>54</v>
      </c>
      <c r="I237" s="35" t="s">
        <v>78</v>
      </c>
      <c r="J237" s="35" t="s">
        <v>82</v>
      </c>
      <c r="K237" s="35"/>
      <c r="L237" s="48" t="n">
        <f aca="false">IFERROR(AVERAGEIFS('Score Entry'!$M$5:$M$1276,'Score Entry'!$B$5:$B$1276,A237,'Score Entry'!$E$5:$E$1276,"Primary"),"")</f>
        <v>73</v>
      </c>
      <c r="M237" s="48" t="str">
        <f aca="false">IFERROR(AVERAGEIFS('Score Entry'!$M$5:$M$1276,'Score Entry'!$B$5:$B$1276,A237,'Score Entry'!$E$5:$E$1276,"Secondary"),"")</f>
        <v/>
      </c>
      <c r="N237" s="48" t="str">
        <f aca="false">IF(COUNT(L237:M237)=2,ABS(L237-M237),"")</f>
        <v/>
      </c>
      <c r="O237" s="37" t="str">
        <f aca="false">IF(N237="","",IF(N237&gt;=Threshold,"Yes","No"))</f>
        <v/>
      </c>
      <c r="P237" s="48" t="str">
        <f aca="false">IFERROR(AVERAGEIFS('Score Entry'!$M$5:$M$1276,'Score Entry'!$B$5:$B$1276,A237,'Score Entry'!$E$5:$E$1276,"Third"),"")</f>
        <v/>
      </c>
      <c r="Q237" s="48" t="str">
        <f aca="false">IF(H237&lt;&gt;"Eligible","",IF(O237="Yes",IF(ISNUMBER(P237),ROUND(AVERAGE(L237,M237,P237),1),""),IF(O237="No",ROUND(AVERAGE(L237:M237),1),"")))</f>
        <v/>
      </c>
      <c r="R237" s="37" t="str">
        <f aca="false">IF(H237&lt;&gt;"Eligible","Screened out",IF(COUNT(L237:M237)=0,"Not started",IF(COUNT(L237:M237)=1,"One read done",IF(O237="Yes",IF(ISNUMBER(P237),"Complete","Needs third read"),"Complete"))))</f>
        <v>One read done</v>
      </c>
      <c r="S237" s="37" t="str">
        <f aca="false">IF(Q237="","",COUNTIFS($C$5:$C$600,C237,$Q$5:$Q$600,"&gt;"&amp;Q237)+1)</f>
        <v/>
      </c>
      <c r="T237" s="37" t="str">
        <f aca="false">IF(Q237="","",IF(Q237&gt;=Cutoff,"Yes","No"))</f>
        <v/>
      </c>
      <c r="U237" s="49" t="n">
        <f aca="false">IF(T237="Yes",MIN(F237,INDEX(Settings!$G:$G,MATCH(C237,Settings!$E:$E,0))),0)</f>
        <v>0</v>
      </c>
      <c r="V237" s="49" t="str">
        <f aca="false">IF(T237="Yes",SUMIFS($U$5:$U$600,$C$5:$C$600,C237,$Q$5:$Q$600,"&gt;"&amp;Q237)+U237,"")</f>
        <v/>
      </c>
      <c r="W237" s="37" t="str">
        <f aca="false">IF(T237="Yes",IF(V237&lt;=INDEX(PoolList,MATCH(C237,ProgramList,0)),"Within pool","Over pool"),"")</f>
        <v/>
      </c>
      <c r="X237" s="37" t="str">
        <f aca="false">IF(O237="Yes",COUNTIF($O$5:O237,"Yes"),"")</f>
        <v/>
      </c>
    </row>
    <row r="238" customFormat="false" ht="15" hidden="false" customHeight="false" outlineLevel="0" collapsed="false">
      <c r="A238" s="35" t="s">
        <v>659</v>
      </c>
      <c r="B238" s="35" t="s">
        <v>660</v>
      </c>
      <c r="C238" s="35" t="s">
        <v>105</v>
      </c>
      <c r="D238" s="35" t="s">
        <v>174</v>
      </c>
      <c r="E238" s="35" t="s">
        <v>175</v>
      </c>
      <c r="F238" s="42" t="n">
        <v>104000</v>
      </c>
      <c r="G238" s="36" t="n">
        <v>45913</v>
      </c>
      <c r="H238" s="35" t="s">
        <v>54</v>
      </c>
      <c r="I238" s="35" t="s">
        <v>91</v>
      </c>
      <c r="J238" s="35" t="s">
        <v>88</v>
      </c>
      <c r="K238" s="35"/>
      <c r="L238" s="48" t="n">
        <f aca="false">IFERROR(AVERAGEIFS('Score Entry'!$M$5:$M$1276,'Score Entry'!$B$5:$B$1276,A238,'Score Entry'!$E$5:$E$1276,"Primary"),"")</f>
        <v>58</v>
      </c>
      <c r="M238" s="48" t="n">
        <f aca="false">IFERROR(AVERAGEIFS('Score Entry'!$M$5:$M$1276,'Score Entry'!$B$5:$B$1276,A238,'Score Entry'!$E$5:$E$1276,"Secondary"),"")</f>
        <v>70</v>
      </c>
      <c r="N238" s="48" t="n">
        <f aca="false">IF(COUNT(L238:M238)=2,ABS(L238-M238),"")</f>
        <v>12</v>
      </c>
      <c r="O238" s="37" t="str">
        <f aca="false">IF(N238="","",IF(N238&gt;=Threshold,"Yes","No"))</f>
        <v>No</v>
      </c>
      <c r="P238" s="48" t="str">
        <f aca="false">IFERROR(AVERAGEIFS('Score Entry'!$M$5:$M$1276,'Score Entry'!$B$5:$B$1276,A238,'Score Entry'!$E$5:$E$1276,"Third"),"")</f>
        <v/>
      </c>
      <c r="Q238" s="48" t="n">
        <f aca="false">IF(H238&lt;&gt;"Eligible","",IF(O238="Yes",IF(ISNUMBER(P238),ROUND(AVERAGE(L238,M238,P238),1),""),IF(O238="No",ROUND(AVERAGE(L238:M238),1),"")))</f>
        <v>64</v>
      </c>
      <c r="R238" s="37" t="str">
        <f aca="false">IF(H238&lt;&gt;"Eligible","Screened out",IF(COUNT(L238:M238)=0,"Not started",IF(COUNT(L238:M238)=1,"One read done",IF(O238="Yes",IF(ISNUMBER(P238),"Complete","Needs third read"),"Complete"))))</f>
        <v>Complete</v>
      </c>
      <c r="S238" s="37" t="n">
        <f aca="false">IF(Q238="","",COUNTIFS($C$5:$C$600,C238,$Q$5:$Q$600,"&gt;"&amp;Q238)+1)</f>
        <v>62</v>
      </c>
      <c r="T238" s="37" t="str">
        <f aca="false">IF(Q238="","",IF(Q238&gt;=Cutoff,"Yes","No"))</f>
        <v>No</v>
      </c>
      <c r="U238" s="49" t="n">
        <f aca="false">IF(T238="Yes",MIN(F238,INDEX(Settings!$G:$G,MATCH(C238,Settings!$E:$E,0))),0)</f>
        <v>0</v>
      </c>
      <c r="V238" s="49" t="str">
        <f aca="false">IF(T238="Yes",SUMIFS($U$5:$U$600,$C$5:$C$600,C238,$Q$5:$Q$600,"&gt;"&amp;Q238)+U238,"")</f>
        <v/>
      </c>
      <c r="W238" s="37" t="str">
        <f aca="false">IF(T238="Yes",IF(V238&lt;=INDEX(PoolList,MATCH(C238,ProgramList,0)),"Within pool","Over pool"),"")</f>
        <v/>
      </c>
      <c r="X238" s="37" t="str">
        <f aca="false">IF(O238="Yes",COUNTIF($O$5:O238,"Yes"),"")</f>
        <v/>
      </c>
    </row>
    <row r="239" customFormat="false" ht="15" hidden="false" customHeight="false" outlineLevel="0" collapsed="false">
      <c r="A239" s="35" t="s">
        <v>661</v>
      </c>
      <c r="B239" s="35" t="s">
        <v>662</v>
      </c>
      <c r="C239" s="35" t="s">
        <v>106</v>
      </c>
      <c r="D239" s="35" t="s">
        <v>174</v>
      </c>
      <c r="E239" s="35" t="s">
        <v>232</v>
      </c>
      <c r="F239" s="42" t="n">
        <v>144500</v>
      </c>
      <c r="G239" s="36" t="n">
        <v>45927</v>
      </c>
      <c r="H239" s="35" t="s">
        <v>54</v>
      </c>
      <c r="I239" s="35" t="s">
        <v>85</v>
      </c>
      <c r="J239" s="35" t="s">
        <v>78</v>
      </c>
      <c r="K239" s="35"/>
      <c r="L239" s="48" t="n">
        <f aca="false">IFERROR(AVERAGEIFS('Score Entry'!$M$5:$M$1276,'Score Entry'!$B$5:$B$1276,A239,'Score Entry'!$E$5:$E$1276,"Primary"),"")</f>
        <v>59</v>
      </c>
      <c r="M239" s="48" t="n">
        <f aca="false">IFERROR(AVERAGEIFS('Score Entry'!$M$5:$M$1276,'Score Entry'!$B$5:$B$1276,A239,'Score Entry'!$E$5:$E$1276,"Secondary"),"")</f>
        <v>69</v>
      </c>
      <c r="N239" s="48" t="n">
        <f aca="false">IF(COUNT(L239:M239)=2,ABS(L239-M239),"")</f>
        <v>10</v>
      </c>
      <c r="O239" s="37" t="str">
        <f aca="false">IF(N239="","",IF(N239&gt;=Threshold,"Yes","No"))</f>
        <v>No</v>
      </c>
      <c r="P239" s="48" t="str">
        <f aca="false">IFERROR(AVERAGEIFS('Score Entry'!$M$5:$M$1276,'Score Entry'!$B$5:$B$1276,A239,'Score Entry'!$E$5:$E$1276,"Third"),"")</f>
        <v/>
      </c>
      <c r="Q239" s="48" t="n">
        <f aca="false">IF(H239&lt;&gt;"Eligible","",IF(O239="Yes",IF(ISNUMBER(P239),ROUND(AVERAGE(L239,M239,P239),1),""),IF(O239="No",ROUND(AVERAGE(L239:M239),1),"")))</f>
        <v>64</v>
      </c>
      <c r="R239" s="37" t="str">
        <f aca="false">IF(H239&lt;&gt;"Eligible","Screened out",IF(COUNT(L239:M239)=0,"Not started",IF(COUNT(L239:M239)=1,"One read done",IF(O239="Yes",IF(ISNUMBER(P239),"Complete","Needs third read"),"Complete"))))</f>
        <v>Complete</v>
      </c>
      <c r="S239" s="37" t="n">
        <f aca="false">IF(Q239="","",COUNTIFS($C$5:$C$600,C239,$Q$5:$Q$600,"&gt;"&amp;Q239)+1)</f>
        <v>74</v>
      </c>
      <c r="T239" s="37" t="str">
        <f aca="false">IF(Q239="","",IF(Q239&gt;=Cutoff,"Yes","No"))</f>
        <v>No</v>
      </c>
      <c r="U239" s="49" t="n">
        <f aca="false">IF(T239="Yes",MIN(F239,INDEX(Settings!$G:$G,MATCH(C239,Settings!$E:$E,0))),0)</f>
        <v>0</v>
      </c>
      <c r="V239" s="49" t="str">
        <f aca="false">IF(T239="Yes",SUMIFS($U$5:$U$600,$C$5:$C$600,C239,$Q$5:$Q$600,"&gt;"&amp;Q239)+U239,"")</f>
        <v/>
      </c>
      <c r="W239" s="37" t="str">
        <f aca="false">IF(T239="Yes",IF(V239&lt;=INDEX(PoolList,MATCH(C239,ProgramList,0)),"Within pool","Over pool"),"")</f>
        <v/>
      </c>
      <c r="X239" s="37" t="str">
        <f aca="false">IF(O239="Yes",COUNTIF($O$5:O239,"Yes"),"")</f>
        <v/>
      </c>
    </row>
    <row r="240" customFormat="false" ht="15" hidden="false" customHeight="false" outlineLevel="0" collapsed="false">
      <c r="A240" s="35" t="s">
        <v>663</v>
      </c>
      <c r="B240" s="35" t="s">
        <v>664</v>
      </c>
      <c r="C240" s="35" t="s">
        <v>103</v>
      </c>
      <c r="D240" s="35" t="s">
        <v>174</v>
      </c>
      <c r="E240" s="35" t="s">
        <v>175</v>
      </c>
      <c r="F240" s="42" t="n">
        <v>68500</v>
      </c>
      <c r="G240" s="36" t="n">
        <v>45922</v>
      </c>
      <c r="H240" s="35" t="s">
        <v>54</v>
      </c>
      <c r="I240" s="35" t="s">
        <v>85</v>
      </c>
      <c r="J240" s="35" t="s">
        <v>91</v>
      </c>
      <c r="K240" s="35"/>
      <c r="L240" s="48" t="n">
        <f aca="false">IFERROR(AVERAGEIFS('Score Entry'!$M$5:$M$1276,'Score Entry'!$B$5:$B$1276,A240,'Score Entry'!$E$5:$E$1276,"Primary"),"")</f>
        <v>80</v>
      </c>
      <c r="M240" s="48" t="n">
        <f aca="false">IFERROR(AVERAGEIFS('Score Entry'!$M$5:$M$1276,'Score Entry'!$B$5:$B$1276,A240,'Score Entry'!$E$5:$E$1276,"Secondary"),"")</f>
        <v>80</v>
      </c>
      <c r="N240" s="48" t="n">
        <f aca="false">IF(COUNT(L240:M240)=2,ABS(L240-M240),"")</f>
        <v>0</v>
      </c>
      <c r="O240" s="37" t="str">
        <f aca="false">IF(N240="","",IF(N240&gt;=Threshold,"Yes","No"))</f>
        <v>No</v>
      </c>
      <c r="P240" s="48" t="str">
        <f aca="false">IFERROR(AVERAGEIFS('Score Entry'!$M$5:$M$1276,'Score Entry'!$B$5:$B$1276,A240,'Score Entry'!$E$5:$E$1276,"Third"),"")</f>
        <v/>
      </c>
      <c r="Q240" s="48" t="n">
        <f aca="false">IF(H240&lt;&gt;"Eligible","",IF(O240="Yes",IF(ISNUMBER(P240),ROUND(AVERAGE(L240,M240,P240),1),""),IF(O240="No",ROUND(AVERAGE(L240:M240),1),"")))</f>
        <v>80</v>
      </c>
      <c r="R240" s="37" t="str">
        <f aca="false">IF(H240&lt;&gt;"Eligible","Screened out",IF(COUNT(L240:M240)=0,"Not started",IF(COUNT(L240:M240)=1,"One read done",IF(O240="Yes",IF(ISNUMBER(P240),"Complete","Needs third read"),"Complete"))))</f>
        <v>Complete</v>
      </c>
      <c r="S240" s="37" t="n">
        <f aca="false">IF(Q240="","",COUNTIFS($C$5:$C$600,C240,$Q$5:$Q$600,"&gt;"&amp;Q240)+1)</f>
        <v>22</v>
      </c>
      <c r="T240" s="37" t="str">
        <f aca="false">IF(Q240="","",IF(Q240&gt;=Cutoff,"Yes","No"))</f>
        <v>No</v>
      </c>
      <c r="U240" s="49" t="n">
        <f aca="false">IF(T240="Yes",MIN(F240,INDEX(Settings!$G:$G,MATCH(C240,Settings!$E:$E,0))),0)</f>
        <v>0</v>
      </c>
      <c r="V240" s="49" t="str">
        <f aca="false">IF(T240="Yes",SUMIFS($U$5:$U$600,$C$5:$C$600,C240,$Q$5:$Q$600,"&gt;"&amp;Q240)+U240,"")</f>
        <v/>
      </c>
      <c r="W240" s="37" t="str">
        <f aca="false">IF(T240="Yes",IF(V240&lt;=INDEX(PoolList,MATCH(C240,ProgramList,0)),"Within pool","Over pool"),"")</f>
        <v/>
      </c>
      <c r="X240" s="37" t="str">
        <f aca="false">IF(O240="Yes",COUNTIF($O$5:O240,"Yes"),"")</f>
        <v/>
      </c>
    </row>
    <row r="241" customFormat="false" ht="15" hidden="false" customHeight="false" outlineLevel="0" collapsed="false">
      <c r="A241" s="35" t="s">
        <v>665</v>
      </c>
      <c r="B241" s="35" t="s">
        <v>666</v>
      </c>
      <c r="C241" s="35" t="s">
        <v>103</v>
      </c>
      <c r="D241" s="35" t="s">
        <v>174</v>
      </c>
      <c r="E241" s="35" t="s">
        <v>232</v>
      </c>
      <c r="F241" s="42" t="n">
        <v>40500</v>
      </c>
      <c r="G241" s="36" t="n">
        <v>45909</v>
      </c>
      <c r="H241" s="35" t="s">
        <v>54</v>
      </c>
      <c r="I241" s="35" t="s">
        <v>94</v>
      </c>
      <c r="J241" s="35" t="s">
        <v>82</v>
      </c>
      <c r="K241" s="35"/>
      <c r="L241" s="48" t="n">
        <f aca="false">IFERROR(AVERAGEIFS('Score Entry'!$M$5:$M$1276,'Score Entry'!$B$5:$B$1276,A241,'Score Entry'!$E$5:$E$1276,"Primary"),"")</f>
        <v>80</v>
      </c>
      <c r="M241" s="48" t="n">
        <f aca="false">IFERROR(AVERAGEIFS('Score Entry'!$M$5:$M$1276,'Score Entry'!$B$5:$B$1276,A241,'Score Entry'!$E$5:$E$1276,"Secondary"),"")</f>
        <v>65</v>
      </c>
      <c r="N241" s="48" t="n">
        <f aca="false">IF(COUNT(L241:M241)=2,ABS(L241-M241),"")</f>
        <v>15</v>
      </c>
      <c r="O241" s="37" t="str">
        <f aca="false">IF(N241="","",IF(N241&gt;=Threshold,"Yes","No"))</f>
        <v>No</v>
      </c>
      <c r="P241" s="48" t="str">
        <f aca="false">IFERROR(AVERAGEIFS('Score Entry'!$M$5:$M$1276,'Score Entry'!$B$5:$B$1276,A241,'Score Entry'!$E$5:$E$1276,"Third"),"")</f>
        <v/>
      </c>
      <c r="Q241" s="48" t="n">
        <f aca="false">IF(H241&lt;&gt;"Eligible","",IF(O241="Yes",IF(ISNUMBER(P241),ROUND(AVERAGE(L241,M241,P241),1),""),IF(O241="No",ROUND(AVERAGE(L241:M241),1),"")))</f>
        <v>72.5</v>
      </c>
      <c r="R241" s="37" t="str">
        <f aca="false">IF(H241&lt;&gt;"Eligible","Screened out",IF(COUNT(L241:M241)=0,"Not started",IF(COUNT(L241:M241)=1,"One read done",IF(O241="Yes",IF(ISNUMBER(P241),"Complete","Needs third read"),"Complete"))))</f>
        <v>Complete</v>
      </c>
      <c r="S241" s="37" t="n">
        <f aca="false">IF(Q241="","",COUNTIFS($C$5:$C$600,C241,$Q$5:$Q$600,"&gt;"&amp;Q241)+1)</f>
        <v>53</v>
      </c>
      <c r="T241" s="37" t="str">
        <f aca="false">IF(Q241="","",IF(Q241&gt;=Cutoff,"Yes","No"))</f>
        <v>No</v>
      </c>
      <c r="U241" s="49" t="n">
        <f aca="false">IF(T241="Yes",MIN(F241,INDEX(Settings!$G:$G,MATCH(C241,Settings!$E:$E,0))),0)</f>
        <v>0</v>
      </c>
      <c r="V241" s="49" t="str">
        <f aca="false">IF(T241="Yes",SUMIFS($U$5:$U$600,$C$5:$C$600,C241,$Q$5:$Q$600,"&gt;"&amp;Q241)+U241,"")</f>
        <v/>
      </c>
      <c r="W241" s="37" t="str">
        <f aca="false">IF(T241="Yes",IF(V241&lt;=INDEX(PoolList,MATCH(C241,ProgramList,0)),"Within pool","Over pool"),"")</f>
        <v/>
      </c>
      <c r="X241" s="37" t="str">
        <f aca="false">IF(O241="Yes",COUNTIF($O$5:O241,"Yes"),"")</f>
        <v/>
      </c>
    </row>
    <row r="242" customFormat="false" ht="15" hidden="false" customHeight="false" outlineLevel="0" collapsed="false">
      <c r="A242" s="35" t="s">
        <v>667</v>
      </c>
      <c r="B242" s="35" t="s">
        <v>668</v>
      </c>
      <c r="C242" s="35" t="s">
        <v>106</v>
      </c>
      <c r="D242" s="35" t="s">
        <v>239</v>
      </c>
      <c r="E242" s="35" t="s">
        <v>240</v>
      </c>
      <c r="F242" s="42" t="n">
        <v>35000</v>
      </c>
      <c r="G242" s="36" t="n">
        <v>45921</v>
      </c>
      <c r="H242" s="35" t="s">
        <v>54</v>
      </c>
      <c r="I242" s="35" t="s">
        <v>88</v>
      </c>
      <c r="J242" s="35" t="s">
        <v>85</v>
      </c>
      <c r="K242" s="35"/>
      <c r="L242" s="48" t="n">
        <f aca="false">IFERROR(AVERAGEIFS('Score Entry'!$M$5:$M$1276,'Score Entry'!$B$5:$B$1276,A242,'Score Entry'!$E$5:$E$1276,"Primary"),"")</f>
        <v>68</v>
      </c>
      <c r="M242" s="48" t="n">
        <f aca="false">IFERROR(AVERAGEIFS('Score Entry'!$M$5:$M$1276,'Score Entry'!$B$5:$B$1276,A242,'Score Entry'!$E$5:$E$1276,"Secondary"),"")</f>
        <v>65</v>
      </c>
      <c r="N242" s="48" t="n">
        <f aca="false">IF(COUNT(L242:M242)=2,ABS(L242-M242),"")</f>
        <v>3</v>
      </c>
      <c r="O242" s="37" t="str">
        <f aca="false">IF(N242="","",IF(N242&gt;=Threshold,"Yes","No"))</f>
        <v>No</v>
      </c>
      <c r="P242" s="48" t="str">
        <f aca="false">IFERROR(AVERAGEIFS('Score Entry'!$M$5:$M$1276,'Score Entry'!$B$5:$B$1276,A242,'Score Entry'!$E$5:$E$1276,"Third"),"")</f>
        <v/>
      </c>
      <c r="Q242" s="48" t="n">
        <f aca="false">IF(H242&lt;&gt;"Eligible","",IF(O242="Yes",IF(ISNUMBER(P242),ROUND(AVERAGE(L242,M242,P242),1),""),IF(O242="No",ROUND(AVERAGE(L242:M242),1),"")))</f>
        <v>66.5</v>
      </c>
      <c r="R242" s="37" t="str">
        <f aca="false">IF(H242&lt;&gt;"Eligible","Screened out",IF(COUNT(L242:M242)=0,"Not started",IF(COUNT(L242:M242)=1,"One read done",IF(O242="Yes",IF(ISNUMBER(P242),"Complete","Needs third read"),"Complete"))))</f>
        <v>Complete</v>
      </c>
      <c r="S242" s="37" t="n">
        <f aca="false">IF(Q242="","",COUNTIFS($C$5:$C$600,C242,$Q$5:$Q$600,"&gt;"&amp;Q242)+1)</f>
        <v>66</v>
      </c>
      <c r="T242" s="37" t="str">
        <f aca="false">IF(Q242="","",IF(Q242&gt;=Cutoff,"Yes","No"))</f>
        <v>No</v>
      </c>
      <c r="U242" s="49" t="n">
        <f aca="false">IF(T242="Yes",MIN(F242,INDEX(Settings!$G:$G,MATCH(C242,Settings!$E:$E,0))),0)</f>
        <v>0</v>
      </c>
      <c r="V242" s="49" t="str">
        <f aca="false">IF(T242="Yes",SUMIFS($U$5:$U$600,$C$5:$C$600,C242,$Q$5:$Q$600,"&gt;"&amp;Q242)+U242,"")</f>
        <v/>
      </c>
      <c r="W242" s="37" t="str">
        <f aca="false">IF(T242="Yes",IF(V242&lt;=INDEX(PoolList,MATCH(C242,ProgramList,0)),"Within pool","Over pool"),"")</f>
        <v/>
      </c>
      <c r="X242" s="37" t="str">
        <f aca="false">IF(O242="Yes",COUNTIF($O$5:O242,"Yes"),"")</f>
        <v/>
      </c>
    </row>
    <row r="243" customFormat="false" ht="15" hidden="false" customHeight="false" outlineLevel="0" collapsed="false">
      <c r="A243" s="35" t="s">
        <v>669</v>
      </c>
      <c r="B243" s="35" t="s">
        <v>670</v>
      </c>
      <c r="C243" s="35" t="s">
        <v>103</v>
      </c>
      <c r="D243" s="35" t="s">
        <v>174</v>
      </c>
      <c r="E243" s="35" t="s">
        <v>175</v>
      </c>
      <c r="F243" s="42" t="n">
        <v>97000</v>
      </c>
      <c r="G243" s="36" t="n">
        <v>45908</v>
      </c>
      <c r="H243" s="35" t="s">
        <v>54</v>
      </c>
      <c r="I243" s="35" t="s">
        <v>82</v>
      </c>
      <c r="J243" s="35" t="s">
        <v>85</v>
      </c>
      <c r="K243" s="35"/>
      <c r="L243" s="48" t="n">
        <f aca="false">IFERROR(AVERAGEIFS('Score Entry'!$M$5:$M$1276,'Score Entry'!$B$5:$B$1276,A243,'Score Entry'!$E$5:$E$1276,"Primary"),"")</f>
        <v>67</v>
      </c>
      <c r="M243" s="48" t="n">
        <f aca="false">IFERROR(AVERAGEIFS('Score Entry'!$M$5:$M$1276,'Score Entry'!$B$5:$B$1276,A243,'Score Entry'!$E$5:$E$1276,"Secondary"),"")</f>
        <v>70</v>
      </c>
      <c r="N243" s="48" t="n">
        <f aca="false">IF(COUNT(L243:M243)=2,ABS(L243-M243),"")</f>
        <v>3</v>
      </c>
      <c r="O243" s="37" t="str">
        <f aca="false">IF(N243="","",IF(N243&gt;=Threshold,"Yes","No"))</f>
        <v>No</v>
      </c>
      <c r="P243" s="48" t="str">
        <f aca="false">IFERROR(AVERAGEIFS('Score Entry'!$M$5:$M$1276,'Score Entry'!$B$5:$B$1276,A243,'Score Entry'!$E$5:$E$1276,"Third"),"")</f>
        <v/>
      </c>
      <c r="Q243" s="48" t="n">
        <f aca="false">IF(H243&lt;&gt;"Eligible","",IF(O243="Yes",IF(ISNUMBER(P243),ROUND(AVERAGE(L243,M243,P243),1),""),IF(O243="No",ROUND(AVERAGE(L243:M243),1),"")))</f>
        <v>68.5</v>
      </c>
      <c r="R243" s="37" t="str">
        <f aca="false">IF(H243&lt;&gt;"Eligible","Screened out",IF(COUNT(L243:M243)=0,"Not started",IF(COUNT(L243:M243)=1,"One read done",IF(O243="Yes",IF(ISNUMBER(P243),"Complete","Needs third read"),"Complete"))))</f>
        <v>Complete</v>
      </c>
      <c r="S243" s="37" t="n">
        <f aca="false">IF(Q243="","",COUNTIFS($C$5:$C$600,C243,$Q$5:$Q$600,"&gt;"&amp;Q243)+1)</f>
        <v>71</v>
      </c>
      <c r="T243" s="37" t="str">
        <f aca="false">IF(Q243="","",IF(Q243&gt;=Cutoff,"Yes","No"))</f>
        <v>No</v>
      </c>
      <c r="U243" s="49" t="n">
        <f aca="false">IF(T243="Yes",MIN(F243,INDEX(Settings!$G:$G,MATCH(C243,Settings!$E:$E,0))),0)</f>
        <v>0</v>
      </c>
      <c r="V243" s="49" t="str">
        <f aca="false">IF(T243="Yes",SUMIFS($U$5:$U$600,$C$5:$C$600,C243,$Q$5:$Q$600,"&gt;"&amp;Q243)+U243,"")</f>
        <v/>
      </c>
      <c r="W243" s="37" t="str">
        <f aca="false">IF(T243="Yes",IF(V243&lt;=INDEX(PoolList,MATCH(C243,ProgramList,0)),"Within pool","Over pool"),"")</f>
        <v/>
      </c>
      <c r="X243" s="37" t="str">
        <f aca="false">IF(O243="Yes",COUNTIF($O$5:O243,"Yes"),"")</f>
        <v/>
      </c>
    </row>
    <row r="244" customFormat="false" ht="15" hidden="false" customHeight="false" outlineLevel="0" collapsed="false">
      <c r="A244" s="35" t="s">
        <v>671</v>
      </c>
      <c r="B244" s="35" t="s">
        <v>672</v>
      </c>
      <c r="C244" s="35" t="s">
        <v>106</v>
      </c>
      <c r="D244" s="35" t="s">
        <v>174</v>
      </c>
      <c r="E244" s="35" t="s">
        <v>175</v>
      </c>
      <c r="F244" s="42" t="n">
        <v>138500</v>
      </c>
      <c r="G244" s="36" t="n">
        <v>45927</v>
      </c>
      <c r="H244" s="35" t="s">
        <v>54</v>
      </c>
      <c r="I244" s="35" t="s">
        <v>94</v>
      </c>
      <c r="J244" s="35" t="s">
        <v>88</v>
      </c>
      <c r="K244" s="35"/>
      <c r="L244" s="48" t="n">
        <f aca="false">IFERROR(AVERAGEIFS('Score Entry'!$M$5:$M$1276,'Score Entry'!$B$5:$B$1276,A244,'Score Entry'!$E$5:$E$1276,"Primary"),"")</f>
        <v>71</v>
      </c>
      <c r="M244" s="48" t="n">
        <f aca="false">IFERROR(AVERAGEIFS('Score Entry'!$M$5:$M$1276,'Score Entry'!$B$5:$B$1276,A244,'Score Entry'!$E$5:$E$1276,"Secondary"),"")</f>
        <v>71</v>
      </c>
      <c r="N244" s="48" t="n">
        <f aca="false">IF(COUNT(L244:M244)=2,ABS(L244-M244),"")</f>
        <v>0</v>
      </c>
      <c r="O244" s="37" t="str">
        <f aca="false">IF(N244="","",IF(N244&gt;=Threshold,"Yes","No"))</f>
        <v>No</v>
      </c>
      <c r="P244" s="48" t="str">
        <f aca="false">IFERROR(AVERAGEIFS('Score Entry'!$M$5:$M$1276,'Score Entry'!$B$5:$B$1276,A244,'Score Entry'!$E$5:$E$1276,"Third"),"")</f>
        <v/>
      </c>
      <c r="Q244" s="48" t="n">
        <f aca="false">IF(H244&lt;&gt;"Eligible","",IF(O244="Yes",IF(ISNUMBER(P244),ROUND(AVERAGE(L244,M244,P244),1),""),IF(O244="No",ROUND(AVERAGE(L244:M244),1),"")))</f>
        <v>71</v>
      </c>
      <c r="R244" s="37" t="str">
        <f aca="false">IF(H244&lt;&gt;"Eligible","Screened out",IF(COUNT(L244:M244)=0,"Not started",IF(COUNT(L244:M244)=1,"One read done",IF(O244="Yes",IF(ISNUMBER(P244),"Complete","Needs third read"),"Complete"))))</f>
        <v>Complete</v>
      </c>
      <c r="S244" s="37" t="n">
        <f aca="false">IF(Q244="","",COUNTIFS($C$5:$C$600,C244,$Q$5:$Q$600,"&gt;"&amp;Q244)+1)</f>
        <v>48</v>
      </c>
      <c r="T244" s="37" t="str">
        <f aca="false">IF(Q244="","",IF(Q244&gt;=Cutoff,"Yes","No"))</f>
        <v>No</v>
      </c>
      <c r="U244" s="49" t="n">
        <f aca="false">IF(T244="Yes",MIN(F244,INDEX(Settings!$G:$G,MATCH(C244,Settings!$E:$E,0))),0)</f>
        <v>0</v>
      </c>
      <c r="V244" s="49" t="str">
        <f aca="false">IF(T244="Yes",SUMIFS($U$5:$U$600,$C$5:$C$600,C244,$Q$5:$Q$600,"&gt;"&amp;Q244)+U244,"")</f>
        <v/>
      </c>
      <c r="W244" s="37" t="str">
        <f aca="false">IF(T244="Yes",IF(V244&lt;=INDEX(PoolList,MATCH(C244,ProgramList,0)),"Within pool","Over pool"),"")</f>
        <v/>
      </c>
      <c r="X244" s="37" t="str">
        <f aca="false">IF(O244="Yes",COUNTIF($O$5:O244,"Yes"),"")</f>
        <v/>
      </c>
    </row>
    <row r="245" customFormat="false" ht="15" hidden="false" customHeight="false" outlineLevel="0" collapsed="false">
      <c r="A245" s="35" t="s">
        <v>673</v>
      </c>
      <c r="B245" s="35" t="s">
        <v>674</v>
      </c>
      <c r="C245" s="35" t="s">
        <v>103</v>
      </c>
      <c r="D245" s="35" t="s">
        <v>221</v>
      </c>
      <c r="E245" s="35" t="s">
        <v>222</v>
      </c>
      <c r="F245" s="42" t="n">
        <v>64000</v>
      </c>
      <c r="G245" s="36" t="n">
        <v>45927</v>
      </c>
      <c r="H245" s="35" t="s">
        <v>54</v>
      </c>
      <c r="I245" s="35" t="s">
        <v>78</v>
      </c>
      <c r="J245" s="35" t="s">
        <v>91</v>
      </c>
      <c r="K245" s="35"/>
      <c r="L245" s="48" t="n">
        <f aca="false">IFERROR(AVERAGEIFS('Score Entry'!$M$5:$M$1276,'Score Entry'!$B$5:$B$1276,A245,'Score Entry'!$E$5:$E$1276,"Primary"),"")</f>
        <v>69</v>
      </c>
      <c r="M245" s="48" t="n">
        <f aca="false">IFERROR(AVERAGEIFS('Score Entry'!$M$5:$M$1276,'Score Entry'!$B$5:$B$1276,A245,'Score Entry'!$E$5:$E$1276,"Secondary"),"")</f>
        <v>80</v>
      </c>
      <c r="N245" s="48" t="n">
        <f aca="false">IF(COUNT(L245:M245)=2,ABS(L245-M245),"")</f>
        <v>11</v>
      </c>
      <c r="O245" s="37" t="str">
        <f aca="false">IF(N245="","",IF(N245&gt;=Threshold,"Yes","No"))</f>
        <v>No</v>
      </c>
      <c r="P245" s="48" t="str">
        <f aca="false">IFERROR(AVERAGEIFS('Score Entry'!$M$5:$M$1276,'Score Entry'!$B$5:$B$1276,A245,'Score Entry'!$E$5:$E$1276,"Third"),"")</f>
        <v/>
      </c>
      <c r="Q245" s="48" t="n">
        <f aca="false">IF(H245&lt;&gt;"Eligible","",IF(O245="Yes",IF(ISNUMBER(P245),ROUND(AVERAGE(L245,M245,P245),1),""),IF(O245="No",ROUND(AVERAGE(L245:M245),1),"")))</f>
        <v>74.5</v>
      </c>
      <c r="R245" s="37" t="str">
        <f aca="false">IF(H245&lt;&gt;"Eligible","Screened out",IF(COUNT(L245:M245)=0,"Not started",IF(COUNT(L245:M245)=1,"One read done",IF(O245="Yes",IF(ISNUMBER(P245),"Complete","Needs third read"),"Complete"))))</f>
        <v>Complete</v>
      </c>
      <c r="S245" s="37" t="n">
        <f aca="false">IF(Q245="","",COUNTIFS($C$5:$C$600,C245,$Q$5:$Q$600,"&gt;"&amp;Q245)+1)</f>
        <v>46</v>
      </c>
      <c r="T245" s="37" t="str">
        <f aca="false">IF(Q245="","",IF(Q245&gt;=Cutoff,"Yes","No"))</f>
        <v>No</v>
      </c>
      <c r="U245" s="49" t="n">
        <f aca="false">IF(T245="Yes",MIN(F245,INDEX(Settings!$G:$G,MATCH(C245,Settings!$E:$E,0))),0)</f>
        <v>0</v>
      </c>
      <c r="V245" s="49" t="str">
        <f aca="false">IF(T245="Yes",SUMIFS($U$5:$U$600,$C$5:$C$600,C245,$Q$5:$Q$600,"&gt;"&amp;Q245)+U245,"")</f>
        <v/>
      </c>
      <c r="W245" s="37" t="str">
        <f aca="false">IF(T245="Yes",IF(V245&lt;=INDEX(PoolList,MATCH(C245,ProgramList,0)),"Within pool","Over pool"),"")</f>
        <v/>
      </c>
      <c r="X245" s="37" t="str">
        <f aca="false">IF(O245="Yes",COUNTIF($O$5:O245,"Yes"),"")</f>
        <v/>
      </c>
    </row>
    <row r="246" customFormat="false" ht="15" hidden="false" customHeight="false" outlineLevel="0" collapsed="false">
      <c r="A246" s="35" t="s">
        <v>675</v>
      </c>
      <c r="B246" s="35" t="s">
        <v>676</v>
      </c>
      <c r="C246" s="35" t="s">
        <v>103</v>
      </c>
      <c r="D246" s="35" t="s">
        <v>239</v>
      </c>
      <c r="E246" s="35" t="s">
        <v>255</v>
      </c>
      <c r="F246" s="42" t="n">
        <v>110000</v>
      </c>
      <c r="G246" s="36" t="n">
        <v>45917</v>
      </c>
      <c r="H246" s="35" t="s">
        <v>54</v>
      </c>
      <c r="I246" s="35" t="s">
        <v>94</v>
      </c>
      <c r="J246" s="35" t="s">
        <v>94</v>
      </c>
      <c r="K246" s="35"/>
      <c r="L246" s="48" t="n">
        <f aca="false">IFERROR(AVERAGEIFS('Score Entry'!$M$5:$M$1276,'Score Entry'!$B$5:$B$1276,A246,'Score Entry'!$E$5:$E$1276,"Primary"),"")</f>
        <v>60</v>
      </c>
      <c r="M246" s="48" t="n">
        <f aca="false">IFERROR(AVERAGEIFS('Score Entry'!$M$5:$M$1276,'Score Entry'!$B$5:$B$1276,A246,'Score Entry'!$E$5:$E$1276,"Secondary"),"")</f>
        <v>60</v>
      </c>
      <c r="N246" s="48" t="n">
        <f aca="false">IF(COUNT(L246:M246)=2,ABS(L246-M246),"")</f>
        <v>0</v>
      </c>
      <c r="O246" s="37" t="str">
        <f aca="false">IF(N246="","",IF(N246&gt;=Threshold,"Yes","No"))</f>
        <v>No</v>
      </c>
      <c r="P246" s="48" t="str">
        <f aca="false">IFERROR(AVERAGEIFS('Score Entry'!$M$5:$M$1276,'Score Entry'!$B$5:$B$1276,A246,'Score Entry'!$E$5:$E$1276,"Third"),"")</f>
        <v/>
      </c>
      <c r="Q246" s="48" t="n">
        <f aca="false">IF(H246&lt;&gt;"Eligible","",IF(O246="Yes",IF(ISNUMBER(P246),ROUND(AVERAGE(L246,M246,P246),1),""),IF(O246="No",ROUND(AVERAGE(L246:M246),1),"")))</f>
        <v>60</v>
      </c>
      <c r="R246" s="37" t="str">
        <f aca="false">IF(H246&lt;&gt;"Eligible","Screened out",IF(COUNT(L246:M246)=0,"Not started",IF(COUNT(L246:M246)=1,"One read done",IF(O246="Yes",IF(ISNUMBER(P246),"Complete","Needs third read"),"Complete"))))</f>
        <v>Complete</v>
      </c>
      <c r="S246" s="37" t="n">
        <f aca="false">IF(Q246="","",COUNTIFS($C$5:$C$600,C246,$Q$5:$Q$600,"&gt;"&amp;Q246)+1)</f>
        <v>112</v>
      </c>
      <c r="T246" s="37" t="str">
        <f aca="false">IF(Q246="","",IF(Q246&gt;=Cutoff,"Yes","No"))</f>
        <v>No</v>
      </c>
      <c r="U246" s="49" t="n">
        <f aca="false">IF(T246="Yes",MIN(F246,INDEX(Settings!$G:$G,MATCH(C246,Settings!$E:$E,0))),0)</f>
        <v>0</v>
      </c>
      <c r="V246" s="49" t="str">
        <f aca="false">IF(T246="Yes",SUMIFS($U$5:$U$600,$C$5:$C$600,C246,$Q$5:$Q$600,"&gt;"&amp;Q246)+U246,"")</f>
        <v/>
      </c>
      <c r="W246" s="37" t="str">
        <f aca="false">IF(T246="Yes",IF(V246&lt;=INDEX(PoolList,MATCH(C246,ProgramList,0)),"Within pool","Over pool"),"")</f>
        <v/>
      </c>
      <c r="X246" s="37" t="str">
        <f aca="false">IF(O246="Yes",COUNTIF($O$5:O246,"Yes"),"")</f>
        <v/>
      </c>
    </row>
    <row r="247" customFormat="false" ht="15" hidden="false" customHeight="false" outlineLevel="0" collapsed="false">
      <c r="A247" s="35" t="s">
        <v>677</v>
      </c>
      <c r="B247" s="35" t="s">
        <v>678</v>
      </c>
      <c r="C247" s="35" t="s">
        <v>106</v>
      </c>
      <c r="D247" s="35" t="s">
        <v>221</v>
      </c>
      <c r="E247" s="35" t="s">
        <v>258</v>
      </c>
      <c r="F247" s="42" t="n">
        <v>32500</v>
      </c>
      <c r="G247" s="36" t="n">
        <v>45927</v>
      </c>
      <c r="H247" s="35" t="s">
        <v>54</v>
      </c>
      <c r="I247" s="35" t="s">
        <v>82</v>
      </c>
      <c r="J247" s="35" t="s">
        <v>91</v>
      </c>
      <c r="K247" s="35"/>
      <c r="L247" s="48" t="n">
        <f aca="false">IFERROR(AVERAGEIFS('Score Entry'!$M$5:$M$1276,'Score Entry'!$B$5:$B$1276,A247,'Score Entry'!$E$5:$E$1276,"Primary"),"")</f>
        <v>76</v>
      </c>
      <c r="M247" s="48" t="n">
        <f aca="false">IFERROR(AVERAGEIFS('Score Entry'!$M$5:$M$1276,'Score Entry'!$B$5:$B$1276,A247,'Score Entry'!$E$5:$E$1276,"Secondary"),"")</f>
        <v>87</v>
      </c>
      <c r="N247" s="48" t="n">
        <f aca="false">IF(COUNT(L247:M247)=2,ABS(L247-M247),"")</f>
        <v>11</v>
      </c>
      <c r="O247" s="37" t="str">
        <f aca="false">IF(N247="","",IF(N247&gt;=Threshold,"Yes","No"))</f>
        <v>No</v>
      </c>
      <c r="P247" s="48" t="str">
        <f aca="false">IFERROR(AVERAGEIFS('Score Entry'!$M$5:$M$1276,'Score Entry'!$B$5:$B$1276,A247,'Score Entry'!$E$5:$E$1276,"Third"),"")</f>
        <v/>
      </c>
      <c r="Q247" s="48" t="n">
        <f aca="false">IF(H247&lt;&gt;"Eligible","",IF(O247="Yes",IF(ISNUMBER(P247),ROUND(AVERAGE(L247,M247,P247),1),""),IF(O247="No",ROUND(AVERAGE(L247:M247),1),"")))</f>
        <v>81.5</v>
      </c>
      <c r="R247" s="37" t="str">
        <f aca="false">IF(H247&lt;&gt;"Eligible","Screened out",IF(COUNT(L247:M247)=0,"Not started",IF(COUNT(L247:M247)=1,"One read done",IF(O247="Yes",IF(ISNUMBER(P247),"Complete","Needs third read"),"Complete"))))</f>
        <v>Complete</v>
      </c>
      <c r="S247" s="37" t="n">
        <f aca="false">IF(Q247="","",COUNTIFS($C$5:$C$600,C247,$Q$5:$Q$600,"&gt;"&amp;Q247)+1)</f>
        <v>17</v>
      </c>
      <c r="T247" s="37" t="str">
        <f aca="false">IF(Q247="","",IF(Q247&gt;=Cutoff,"Yes","No"))</f>
        <v>No</v>
      </c>
      <c r="U247" s="49" t="n">
        <f aca="false">IF(T247="Yes",MIN(F247,INDEX(Settings!$G:$G,MATCH(C247,Settings!$E:$E,0))),0)</f>
        <v>0</v>
      </c>
      <c r="V247" s="49" t="str">
        <f aca="false">IF(T247="Yes",SUMIFS($U$5:$U$600,$C$5:$C$600,C247,$Q$5:$Q$600,"&gt;"&amp;Q247)+U247,"")</f>
        <v/>
      </c>
      <c r="W247" s="37" t="str">
        <f aca="false">IF(T247="Yes",IF(V247&lt;=INDEX(PoolList,MATCH(C247,ProgramList,0)),"Within pool","Over pool"),"")</f>
        <v/>
      </c>
      <c r="X247" s="37" t="str">
        <f aca="false">IF(O247="Yes",COUNTIF($O$5:O247,"Yes"),"")</f>
        <v/>
      </c>
    </row>
    <row r="248" customFormat="false" ht="15" hidden="false" customHeight="false" outlineLevel="0" collapsed="false">
      <c r="A248" s="35" t="s">
        <v>679</v>
      </c>
      <c r="B248" s="35" t="s">
        <v>680</v>
      </c>
      <c r="C248" s="35" t="s">
        <v>105</v>
      </c>
      <c r="D248" s="35" t="s">
        <v>180</v>
      </c>
      <c r="E248" s="35" t="s">
        <v>218</v>
      </c>
      <c r="F248" s="42" t="n">
        <v>160000</v>
      </c>
      <c r="G248" s="36" t="n">
        <v>45918</v>
      </c>
      <c r="H248" s="35" t="s">
        <v>54</v>
      </c>
      <c r="I248" s="35" t="s">
        <v>85</v>
      </c>
      <c r="J248" s="35" t="s">
        <v>78</v>
      </c>
      <c r="K248" s="35"/>
      <c r="L248" s="48" t="n">
        <f aca="false">IFERROR(AVERAGEIFS('Score Entry'!$M$5:$M$1276,'Score Entry'!$B$5:$B$1276,A248,'Score Entry'!$E$5:$E$1276,"Primary"),"")</f>
        <v>68</v>
      </c>
      <c r="M248" s="48" t="n">
        <f aca="false">IFERROR(AVERAGEIFS('Score Entry'!$M$5:$M$1276,'Score Entry'!$B$5:$B$1276,A248,'Score Entry'!$E$5:$E$1276,"Secondary"),"")</f>
        <v>70</v>
      </c>
      <c r="N248" s="48" t="n">
        <f aca="false">IF(COUNT(L248:M248)=2,ABS(L248-M248),"")</f>
        <v>2</v>
      </c>
      <c r="O248" s="37" t="str">
        <f aca="false">IF(N248="","",IF(N248&gt;=Threshold,"Yes","No"))</f>
        <v>No</v>
      </c>
      <c r="P248" s="48" t="str">
        <f aca="false">IFERROR(AVERAGEIFS('Score Entry'!$M$5:$M$1276,'Score Entry'!$B$5:$B$1276,A248,'Score Entry'!$E$5:$E$1276,"Third"),"")</f>
        <v/>
      </c>
      <c r="Q248" s="48" t="n">
        <f aca="false">IF(H248&lt;&gt;"Eligible","",IF(O248="Yes",IF(ISNUMBER(P248),ROUND(AVERAGE(L248,M248,P248),1),""),IF(O248="No",ROUND(AVERAGE(L248:M248),1),"")))</f>
        <v>69</v>
      </c>
      <c r="R248" s="37" t="str">
        <f aca="false">IF(H248&lt;&gt;"Eligible","Screened out",IF(COUNT(L248:M248)=0,"Not started",IF(COUNT(L248:M248)=1,"One read done",IF(O248="Yes",IF(ISNUMBER(P248),"Complete","Needs third read"),"Complete"))))</f>
        <v>Complete</v>
      </c>
      <c r="S248" s="37" t="n">
        <f aca="false">IF(Q248="","",COUNTIFS($C$5:$C$600,C248,$Q$5:$Q$600,"&gt;"&amp;Q248)+1)</f>
        <v>42</v>
      </c>
      <c r="T248" s="37" t="str">
        <f aca="false">IF(Q248="","",IF(Q248&gt;=Cutoff,"Yes","No"))</f>
        <v>No</v>
      </c>
      <c r="U248" s="49" t="n">
        <f aca="false">IF(T248="Yes",MIN(F248,INDEX(Settings!$G:$G,MATCH(C248,Settings!$E:$E,0))),0)</f>
        <v>0</v>
      </c>
      <c r="V248" s="49" t="str">
        <f aca="false">IF(T248="Yes",SUMIFS($U$5:$U$600,$C$5:$C$600,C248,$Q$5:$Q$600,"&gt;"&amp;Q248)+U248,"")</f>
        <v/>
      </c>
      <c r="W248" s="37" t="str">
        <f aca="false">IF(T248="Yes",IF(V248&lt;=INDEX(PoolList,MATCH(C248,ProgramList,0)),"Within pool","Over pool"),"")</f>
        <v/>
      </c>
      <c r="X248" s="37" t="str">
        <f aca="false">IF(O248="Yes",COUNTIF($O$5:O248,"Yes"),"")</f>
        <v/>
      </c>
    </row>
    <row r="249" customFormat="false" ht="15" hidden="false" customHeight="false" outlineLevel="0" collapsed="false">
      <c r="A249" s="35" t="s">
        <v>681</v>
      </c>
      <c r="B249" s="35" t="s">
        <v>682</v>
      </c>
      <c r="C249" s="35" t="s">
        <v>106</v>
      </c>
      <c r="D249" s="35" t="s">
        <v>174</v>
      </c>
      <c r="E249" s="35" t="s">
        <v>175</v>
      </c>
      <c r="F249" s="42" t="n">
        <v>221500</v>
      </c>
      <c r="G249" s="36" t="n">
        <v>45911</v>
      </c>
      <c r="H249" s="35" t="s">
        <v>54</v>
      </c>
      <c r="I249" s="35" t="s">
        <v>85</v>
      </c>
      <c r="J249" s="35" t="s">
        <v>91</v>
      </c>
      <c r="K249" s="35" t="s">
        <v>82</v>
      </c>
      <c r="L249" s="48" t="n">
        <f aca="false">IFERROR(AVERAGEIFS('Score Entry'!$M$5:$M$1276,'Score Entry'!$B$5:$B$1276,A249,'Score Entry'!$E$5:$E$1276,"Primary"),"")</f>
        <v>62</v>
      </c>
      <c r="M249" s="48" t="n">
        <f aca="false">IFERROR(AVERAGEIFS('Score Entry'!$M$5:$M$1276,'Score Entry'!$B$5:$B$1276,A249,'Score Entry'!$E$5:$E$1276,"Secondary"),"")</f>
        <v>82</v>
      </c>
      <c r="N249" s="48" t="n">
        <f aca="false">IF(COUNT(L249:M249)=2,ABS(L249-M249),"")</f>
        <v>20</v>
      </c>
      <c r="O249" s="37" t="str">
        <f aca="false">IF(N249="","",IF(N249&gt;=Threshold,"Yes","No"))</f>
        <v>Yes</v>
      </c>
      <c r="P249" s="48" t="str">
        <f aca="false">IFERROR(AVERAGEIFS('Score Entry'!$M$5:$M$1276,'Score Entry'!$B$5:$B$1276,A249,'Score Entry'!$E$5:$E$1276,"Third"),"")</f>
        <v/>
      </c>
      <c r="Q249" s="48" t="str">
        <f aca="false">IF(H249&lt;&gt;"Eligible","",IF(O249="Yes",IF(ISNUMBER(P249),ROUND(AVERAGE(L249,M249,P249),1),""),IF(O249="No",ROUND(AVERAGE(L249:M249),1),"")))</f>
        <v/>
      </c>
      <c r="R249" s="37" t="str">
        <f aca="false">IF(H249&lt;&gt;"Eligible","Screened out",IF(COUNT(L249:M249)=0,"Not started",IF(COUNT(L249:M249)=1,"One read done",IF(O249="Yes",IF(ISNUMBER(P249),"Complete","Needs third read"),"Complete"))))</f>
        <v>Needs third read</v>
      </c>
      <c r="S249" s="37" t="str">
        <f aca="false">IF(Q249="","",COUNTIFS($C$5:$C$600,C249,$Q$5:$Q$600,"&gt;"&amp;Q249)+1)</f>
        <v/>
      </c>
      <c r="T249" s="37" t="str">
        <f aca="false">IF(Q249="","",IF(Q249&gt;=Cutoff,"Yes","No"))</f>
        <v/>
      </c>
      <c r="U249" s="49" t="n">
        <f aca="false">IF(T249="Yes",MIN(F249,INDEX(Settings!$G:$G,MATCH(C249,Settings!$E:$E,0))),0)</f>
        <v>0</v>
      </c>
      <c r="V249" s="49" t="str">
        <f aca="false">IF(T249="Yes",SUMIFS($U$5:$U$600,$C$5:$C$600,C249,$Q$5:$Q$600,"&gt;"&amp;Q249)+U249,"")</f>
        <v/>
      </c>
      <c r="W249" s="37" t="str">
        <f aca="false">IF(T249="Yes",IF(V249&lt;=INDEX(PoolList,MATCH(C249,ProgramList,0)),"Within pool","Over pool"),"")</f>
        <v/>
      </c>
      <c r="X249" s="37" t="n">
        <f aca="false">IF(O249="Yes",COUNTIF($O$5:O249,"Yes"),"")</f>
        <v>34</v>
      </c>
    </row>
    <row r="250" customFormat="false" ht="15" hidden="false" customHeight="false" outlineLevel="0" collapsed="false">
      <c r="A250" s="35" t="s">
        <v>683</v>
      </c>
      <c r="B250" s="35" t="s">
        <v>684</v>
      </c>
      <c r="C250" s="35" t="s">
        <v>104</v>
      </c>
      <c r="D250" s="35" t="s">
        <v>180</v>
      </c>
      <c r="E250" s="35" t="s">
        <v>269</v>
      </c>
      <c r="F250" s="42" t="n">
        <v>91500</v>
      </c>
      <c r="G250" s="36" t="n">
        <v>45923</v>
      </c>
      <c r="H250" s="35" t="s">
        <v>54</v>
      </c>
      <c r="I250" s="35" t="s">
        <v>78</v>
      </c>
      <c r="J250" s="35" t="s">
        <v>88</v>
      </c>
      <c r="K250" s="35"/>
      <c r="L250" s="48" t="n">
        <f aca="false">IFERROR(AVERAGEIFS('Score Entry'!$M$5:$M$1276,'Score Entry'!$B$5:$B$1276,A250,'Score Entry'!$E$5:$E$1276,"Primary"),"")</f>
        <v>73</v>
      </c>
      <c r="M250" s="48" t="n">
        <f aca="false">IFERROR(AVERAGEIFS('Score Entry'!$M$5:$M$1276,'Score Entry'!$B$5:$B$1276,A250,'Score Entry'!$E$5:$E$1276,"Secondary"),"")</f>
        <v>83</v>
      </c>
      <c r="N250" s="48" t="n">
        <f aca="false">IF(COUNT(L250:M250)=2,ABS(L250-M250),"")</f>
        <v>10</v>
      </c>
      <c r="O250" s="37" t="str">
        <f aca="false">IF(N250="","",IF(N250&gt;=Threshold,"Yes","No"))</f>
        <v>No</v>
      </c>
      <c r="P250" s="48" t="str">
        <f aca="false">IFERROR(AVERAGEIFS('Score Entry'!$M$5:$M$1276,'Score Entry'!$B$5:$B$1276,A250,'Score Entry'!$E$5:$E$1276,"Third"),"")</f>
        <v/>
      </c>
      <c r="Q250" s="48" t="n">
        <f aca="false">IF(H250&lt;&gt;"Eligible","",IF(O250="Yes",IF(ISNUMBER(P250),ROUND(AVERAGE(L250,M250,P250),1),""),IF(O250="No",ROUND(AVERAGE(L250:M250),1),"")))</f>
        <v>78</v>
      </c>
      <c r="R250" s="37" t="str">
        <f aca="false">IF(H250&lt;&gt;"Eligible","Screened out",IF(COUNT(L250:M250)=0,"Not started",IF(COUNT(L250:M250)=1,"One read done",IF(O250="Yes",IF(ISNUMBER(P250),"Complete","Needs third read"),"Complete"))))</f>
        <v>Complete</v>
      </c>
      <c r="S250" s="37" t="n">
        <f aca="false">IF(Q250="","",COUNTIFS($C$5:$C$600,C250,$Q$5:$Q$600,"&gt;"&amp;Q250)+1)</f>
        <v>27</v>
      </c>
      <c r="T250" s="37" t="str">
        <f aca="false">IF(Q250="","",IF(Q250&gt;=Cutoff,"Yes","No"))</f>
        <v>No</v>
      </c>
      <c r="U250" s="49" t="n">
        <f aca="false">IF(T250="Yes",MIN(F250,INDEX(Settings!$G:$G,MATCH(C250,Settings!$E:$E,0))),0)</f>
        <v>0</v>
      </c>
      <c r="V250" s="49" t="str">
        <f aca="false">IF(T250="Yes",SUMIFS($U$5:$U$600,$C$5:$C$600,C250,$Q$5:$Q$600,"&gt;"&amp;Q250)+U250,"")</f>
        <v/>
      </c>
      <c r="W250" s="37" t="str">
        <f aca="false">IF(T250="Yes",IF(V250&lt;=INDEX(PoolList,MATCH(C250,ProgramList,0)),"Within pool","Over pool"),"")</f>
        <v/>
      </c>
      <c r="X250" s="37" t="str">
        <f aca="false">IF(O250="Yes",COUNTIF($O$5:O250,"Yes"),"")</f>
        <v/>
      </c>
    </row>
    <row r="251" customFormat="false" ht="15" hidden="false" customHeight="false" outlineLevel="0" collapsed="false">
      <c r="A251" s="35" t="s">
        <v>685</v>
      </c>
      <c r="B251" s="35" t="s">
        <v>686</v>
      </c>
      <c r="C251" s="35" t="s">
        <v>106</v>
      </c>
      <c r="D251" s="35" t="s">
        <v>174</v>
      </c>
      <c r="E251" s="35" t="s">
        <v>175</v>
      </c>
      <c r="F251" s="42" t="n">
        <v>72500</v>
      </c>
      <c r="G251" s="36" t="n">
        <v>45919</v>
      </c>
      <c r="H251" s="35" t="s">
        <v>96</v>
      </c>
      <c r="I251" s="35"/>
      <c r="J251" s="35"/>
      <c r="K251" s="35"/>
      <c r="L251" s="48" t="str">
        <f aca="false">IFERROR(AVERAGEIFS('Score Entry'!$M$5:$M$1276,'Score Entry'!$B$5:$B$1276,A251,'Score Entry'!$E$5:$E$1276,"Primary"),"")</f>
        <v/>
      </c>
      <c r="M251" s="48" t="str">
        <f aca="false">IFERROR(AVERAGEIFS('Score Entry'!$M$5:$M$1276,'Score Entry'!$B$5:$B$1276,A251,'Score Entry'!$E$5:$E$1276,"Secondary"),"")</f>
        <v/>
      </c>
      <c r="N251" s="48" t="str">
        <f aca="false">IF(COUNT(L251:M251)=2,ABS(L251-M251),"")</f>
        <v/>
      </c>
      <c r="O251" s="37" t="str">
        <f aca="false">IF(N251="","",IF(N251&gt;=Threshold,"Yes","No"))</f>
        <v/>
      </c>
      <c r="P251" s="48" t="str">
        <f aca="false">IFERROR(AVERAGEIFS('Score Entry'!$M$5:$M$1276,'Score Entry'!$B$5:$B$1276,A251,'Score Entry'!$E$5:$E$1276,"Third"),"")</f>
        <v/>
      </c>
      <c r="Q251" s="48" t="str">
        <f aca="false">IF(H251&lt;&gt;"Eligible","",IF(O251="Yes",IF(ISNUMBER(P251),ROUND(AVERAGE(L251,M251,P251),1),""),IF(O251="No",ROUND(AVERAGE(L251:M251),1),"")))</f>
        <v/>
      </c>
      <c r="R251" s="37" t="str">
        <f aca="false">IF(H251&lt;&gt;"Eligible","Screened out",IF(COUNT(L251:M251)=0,"Not started",IF(COUNT(L251:M251)=1,"One read done",IF(O251="Yes",IF(ISNUMBER(P251),"Complete","Needs third read"),"Complete"))))</f>
        <v>Screened out</v>
      </c>
      <c r="S251" s="37" t="str">
        <f aca="false">IF(Q251="","",COUNTIFS($C$5:$C$600,C251,$Q$5:$Q$600,"&gt;"&amp;Q251)+1)</f>
        <v/>
      </c>
      <c r="T251" s="37" t="str">
        <f aca="false">IF(Q251="","",IF(Q251&gt;=Cutoff,"Yes","No"))</f>
        <v/>
      </c>
      <c r="U251" s="49" t="n">
        <f aca="false">IF(T251="Yes",MIN(F251,INDEX(Settings!$G:$G,MATCH(C251,Settings!$E:$E,0))),0)</f>
        <v>0</v>
      </c>
      <c r="V251" s="49" t="str">
        <f aca="false">IF(T251="Yes",SUMIFS($U$5:$U$600,$C$5:$C$600,C251,$Q$5:$Q$600,"&gt;"&amp;Q251)+U251,"")</f>
        <v/>
      </c>
      <c r="W251" s="37" t="str">
        <f aca="false">IF(T251="Yes",IF(V251&lt;=INDEX(PoolList,MATCH(C251,ProgramList,0)),"Within pool","Over pool"),"")</f>
        <v/>
      </c>
      <c r="X251" s="37" t="str">
        <f aca="false">IF(O251="Yes",COUNTIF($O$5:O251,"Yes"),"")</f>
        <v/>
      </c>
    </row>
    <row r="252" customFormat="false" ht="15" hidden="false" customHeight="false" outlineLevel="0" collapsed="false">
      <c r="A252" s="35" t="s">
        <v>687</v>
      </c>
      <c r="B252" s="35" t="s">
        <v>688</v>
      </c>
      <c r="C252" s="35" t="s">
        <v>103</v>
      </c>
      <c r="D252" s="35" t="s">
        <v>174</v>
      </c>
      <c r="E252" s="35" t="s">
        <v>175</v>
      </c>
      <c r="F252" s="42" t="n">
        <v>22500</v>
      </c>
      <c r="G252" s="36" t="n">
        <v>45914</v>
      </c>
      <c r="H252" s="35" t="s">
        <v>54</v>
      </c>
      <c r="I252" s="35" t="s">
        <v>82</v>
      </c>
      <c r="J252" s="35" t="s">
        <v>85</v>
      </c>
      <c r="K252" s="35"/>
      <c r="L252" s="48" t="n">
        <f aca="false">IFERROR(AVERAGEIFS('Score Entry'!$M$5:$M$1276,'Score Entry'!$B$5:$B$1276,A252,'Score Entry'!$E$5:$E$1276,"Primary"),"")</f>
        <v>75</v>
      </c>
      <c r="M252" s="48" t="n">
        <f aca="false">IFERROR(AVERAGEIFS('Score Entry'!$M$5:$M$1276,'Score Entry'!$B$5:$B$1276,A252,'Score Entry'!$E$5:$E$1276,"Secondary"),"")</f>
        <v>72</v>
      </c>
      <c r="N252" s="48" t="n">
        <f aca="false">IF(COUNT(L252:M252)=2,ABS(L252-M252),"")</f>
        <v>3</v>
      </c>
      <c r="O252" s="37" t="str">
        <f aca="false">IF(N252="","",IF(N252&gt;=Threshold,"Yes","No"))</f>
        <v>No</v>
      </c>
      <c r="P252" s="48" t="str">
        <f aca="false">IFERROR(AVERAGEIFS('Score Entry'!$M$5:$M$1276,'Score Entry'!$B$5:$B$1276,A252,'Score Entry'!$E$5:$E$1276,"Third"),"")</f>
        <v/>
      </c>
      <c r="Q252" s="48" t="n">
        <f aca="false">IF(H252&lt;&gt;"Eligible","",IF(O252="Yes",IF(ISNUMBER(P252),ROUND(AVERAGE(L252,M252,P252),1),""),IF(O252="No",ROUND(AVERAGE(L252:M252),1),"")))</f>
        <v>73.5</v>
      </c>
      <c r="R252" s="37" t="str">
        <f aca="false">IF(H252&lt;&gt;"Eligible","Screened out",IF(COUNT(L252:M252)=0,"Not started",IF(COUNT(L252:M252)=1,"One read done",IF(O252="Yes",IF(ISNUMBER(P252),"Complete","Needs third read"),"Complete"))))</f>
        <v>Complete</v>
      </c>
      <c r="S252" s="37" t="n">
        <f aca="false">IF(Q252="","",COUNTIFS($C$5:$C$600,C252,$Q$5:$Q$600,"&gt;"&amp;Q252)+1)</f>
        <v>50</v>
      </c>
      <c r="T252" s="37" t="str">
        <f aca="false">IF(Q252="","",IF(Q252&gt;=Cutoff,"Yes","No"))</f>
        <v>No</v>
      </c>
      <c r="U252" s="49" t="n">
        <f aca="false">IF(T252="Yes",MIN(F252,INDEX(Settings!$G:$G,MATCH(C252,Settings!$E:$E,0))),0)</f>
        <v>0</v>
      </c>
      <c r="V252" s="49" t="str">
        <f aca="false">IF(T252="Yes",SUMIFS($U$5:$U$600,$C$5:$C$600,C252,$Q$5:$Q$600,"&gt;"&amp;Q252)+U252,"")</f>
        <v/>
      </c>
      <c r="W252" s="37" t="str">
        <f aca="false">IF(T252="Yes",IF(V252&lt;=INDEX(PoolList,MATCH(C252,ProgramList,0)),"Within pool","Over pool"),"")</f>
        <v/>
      </c>
      <c r="X252" s="37" t="str">
        <f aca="false">IF(O252="Yes",COUNTIF($O$5:O252,"Yes"),"")</f>
        <v/>
      </c>
    </row>
    <row r="253" customFormat="false" ht="15" hidden="false" customHeight="false" outlineLevel="0" collapsed="false">
      <c r="A253" s="35" t="s">
        <v>689</v>
      </c>
      <c r="B253" s="35" t="s">
        <v>690</v>
      </c>
      <c r="C253" s="35" t="s">
        <v>103</v>
      </c>
      <c r="D253" s="35" t="s">
        <v>174</v>
      </c>
      <c r="E253" s="35" t="s">
        <v>175</v>
      </c>
      <c r="F253" s="42" t="n">
        <v>103500</v>
      </c>
      <c r="G253" s="36" t="n">
        <v>45914</v>
      </c>
      <c r="H253" s="35" t="s">
        <v>54</v>
      </c>
      <c r="I253" s="35" t="s">
        <v>82</v>
      </c>
      <c r="J253" s="35" t="s">
        <v>91</v>
      </c>
      <c r="K253" s="35"/>
      <c r="L253" s="48" t="n">
        <f aca="false">IFERROR(AVERAGEIFS('Score Entry'!$M$5:$M$1276,'Score Entry'!$B$5:$B$1276,A253,'Score Entry'!$E$5:$E$1276,"Primary"),"")</f>
        <v>52</v>
      </c>
      <c r="M253" s="48" t="str">
        <f aca="false">IFERROR(AVERAGEIFS('Score Entry'!$M$5:$M$1276,'Score Entry'!$B$5:$B$1276,A253,'Score Entry'!$E$5:$E$1276,"Secondary"),"")</f>
        <v/>
      </c>
      <c r="N253" s="48" t="str">
        <f aca="false">IF(COUNT(L253:M253)=2,ABS(L253-M253),"")</f>
        <v/>
      </c>
      <c r="O253" s="37" t="str">
        <f aca="false">IF(N253="","",IF(N253&gt;=Threshold,"Yes","No"))</f>
        <v/>
      </c>
      <c r="P253" s="48" t="str">
        <f aca="false">IFERROR(AVERAGEIFS('Score Entry'!$M$5:$M$1276,'Score Entry'!$B$5:$B$1276,A253,'Score Entry'!$E$5:$E$1276,"Third"),"")</f>
        <v/>
      </c>
      <c r="Q253" s="48" t="str">
        <f aca="false">IF(H253&lt;&gt;"Eligible","",IF(O253="Yes",IF(ISNUMBER(P253),ROUND(AVERAGE(L253,M253,P253),1),""),IF(O253="No",ROUND(AVERAGE(L253:M253),1),"")))</f>
        <v/>
      </c>
      <c r="R253" s="37" t="str">
        <f aca="false">IF(H253&lt;&gt;"Eligible","Screened out",IF(COUNT(L253:M253)=0,"Not started",IF(COUNT(L253:M253)=1,"One read done",IF(O253="Yes",IF(ISNUMBER(P253),"Complete","Needs third read"),"Complete"))))</f>
        <v>One read done</v>
      </c>
      <c r="S253" s="37" t="str">
        <f aca="false">IF(Q253="","",COUNTIFS($C$5:$C$600,C253,$Q$5:$Q$600,"&gt;"&amp;Q253)+1)</f>
        <v/>
      </c>
      <c r="T253" s="37" t="str">
        <f aca="false">IF(Q253="","",IF(Q253&gt;=Cutoff,"Yes","No"))</f>
        <v/>
      </c>
      <c r="U253" s="49" t="n">
        <f aca="false">IF(T253="Yes",MIN(F253,INDEX(Settings!$G:$G,MATCH(C253,Settings!$E:$E,0))),0)</f>
        <v>0</v>
      </c>
      <c r="V253" s="49" t="str">
        <f aca="false">IF(T253="Yes",SUMIFS($U$5:$U$600,$C$5:$C$600,C253,$Q$5:$Q$600,"&gt;"&amp;Q253)+U253,"")</f>
        <v/>
      </c>
      <c r="W253" s="37" t="str">
        <f aca="false">IF(T253="Yes",IF(V253&lt;=INDEX(PoolList,MATCH(C253,ProgramList,0)),"Within pool","Over pool"),"")</f>
        <v/>
      </c>
      <c r="X253" s="37" t="str">
        <f aca="false">IF(O253="Yes",COUNTIF($O$5:O253,"Yes"),"")</f>
        <v/>
      </c>
    </row>
    <row r="254" customFormat="false" ht="15" hidden="false" customHeight="false" outlineLevel="0" collapsed="false">
      <c r="A254" s="35" t="s">
        <v>691</v>
      </c>
      <c r="B254" s="35" t="s">
        <v>692</v>
      </c>
      <c r="C254" s="35" t="s">
        <v>106</v>
      </c>
      <c r="D254" s="35" t="s">
        <v>190</v>
      </c>
      <c r="E254" s="35" t="s">
        <v>191</v>
      </c>
      <c r="F254" s="42" t="n">
        <v>104000</v>
      </c>
      <c r="G254" s="36" t="n">
        <v>45915</v>
      </c>
      <c r="H254" s="35" t="s">
        <v>54</v>
      </c>
      <c r="I254" s="35" t="s">
        <v>78</v>
      </c>
      <c r="J254" s="35" t="s">
        <v>94</v>
      </c>
      <c r="K254" s="35"/>
      <c r="L254" s="48" t="n">
        <f aca="false">IFERROR(AVERAGEIFS('Score Entry'!$M$5:$M$1276,'Score Entry'!$B$5:$B$1276,A254,'Score Entry'!$E$5:$E$1276,"Primary"),"")</f>
        <v>80</v>
      </c>
      <c r="M254" s="48" t="n">
        <f aca="false">IFERROR(AVERAGEIFS('Score Entry'!$M$5:$M$1276,'Score Entry'!$B$5:$B$1276,A254,'Score Entry'!$E$5:$E$1276,"Secondary"),"")</f>
        <v>75</v>
      </c>
      <c r="N254" s="48" t="n">
        <f aca="false">IF(COUNT(L254:M254)=2,ABS(L254-M254),"")</f>
        <v>5</v>
      </c>
      <c r="O254" s="37" t="str">
        <f aca="false">IF(N254="","",IF(N254&gt;=Threshold,"Yes","No"))</f>
        <v>No</v>
      </c>
      <c r="P254" s="48" t="str">
        <f aca="false">IFERROR(AVERAGEIFS('Score Entry'!$M$5:$M$1276,'Score Entry'!$B$5:$B$1276,A254,'Score Entry'!$E$5:$E$1276,"Third"),"")</f>
        <v/>
      </c>
      <c r="Q254" s="48" t="n">
        <f aca="false">IF(H254&lt;&gt;"Eligible","",IF(O254="Yes",IF(ISNUMBER(P254),ROUND(AVERAGE(L254,M254,P254),1),""),IF(O254="No",ROUND(AVERAGE(L254:M254),1),"")))</f>
        <v>77.5</v>
      </c>
      <c r="R254" s="37" t="str">
        <f aca="false">IF(H254&lt;&gt;"Eligible","Screened out",IF(COUNT(L254:M254)=0,"Not started",IF(COUNT(L254:M254)=1,"One read done",IF(O254="Yes",IF(ISNUMBER(P254),"Complete","Needs third read"),"Complete"))))</f>
        <v>Complete</v>
      </c>
      <c r="S254" s="37" t="n">
        <f aca="false">IF(Q254="","",COUNTIFS($C$5:$C$600,C254,$Q$5:$Q$600,"&gt;"&amp;Q254)+1)</f>
        <v>29</v>
      </c>
      <c r="T254" s="37" t="str">
        <f aca="false">IF(Q254="","",IF(Q254&gt;=Cutoff,"Yes","No"))</f>
        <v>No</v>
      </c>
      <c r="U254" s="49" t="n">
        <f aca="false">IF(T254="Yes",MIN(F254,INDEX(Settings!$G:$G,MATCH(C254,Settings!$E:$E,0))),0)</f>
        <v>0</v>
      </c>
      <c r="V254" s="49" t="str">
        <f aca="false">IF(T254="Yes",SUMIFS($U$5:$U$600,$C$5:$C$600,C254,$Q$5:$Q$600,"&gt;"&amp;Q254)+U254,"")</f>
        <v/>
      </c>
      <c r="W254" s="37" t="str">
        <f aca="false">IF(T254="Yes",IF(V254&lt;=INDEX(PoolList,MATCH(C254,ProgramList,0)),"Within pool","Over pool"),"")</f>
        <v/>
      </c>
      <c r="X254" s="37" t="str">
        <f aca="false">IF(O254="Yes",COUNTIF($O$5:O254,"Yes"),"")</f>
        <v/>
      </c>
    </row>
    <row r="255" customFormat="false" ht="15" hidden="false" customHeight="false" outlineLevel="0" collapsed="false">
      <c r="A255" s="35" t="s">
        <v>693</v>
      </c>
      <c r="B255" s="35" t="s">
        <v>694</v>
      </c>
      <c r="C255" s="35" t="s">
        <v>103</v>
      </c>
      <c r="D255" s="35" t="s">
        <v>190</v>
      </c>
      <c r="E255" s="35" t="s">
        <v>191</v>
      </c>
      <c r="F255" s="42" t="n">
        <v>78000</v>
      </c>
      <c r="G255" s="36" t="n">
        <v>45919</v>
      </c>
      <c r="H255" s="35" t="s">
        <v>54</v>
      </c>
      <c r="I255" s="35" t="s">
        <v>88</v>
      </c>
      <c r="J255" s="35" t="s">
        <v>85</v>
      </c>
      <c r="K255" s="35"/>
      <c r="L255" s="48" t="n">
        <f aca="false">IFERROR(AVERAGEIFS('Score Entry'!$M$5:$M$1276,'Score Entry'!$B$5:$B$1276,A255,'Score Entry'!$E$5:$E$1276,"Primary"),"")</f>
        <v>64</v>
      </c>
      <c r="M255" s="48" t="n">
        <f aca="false">IFERROR(AVERAGEIFS('Score Entry'!$M$5:$M$1276,'Score Entry'!$B$5:$B$1276,A255,'Score Entry'!$E$5:$E$1276,"Secondary"),"")</f>
        <v>52</v>
      </c>
      <c r="N255" s="48" t="n">
        <f aca="false">IF(COUNT(L255:M255)=2,ABS(L255-M255),"")</f>
        <v>12</v>
      </c>
      <c r="O255" s="37" t="str">
        <f aca="false">IF(N255="","",IF(N255&gt;=Threshold,"Yes","No"))</f>
        <v>No</v>
      </c>
      <c r="P255" s="48" t="str">
        <f aca="false">IFERROR(AVERAGEIFS('Score Entry'!$M$5:$M$1276,'Score Entry'!$B$5:$B$1276,A255,'Score Entry'!$E$5:$E$1276,"Third"),"")</f>
        <v/>
      </c>
      <c r="Q255" s="48" t="n">
        <f aca="false">IF(H255&lt;&gt;"Eligible","",IF(O255="Yes",IF(ISNUMBER(P255),ROUND(AVERAGE(L255,M255,P255),1),""),IF(O255="No",ROUND(AVERAGE(L255:M255),1),"")))</f>
        <v>58</v>
      </c>
      <c r="R255" s="37" t="str">
        <f aca="false">IF(H255&lt;&gt;"Eligible","Screened out",IF(COUNT(L255:M255)=0,"Not started",IF(COUNT(L255:M255)=1,"One read done",IF(O255="Yes",IF(ISNUMBER(P255),"Complete","Needs third read"),"Complete"))))</f>
        <v>Complete</v>
      </c>
      <c r="S255" s="37" t="n">
        <f aca="false">IF(Q255="","",COUNTIFS($C$5:$C$600,C255,$Q$5:$Q$600,"&gt;"&amp;Q255)+1)</f>
        <v>120</v>
      </c>
      <c r="T255" s="37" t="str">
        <f aca="false">IF(Q255="","",IF(Q255&gt;=Cutoff,"Yes","No"))</f>
        <v>No</v>
      </c>
      <c r="U255" s="49" t="n">
        <f aca="false">IF(T255="Yes",MIN(F255,INDEX(Settings!$G:$G,MATCH(C255,Settings!$E:$E,0))),0)</f>
        <v>0</v>
      </c>
      <c r="V255" s="49" t="str">
        <f aca="false">IF(T255="Yes",SUMIFS($U$5:$U$600,$C$5:$C$600,C255,$Q$5:$Q$600,"&gt;"&amp;Q255)+U255,"")</f>
        <v/>
      </c>
      <c r="W255" s="37" t="str">
        <f aca="false">IF(T255="Yes",IF(V255&lt;=INDEX(PoolList,MATCH(C255,ProgramList,0)),"Within pool","Over pool"),"")</f>
        <v/>
      </c>
      <c r="X255" s="37" t="str">
        <f aca="false">IF(O255="Yes",COUNTIF($O$5:O255,"Yes"),"")</f>
        <v/>
      </c>
    </row>
    <row r="256" customFormat="false" ht="15" hidden="false" customHeight="false" outlineLevel="0" collapsed="false">
      <c r="A256" s="35" t="s">
        <v>695</v>
      </c>
      <c r="B256" s="35" t="s">
        <v>696</v>
      </c>
      <c r="C256" s="35" t="s">
        <v>104</v>
      </c>
      <c r="D256" s="35" t="s">
        <v>180</v>
      </c>
      <c r="E256" s="35" t="s">
        <v>181</v>
      </c>
      <c r="F256" s="42" t="n">
        <v>140500</v>
      </c>
      <c r="G256" s="36" t="n">
        <v>45926</v>
      </c>
      <c r="H256" s="35" t="s">
        <v>96</v>
      </c>
      <c r="I256" s="35"/>
      <c r="J256" s="35"/>
      <c r="K256" s="35"/>
      <c r="L256" s="48" t="str">
        <f aca="false">IFERROR(AVERAGEIFS('Score Entry'!$M$5:$M$1276,'Score Entry'!$B$5:$B$1276,A256,'Score Entry'!$E$5:$E$1276,"Primary"),"")</f>
        <v/>
      </c>
      <c r="M256" s="48" t="str">
        <f aca="false">IFERROR(AVERAGEIFS('Score Entry'!$M$5:$M$1276,'Score Entry'!$B$5:$B$1276,A256,'Score Entry'!$E$5:$E$1276,"Secondary"),"")</f>
        <v/>
      </c>
      <c r="N256" s="48" t="str">
        <f aca="false">IF(COUNT(L256:M256)=2,ABS(L256-M256),"")</f>
        <v/>
      </c>
      <c r="O256" s="37" t="str">
        <f aca="false">IF(N256="","",IF(N256&gt;=Threshold,"Yes","No"))</f>
        <v/>
      </c>
      <c r="P256" s="48" t="str">
        <f aca="false">IFERROR(AVERAGEIFS('Score Entry'!$M$5:$M$1276,'Score Entry'!$B$5:$B$1276,A256,'Score Entry'!$E$5:$E$1276,"Third"),"")</f>
        <v/>
      </c>
      <c r="Q256" s="48" t="str">
        <f aca="false">IF(H256&lt;&gt;"Eligible","",IF(O256="Yes",IF(ISNUMBER(P256),ROUND(AVERAGE(L256,M256,P256),1),""),IF(O256="No",ROUND(AVERAGE(L256:M256),1),"")))</f>
        <v/>
      </c>
      <c r="R256" s="37" t="str">
        <f aca="false">IF(H256&lt;&gt;"Eligible","Screened out",IF(COUNT(L256:M256)=0,"Not started",IF(COUNT(L256:M256)=1,"One read done",IF(O256="Yes",IF(ISNUMBER(P256),"Complete","Needs third read"),"Complete"))))</f>
        <v>Screened out</v>
      </c>
      <c r="S256" s="37" t="str">
        <f aca="false">IF(Q256="","",COUNTIFS($C$5:$C$600,C256,$Q$5:$Q$600,"&gt;"&amp;Q256)+1)</f>
        <v/>
      </c>
      <c r="T256" s="37" t="str">
        <f aca="false">IF(Q256="","",IF(Q256&gt;=Cutoff,"Yes","No"))</f>
        <v/>
      </c>
      <c r="U256" s="49" t="n">
        <f aca="false">IF(T256="Yes",MIN(F256,INDEX(Settings!$G:$G,MATCH(C256,Settings!$E:$E,0))),0)</f>
        <v>0</v>
      </c>
      <c r="V256" s="49" t="str">
        <f aca="false">IF(T256="Yes",SUMIFS($U$5:$U$600,$C$5:$C$600,C256,$Q$5:$Q$600,"&gt;"&amp;Q256)+U256,"")</f>
        <v/>
      </c>
      <c r="W256" s="37" t="str">
        <f aca="false">IF(T256="Yes",IF(V256&lt;=INDEX(PoolList,MATCH(C256,ProgramList,0)),"Within pool","Over pool"),"")</f>
        <v/>
      </c>
      <c r="X256" s="37" t="str">
        <f aca="false">IF(O256="Yes",COUNTIF($O$5:O256,"Yes"),"")</f>
        <v/>
      </c>
    </row>
    <row r="257" customFormat="false" ht="15" hidden="false" customHeight="false" outlineLevel="0" collapsed="false">
      <c r="A257" s="35" t="s">
        <v>697</v>
      </c>
      <c r="B257" s="35" t="s">
        <v>698</v>
      </c>
      <c r="C257" s="35" t="s">
        <v>103</v>
      </c>
      <c r="D257" s="35" t="s">
        <v>174</v>
      </c>
      <c r="E257" s="35" t="s">
        <v>175</v>
      </c>
      <c r="F257" s="42" t="n">
        <v>87500</v>
      </c>
      <c r="G257" s="36" t="n">
        <v>45921</v>
      </c>
      <c r="H257" s="35" t="s">
        <v>54</v>
      </c>
      <c r="I257" s="35" t="s">
        <v>82</v>
      </c>
      <c r="J257" s="35" t="s">
        <v>88</v>
      </c>
      <c r="K257" s="35" t="s">
        <v>78</v>
      </c>
      <c r="L257" s="48" t="n">
        <f aca="false">IFERROR(AVERAGEIFS('Score Entry'!$M$5:$M$1276,'Score Entry'!$B$5:$B$1276,A257,'Score Entry'!$E$5:$E$1276,"Primary"),"")</f>
        <v>65</v>
      </c>
      <c r="M257" s="48" t="n">
        <f aca="false">IFERROR(AVERAGEIFS('Score Entry'!$M$5:$M$1276,'Score Entry'!$B$5:$B$1276,A257,'Score Entry'!$E$5:$E$1276,"Secondary"),"")</f>
        <v>84</v>
      </c>
      <c r="N257" s="48" t="n">
        <f aca="false">IF(COUNT(L257:M257)=2,ABS(L257-M257),"")</f>
        <v>19</v>
      </c>
      <c r="O257" s="37" t="str">
        <f aca="false">IF(N257="","",IF(N257&gt;=Threshold,"Yes","No"))</f>
        <v>Yes</v>
      </c>
      <c r="P257" s="48" t="n">
        <f aca="false">IFERROR(AVERAGEIFS('Score Entry'!$M$5:$M$1276,'Score Entry'!$B$5:$B$1276,A257,'Score Entry'!$E$5:$E$1276,"Third"),"")</f>
        <v>76</v>
      </c>
      <c r="Q257" s="48" t="n">
        <f aca="false">IF(H257&lt;&gt;"Eligible","",IF(O257="Yes",IF(ISNUMBER(P257),ROUND(AVERAGE(L257,M257,P257),1),""),IF(O257="No",ROUND(AVERAGE(L257:M257),1),"")))</f>
        <v>75</v>
      </c>
      <c r="R257" s="37" t="str">
        <f aca="false">IF(H257&lt;&gt;"Eligible","Screened out",IF(COUNT(L257:M257)=0,"Not started",IF(COUNT(L257:M257)=1,"One read done",IF(O257="Yes",IF(ISNUMBER(P257),"Complete","Needs third read"),"Complete"))))</f>
        <v>Complete</v>
      </c>
      <c r="S257" s="37" t="n">
        <f aca="false">IF(Q257="","",COUNTIFS($C$5:$C$600,C257,$Q$5:$Q$600,"&gt;"&amp;Q257)+1)</f>
        <v>44</v>
      </c>
      <c r="T257" s="37" t="str">
        <f aca="false">IF(Q257="","",IF(Q257&gt;=Cutoff,"Yes","No"))</f>
        <v>No</v>
      </c>
      <c r="U257" s="49" t="n">
        <f aca="false">IF(T257="Yes",MIN(F257,INDEX(Settings!$G:$G,MATCH(C257,Settings!$E:$E,0))),0)</f>
        <v>0</v>
      </c>
      <c r="V257" s="49" t="str">
        <f aca="false">IF(T257="Yes",SUMIFS($U$5:$U$600,$C$5:$C$600,C257,$Q$5:$Q$600,"&gt;"&amp;Q257)+U257,"")</f>
        <v/>
      </c>
      <c r="W257" s="37" t="str">
        <f aca="false">IF(T257="Yes",IF(V257&lt;=INDEX(PoolList,MATCH(C257,ProgramList,0)),"Within pool","Over pool"),"")</f>
        <v/>
      </c>
      <c r="X257" s="37" t="n">
        <f aca="false">IF(O257="Yes",COUNTIF($O$5:O257,"Yes"),"")</f>
        <v>35</v>
      </c>
    </row>
    <row r="258" customFormat="false" ht="15" hidden="false" customHeight="false" outlineLevel="0" collapsed="false">
      <c r="A258" s="35" t="s">
        <v>699</v>
      </c>
      <c r="B258" s="35" t="s">
        <v>700</v>
      </c>
      <c r="C258" s="35" t="s">
        <v>105</v>
      </c>
      <c r="D258" s="35" t="s">
        <v>190</v>
      </c>
      <c r="E258" s="35" t="s">
        <v>191</v>
      </c>
      <c r="F258" s="42" t="n">
        <v>107500</v>
      </c>
      <c r="G258" s="36" t="n">
        <v>45915</v>
      </c>
      <c r="H258" s="35" t="s">
        <v>54</v>
      </c>
      <c r="I258" s="35" t="s">
        <v>78</v>
      </c>
      <c r="J258" s="35" t="s">
        <v>91</v>
      </c>
      <c r="K258" s="35"/>
      <c r="L258" s="48" t="n">
        <f aca="false">IFERROR(AVERAGEIFS('Score Entry'!$M$5:$M$1276,'Score Entry'!$B$5:$B$1276,A258,'Score Entry'!$E$5:$E$1276,"Primary"),"")</f>
        <v>75</v>
      </c>
      <c r="M258" s="48" t="n">
        <f aca="false">IFERROR(AVERAGEIFS('Score Entry'!$M$5:$M$1276,'Score Entry'!$B$5:$B$1276,A258,'Score Entry'!$E$5:$E$1276,"Secondary"),"")</f>
        <v>86</v>
      </c>
      <c r="N258" s="48" t="n">
        <f aca="false">IF(COUNT(L258:M258)=2,ABS(L258-M258),"")</f>
        <v>11</v>
      </c>
      <c r="O258" s="37" t="str">
        <f aca="false">IF(N258="","",IF(N258&gt;=Threshold,"Yes","No"))</f>
        <v>No</v>
      </c>
      <c r="P258" s="48" t="str">
        <f aca="false">IFERROR(AVERAGEIFS('Score Entry'!$M$5:$M$1276,'Score Entry'!$B$5:$B$1276,A258,'Score Entry'!$E$5:$E$1276,"Third"),"")</f>
        <v/>
      </c>
      <c r="Q258" s="48" t="n">
        <f aca="false">IF(H258&lt;&gt;"Eligible","",IF(O258="Yes",IF(ISNUMBER(P258),ROUND(AVERAGE(L258,M258,P258),1),""),IF(O258="No",ROUND(AVERAGE(L258:M258),1),"")))</f>
        <v>80.5</v>
      </c>
      <c r="R258" s="37" t="str">
        <f aca="false">IF(H258&lt;&gt;"Eligible","Screened out",IF(COUNT(L258:M258)=0,"Not started",IF(COUNT(L258:M258)=1,"One read done",IF(O258="Yes",IF(ISNUMBER(P258),"Complete","Needs third read"),"Complete"))))</f>
        <v>Complete</v>
      </c>
      <c r="S258" s="37" t="n">
        <f aca="false">IF(Q258="","",COUNTIFS($C$5:$C$600,C258,$Q$5:$Q$600,"&gt;"&amp;Q258)+1)</f>
        <v>17</v>
      </c>
      <c r="T258" s="37" t="str">
        <f aca="false">IF(Q258="","",IF(Q258&gt;=Cutoff,"Yes","No"))</f>
        <v>No</v>
      </c>
      <c r="U258" s="49" t="n">
        <f aca="false">IF(T258="Yes",MIN(F258,INDEX(Settings!$G:$G,MATCH(C258,Settings!$E:$E,0))),0)</f>
        <v>0</v>
      </c>
      <c r="V258" s="49" t="str">
        <f aca="false">IF(T258="Yes",SUMIFS($U$5:$U$600,$C$5:$C$600,C258,$Q$5:$Q$600,"&gt;"&amp;Q258)+U258,"")</f>
        <v/>
      </c>
      <c r="W258" s="37" t="str">
        <f aca="false">IF(T258="Yes",IF(V258&lt;=INDEX(PoolList,MATCH(C258,ProgramList,0)),"Within pool","Over pool"),"")</f>
        <v/>
      </c>
      <c r="X258" s="37" t="str">
        <f aca="false">IF(O258="Yes",COUNTIF($O$5:O258,"Yes"),"")</f>
        <v/>
      </c>
    </row>
    <row r="259" customFormat="false" ht="15" hidden="false" customHeight="false" outlineLevel="0" collapsed="false">
      <c r="A259" s="35" t="s">
        <v>701</v>
      </c>
      <c r="B259" s="35" t="s">
        <v>702</v>
      </c>
      <c r="C259" s="35" t="s">
        <v>103</v>
      </c>
      <c r="D259" s="35" t="s">
        <v>174</v>
      </c>
      <c r="E259" s="35" t="s">
        <v>175</v>
      </c>
      <c r="F259" s="42" t="n">
        <v>22000</v>
      </c>
      <c r="G259" s="36" t="n">
        <v>45916</v>
      </c>
      <c r="H259" s="35" t="s">
        <v>54</v>
      </c>
      <c r="I259" s="35" t="s">
        <v>94</v>
      </c>
      <c r="J259" s="35" t="s">
        <v>85</v>
      </c>
      <c r="K259" s="35" t="s">
        <v>88</v>
      </c>
      <c r="L259" s="48" t="n">
        <f aca="false">IFERROR(AVERAGEIFS('Score Entry'!$M$5:$M$1276,'Score Entry'!$B$5:$B$1276,A259,'Score Entry'!$E$5:$E$1276,"Primary"),"")</f>
        <v>60</v>
      </c>
      <c r="M259" s="48" t="n">
        <f aca="false">IFERROR(AVERAGEIFS('Score Entry'!$M$5:$M$1276,'Score Entry'!$B$5:$B$1276,A259,'Score Entry'!$E$5:$E$1276,"Secondary"),"")</f>
        <v>37</v>
      </c>
      <c r="N259" s="48" t="n">
        <f aca="false">IF(COUNT(L259:M259)=2,ABS(L259-M259),"")</f>
        <v>23</v>
      </c>
      <c r="O259" s="37" t="str">
        <f aca="false">IF(N259="","",IF(N259&gt;=Threshold,"Yes","No"))</f>
        <v>Yes</v>
      </c>
      <c r="P259" s="48" t="str">
        <f aca="false">IFERROR(AVERAGEIFS('Score Entry'!$M$5:$M$1276,'Score Entry'!$B$5:$B$1276,A259,'Score Entry'!$E$5:$E$1276,"Third"),"")</f>
        <v/>
      </c>
      <c r="Q259" s="48" t="str">
        <f aca="false">IF(H259&lt;&gt;"Eligible","",IF(O259="Yes",IF(ISNUMBER(P259),ROUND(AVERAGE(L259,M259,P259),1),""),IF(O259="No",ROUND(AVERAGE(L259:M259),1),"")))</f>
        <v/>
      </c>
      <c r="R259" s="37" t="str">
        <f aca="false">IF(H259&lt;&gt;"Eligible","Screened out",IF(COUNT(L259:M259)=0,"Not started",IF(COUNT(L259:M259)=1,"One read done",IF(O259="Yes",IF(ISNUMBER(P259),"Complete","Needs third read"),"Complete"))))</f>
        <v>Needs third read</v>
      </c>
      <c r="S259" s="37" t="str">
        <f aca="false">IF(Q259="","",COUNTIFS($C$5:$C$600,C259,$Q$5:$Q$600,"&gt;"&amp;Q259)+1)</f>
        <v/>
      </c>
      <c r="T259" s="37" t="str">
        <f aca="false">IF(Q259="","",IF(Q259&gt;=Cutoff,"Yes","No"))</f>
        <v/>
      </c>
      <c r="U259" s="49" t="n">
        <f aca="false">IF(T259="Yes",MIN(F259,INDEX(Settings!$G:$G,MATCH(C259,Settings!$E:$E,0))),0)</f>
        <v>0</v>
      </c>
      <c r="V259" s="49" t="str">
        <f aca="false">IF(T259="Yes",SUMIFS($U$5:$U$600,$C$5:$C$600,C259,$Q$5:$Q$600,"&gt;"&amp;Q259)+U259,"")</f>
        <v/>
      </c>
      <c r="W259" s="37" t="str">
        <f aca="false">IF(T259="Yes",IF(V259&lt;=INDEX(PoolList,MATCH(C259,ProgramList,0)),"Within pool","Over pool"),"")</f>
        <v/>
      </c>
      <c r="X259" s="37" t="n">
        <f aca="false">IF(O259="Yes",COUNTIF($O$5:O259,"Yes"),"")</f>
        <v>36</v>
      </c>
    </row>
    <row r="260" customFormat="false" ht="15" hidden="false" customHeight="false" outlineLevel="0" collapsed="false">
      <c r="A260" s="35" t="s">
        <v>703</v>
      </c>
      <c r="B260" s="35" t="s">
        <v>704</v>
      </c>
      <c r="C260" s="35" t="s">
        <v>104</v>
      </c>
      <c r="D260" s="35" t="s">
        <v>221</v>
      </c>
      <c r="E260" s="35" t="s">
        <v>258</v>
      </c>
      <c r="F260" s="42" t="n">
        <v>102500</v>
      </c>
      <c r="G260" s="36" t="n">
        <v>45913</v>
      </c>
      <c r="H260" s="35" t="s">
        <v>54</v>
      </c>
      <c r="I260" s="35" t="s">
        <v>85</v>
      </c>
      <c r="J260" s="35" t="s">
        <v>88</v>
      </c>
      <c r="K260" s="35"/>
      <c r="L260" s="48" t="n">
        <f aca="false">IFERROR(AVERAGEIFS('Score Entry'!$M$5:$M$1276,'Score Entry'!$B$5:$B$1276,A260,'Score Entry'!$E$5:$E$1276,"Primary"),"")</f>
        <v>67</v>
      </c>
      <c r="M260" s="48" t="n">
        <f aca="false">IFERROR(AVERAGEIFS('Score Entry'!$M$5:$M$1276,'Score Entry'!$B$5:$B$1276,A260,'Score Entry'!$E$5:$E$1276,"Secondary"),"")</f>
        <v>69</v>
      </c>
      <c r="N260" s="48" t="n">
        <f aca="false">IF(COUNT(L260:M260)=2,ABS(L260-M260),"")</f>
        <v>2</v>
      </c>
      <c r="O260" s="37" t="str">
        <f aca="false">IF(N260="","",IF(N260&gt;=Threshold,"Yes","No"))</f>
        <v>No</v>
      </c>
      <c r="P260" s="48" t="str">
        <f aca="false">IFERROR(AVERAGEIFS('Score Entry'!$M$5:$M$1276,'Score Entry'!$B$5:$B$1276,A260,'Score Entry'!$E$5:$E$1276,"Third"),"")</f>
        <v/>
      </c>
      <c r="Q260" s="48" t="n">
        <f aca="false">IF(H260&lt;&gt;"Eligible","",IF(O260="Yes",IF(ISNUMBER(P260),ROUND(AVERAGE(L260,M260,P260),1),""),IF(O260="No",ROUND(AVERAGE(L260:M260),1),"")))</f>
        <v>68</v>
      </c>
      <c r="R260" s="37" t="str">
        <f aca="false">IF(H260&lt;&gt;"Eligible","Screened out",IF(COUNT(L260:M260)=0,"Not started",IF(COUNT(L260:M260)=1,"One read done",IF(O260="Yes",IF(ISNUMBER(P260),"Complete","Needs third read"),"Complete"))))</f>
        <v>Complete</v>
      </c>
      <c r="S260" s="37" t="n">
        <f aca="false">IF(Q260="","",COUNTIFS($C$5:$C$600,C260,$Q$5:$Q$600,"&gt;"&amp;Q260)+1)</f>
        <v>48</v>
      </c>
      <c r="T260" s="37" t="str">
        <f aca="false">IF(Q260="","",IF(Q260&gt;=Cutoff,"Yes","No"))</f>
        <v>No</v>
      </c>
      <c r="U260" s="49" t="n">
        <f aca="false">IF(T260="Yes",MIN(F260,INDEX(Settings!$G:$G,MATCH(C260,Settings!$E:$E,0))),0)</f>
        <v>0</v>
      </c>
      <c r="V260" s="49" t="str">
        <f aca="false">IF(T260="Yes",SUMIFS($U$5:$U$600,$C$5:$C$600,C260,$Q$5:$Q$600,"&gt;"&amp;Q260)+U260,"")</f>
        <v/>
      </c>
      <c r="W260" s="37" t="str">
        <f aca="false">IF(T260="Yes",IF(V260&lt;=INDEX(PoolList,MATCH(C260,ProgramList,0)),"Within pool","Over pool"),"")</f>
        <v/>
      </c>
      <c r="X260" s="37" t="str">
        <f aca="false">IF(O260="Yes",COUNTIF($O$5:O260,"Yes"),"")</f>
        <v/>
      </c>
    </row>
    <row r="261" customFormat="false" ht="15" hidden="false" customHeight="false" outlineLevel="0" collapsed="false">
      <c r="A261" s="35" t="s">
        <v>705</v>
      </c>
      <c r="B261" s="35" t="s">
        <v>706</v>
      </c>
      <c r="C261" s="35" t="s">
        <v>103</v>
      </c>
      <c r="D261" s="35" t="s">
        <v>174</v>
      </c>
      <c r="E261" s="35" t="s">
        <v>175</v>
      </c>
      <c r="F261" s="42" t="n">
        <v>42500</v>
      </c>
      <c r="G261" s="36" t="n">
        <v>45908</v>
      </c>
      <c r="H261" s="35" t="s">
        <v>54</v>
      </c>
      <c r="I261" s="35" t="s">
        <v>78</v>
      </c>
      <c r="J261" s="35" t="s">
        <v>91</v>
      </c>
      <c r="K261" s="35"/>
      <c r="L261" s="48" t="n">
        <f aca="false">IFERROR(AVERAGEIFS('Score Entry'!$M$5:$M$1276,'Score Entry'!$B$5:$B$1276,A261,'Score Entry'!$E$5:$E$1276,"Primary"),"")</f>
        <v>60</v>
      </c>
      <c r="M261" s="48" t="n">
        <f aca="false">IFERROR(AVERAGEIFS('Score Entry'!$M$5:$M$1276,'Score Entry'!$B$5:$B$1276,A261,'Score Entry'!$E$5:$E$1276,"Secondary"),"")</f>
        <v>69</v>
      </c>
      <c r="N261" s="48" t="n">
        <f aca="false">IF(COUNT(L261:M261)=2,ABS(L261-M261),"")</f>
        <v>9</v>
      </c>
      <c r="O261" s="37" t="str">
        <f aca="false">IF(N261="","",IF(N261&gt;=Threshold,"Yes","No"))</f>
        <v>No</v>
      </c>
      <c r="P261" s="48" t="str">
        <f aca="false">IFERROR(AVERAGEIFS('Score Entry'!$M$5:$M$1276,'Score Entry'!$B$5:$B$1276,A261,'Score Entry'!$E$5:$E$1276,"Third"),"")</f>
        <v/>
      </c>
      <c r="Q261" s="48" t="n">
        <f aca="false">IF(H261&lt;&gt;"Eligible","",IF(O261="Yes",IF(ISNUMBER(P261),ROUND(AVERAGE(L261,M261,P261),1),""),IF(O261="No",ROUND(AVERAGE(L261:M261),1),"")))</f>
        <v>64.5</v>
      </c>
      <c r="R261" s="37" t="str">
        <f aca="false">IF(H261&lt;&gt;"Eligible","Screened out",IF(COUNT(L261:M261)=0,"Not started",IF(COUNT(L261:M261)=1,"One read done",IF(O261="Yes",IF(ISNUMBER(P261),"Complete","Needs third read"),"Complete"))))</f>
        <v>Complete</v>
      </c>
      <c r="S261" s="37" t="n">
        <f aca="false">IF(Q261="","",COUNTIFS($C$5:$C$600,C261,$Q$5:$Q$600,"&gt;"&amp;Q261)+1)</f>
        <v>93</v>
      </c>
      <c r="T261" s="37" t="str">
        <f aca="false">IF(Q261="","",IF(Q261&gt;=Cutoff,"Yes","No"))</f>
        <v>No</v>
      </c>
      <c r="U261" s="49" t="n">
        <f aca="false">IF(T261="Yes",MIN(F261,INDEX(Settings!$G:$G,MATCH(C261,Settings!$E:$E,0))),0)</f>
        <v>0</v>
      </c>
      <c r="V261" s="49" t="str">
        <f aca="false">IF(T261="Yes",SUMIFS($U$5:$U$600,$C$5:$C$600,C261,$Q$5:$Q$600,"&gt;"&amp;Q261)+U261,"")</f>
        <v/>
      </c>
      <c r="W261" s="37" t="str">
        <f aca="false">IF(T261="Yes",IF(V261&lt;=INDEX(PoolList,MATCH(C261,ProgramList,0)),"Within pool","Over pool"),"")</f>
        <v/>
      </c>
      <c r="X261" s="37" t="str">
        <f aca="false">IF(O261="Yes",COUNTIF($O$5:O261,"Yes"),"")</f>
        <v/>
      </c>
    </row>
    <row r="262" customFormat="false" ht="15" hidden="false" customHeight="false" outlineLevel="0" collapsed="false">
      <c r="A262" s="35" t="s">
        <v>707</v>
      </c>
      <c r="B262" s="35" t="s">
        <v>708</v>
      </c>
      <c r="C262" s="35" t="s">
        <v>106</v>
      </c>
      <c r="D262" s="35" t="s">
        <v>180</v>
      </c>
      <c r="E262" s="35" t="s">
        <v>218</v>
      </c>
      <c r="F262" s="42" t="n">
        <v>86500</v>
      </c>
      <c r="G262" s="36" t="n">
        <v>45922</v>
      </c>
      <c r="H262" s="35" t="s">
        <v>54</v>
      </c>
      <c r="I262" s="35" t="s">
        <v>82</v>
      </c>
      <c r="J262" s="35" t="s">
        <v>94</v>
      </c>
      <c r="K262" s="35"/>
      <c r="L262" s="48" t="n">
        <f aca="false">IFERROR(AVERAGEIFS('Score Entry'!$M$5:$M$1276,'Score Entry'!$B$5:$B$1276,A262,'Score Entry'!$E$5:$E$1276,"Primary"),"")</f>
        <v>67</v>
      </c>
      <c r="M262" s="48" t="n">
        <f aca="false">IFERROR(AVERAGEIFS('Score Entry'!$M$5:$M$1276,'Score Entry'!$B$5:$B$1276,A262,'Score Entry'!$E$5:$E$1276,"Secondary"),"")</f>
        <v>75</v>
      </c>
      <c r="N262" s="48" t="n">
        <f aca="false">IF(COUNT(L262:M262)=2,ABS(L262-M262),"")</f>
        <v>8</v>
      </c>
      <c r="O262" s="37" t="str">
        <f aca="false">IF(N262="","",IF(N262&gt;=Threshold,"Yes","No"))</f>
        <v>No</v>
      </c>
      <c r="P262" s="48" t="str">
        <f aca="false">IFERROR(AVERAGEIFS('Score Entry'!$M$5:$M$1276,'Score Entry'!$B$5:$B$1276,A262,'Score Entry'!$E$5:$E$1276,"Third"),"")</f>
        <v/>
      </c>
      <c r="Q262" s="48" t="n">
        <f aca="false">IF(H262&lt;&gt;"Eligible","",IF(O262="Yes",IF(ISNUMBER(P262),ROUND(AVERAGE(L262,M262,P262),1),""),IF(O262="No",ROUND(AVERAGE(L262:M262),1),"")))</f>
        <v>71</v>
      </c>
      <c r="R262" s="37" t="str">
        <f aca="false">IF(H262&lt;&gt;"Eligible","Screened out",IF(COUNT(L262:M262)=0,"Not started",IF(COUNT(L262:M262)=1,"One read done",IF(O262="Yes",IF(ISNUMBER(P262),"Complete","Needs third read"),"Complete"))))</f>
        <v>Complete</v>
      </c>
      <c r="S262" s="37" t="n">
        <f aca="false">IF(Q262="","",COUNTIFS($C$5:$C$600,C262,$Q$5:$Q$600,"&gt;"&amp;Q262)+1)</f>
        <v>48</v>
      </c>
      <c r="T262" s="37" t="str">
        <f aca="false">IF(Q262="","",IF(Q262&gt;=Cutoff,"Yes","No"))</f>
        <v>No</v>
      </c>
      <c r="U262" s="49" t="n">
        <f aca="false">IF(T262="Yes",MIN(F262,INDEX(Settings!$G:$G,MATCH(C262,Settings!$E:$E,0))),0)</f>
        <v>0</v>
      </c>
      <c r="V262" s="49" t="str">
        <f aca="false">IF(T262="Yes",SUMIFS($U$5:$U$600,$C$5:$C$600,C262,$Q$5:$Q$600,"&gt;"&amp;Q262)+U262,"")</f>
        <v/>
      </c>
      <c r="W262" s="37" t="str">
        <f aca="false">IF(T262="Yes",IF(V262&lt;=INDEX(PoolList,MATCH(C262,ProgramList,0)),"Within pool","Over pool"),"")</f>
        <v/>
      </c>
      <c r="X262" s="37" t="str">
        <f aca="false">IF(O262="Yes",COUNTIF($O$5:O262,"Yes"),"")</f>
        <v/>
      </c>
    </row>
    <row r="263" customFormat="false" ht="15" hidden="false" customHeight="false" outlineLevel="0" collapsed="false">
      <c r="A263" s="35" t="s">
        <v>709</v>
      </c>
      <c r="B263" s="35" t="s">
        <v>710</v>
      </c>
      <c r="C263" s="35" t="s">
        <v>104</v>
      </c>
      <c r="D263" s="35" t="s">
        <v>174</v>
      </c>
      <c r="E263" s="35" t="s">
        <v>175</v>
      </c>
      <c r="F263" s="42" t="n">
        <v>54500</v>
      </c>
      <c r="G263" s="36" t="n">
        <v>45927</v>
      </c>
      <c r="H263" s="35" t="s">
        <v>54</v>
      </c>
      <c r="I263" s="35" t="s">
        <v>91</v>
      </c>
      <c r="J263" s="35" t="s">
        <v>78</v>
      </c>
      <c r="K263" s="35"/>
      <c r="L263" s="48" t="n">
        <f aca="false">IFERROR(AVERAGEIFS('Score Entry'!$M$5:$M$1276,'Score Entry'!$B$5:$B$1276,A263,'Score Entry'!$E$5:$E$1276,"Primary"),"")</f>
        <v>89</v>
      </c>
      <c r="M263" s="48" t="n">
        <f aca="false">IFERROR(AVERAGEIFS('Score Entry'!$M$5:$M$1276,'Score Entry'!$B$5:$B$1276,A263,'Score Entry'!$E$5:$E$1276,"Secondary"),"")</f>
        <v>72</v>
      </c>
      <c r="N263" s="48" t="n">
        <f aca="false">IF(COUNT(L263:M263)=2,ABS(L263-M263),"")</f>
        <v>17</v>
      </c>
      <c r="O263" s="37" t="str">
        <f aca="false">IF(N263="","",IF(N263&gt;=Threshold,"Yes","No"))</f>
        <v>No</v>
      </c>
      <c r="P263" s="48" t="str">
        <f aca="false">IFERROR(AVERAGEIFS('Score Entry'!$M$5:$M$1276,'Score Entry'!$B$5:$B$1276,A263,'Score Entry'!$E$5:$E$1276,"Third"),"")</f>
        <v/>
      </c>
      <c r="Q263" s="48" t="n">
        <f aca="false">IF(H263&lt;&gt;"Eligible","",IF(O263="Yes",IF(ISNUMBER(P263),ROUND(AVERAGE(L263,M263,P263),1),""),IF(O263="No",ROUND(AVERAGE(L263:M263),1),"")))</f>
        <v>80.5</v>
      </c>
      <c r="R263" s="37" t="str">
        <f aca="false">IF(H263&lt;&gt;"Eligible","Screened out",IF(COUNT(L263:M263)=0,"Not started",IF(COUNT(L263:M263)=1,"One read done",IF(O263="Yes",IF(ISNUMBER(P263),"Complete","Needs third read"),"Complete"))))</f>
        <v>Complete</v>
      </c>
      <c r="S263" s="37" t="n">
        <f aca="false">IF(Q263="","",COUNTIFS($C$5:$C$600,C263,$Q$5:$Q$600,"&gt;"&amp;Q263)+1)</f>
        <v>21</v>
      </c>
      <c r="T263" s="37" t="str">
        <f aca="false">IF(Q263="","",IF(Q263&gt;=Cutoff,"Yes","No"))</f>
        <v>No</v>
      </c>
      <c r="U263" s="49" t="n">
        <f aca="false">IF(T263="Yes",MIN(F263,INDEX(Settings!$G:$G,MATCH(C263,Settings!$E:$E,0))),0)</f>
        <v>0</v>
      </c>
      <c r="V263" s="49" t="str">
        <f aca="false">IF(T263="Yes",SUMIFS($U$5:$U$600,$C$5:$C$600,C263,$Q$5:$Q$600,"&gt;"&amp;Q263)+U263,"")</f>
        <v/>
      </c>
      <c r="W263" s="37" t="str">
        <f aca="false">IF(T263="Yes",IF(V263&lt;=INDEX(PoolList,MATCH(C263,ProgramList,0)),"Within pool","Over pool"),"")</f>
        <v/>
      </c>
      <c r="X263" s="37" t="str">
        <f aca="false">IF(O263="Yes",COUNTIF($O$5:O263,"Yes"),"")</f>
        <v/>
      </c>
    </row>
    <row r="264" customFormat="false" ht="15" hidden="false" customHeight="false" outlineLevel="0" collapsed="false">
      <c r="A264" s="35" t="s">
        <v>711</v>
      </c>
      <c r="B264" s="35" t="s">
        <v>712</v>
      </c>
      <c r="C264" s="35" t="s">
        <v>106</v>
      </c>
      <c r="D264" s="35" t="s">
        <v>174</v>
      </c>
      <c r="E264" s="35" t="s">
        <v>175</v>
      </c>
      <c r="F264" s="42" t="n">
        <v>65500</v>
      </c>
      <c r="G264" s="36" t="n">
        <v>45927</v>
      </c>
      <c r="H264" s="35" t="s">
        <v>54</v>
      </c>
      <c r="I264" s="35" t="s">
        <v>85</v>
      </c>
      <c r="J264" s="35" t="s">
        <v>88</v>
      </c>
      <c r="K264" s="35"/>
      <c r="L264" s="48" t="n">
        <f aca="false">IFERROR(AVERAGEIFS('Score Entry'!$M$5:$M$1276,'Score Entry'!$B$5:$B$1276,A264,'Score Entry'!$E$5:$E$1276,"Primary"),"")</f>
        <v>62</v>
      </c>
      <c r="M264" s="48" t="n">
        <f aca="false">IFERROR(AVERAGEIFS('Score Entry'!$M$5:$M$1276,'Score Entry'!$B$5:$B$1276,A264,'Score Entry'!$E$5:$E$1276,"Secondary"),"")</f>
        <v>51</v>
      </c>
      <c r="N264" s="48" t="n">
        <f aca="false">IF(COUNT(L264:M264)=2,ABS(L264-M264),"")</f>
        <v>11</v>
      </c>
      <c r="O264" s="37" t="str">
        <f aca="false">IF(N264="","",IF(N264&gt;=Threshold,"Yes","No"))</f>
        <v>No</v>
      </c>
      <c r="P264" s="48" t="str">
        <f aca="false">IFERROR(AVERAGEIFS('Score Entry'!$M$5:$M$1276,'Score Entry'!$B$5:$B$1276,A264,'Score Entry'!$E$5:$E$1276,"Third"),"")</f>
        <v/>
      </c>
      <c r="Q264" s="48" t="n">
        <f aca="false">IF(H264&lt;&gt;"Eligible","",IF(O264="Yes",IF(ISNUMBER(P264),ROUND(AVERAGE(L264,M264,P264),1),""),IF(O264="No",ROUND(AVERAGE(L264:M264),1),"")))</f>
        <v>56.5</v>
      </c>
      <c r="R264" s="37" t="str">
        <f aca="false">IF(H264&lt;&gt;"Eligible","Screened out",IF(COUNT(L264:M264)=0,"Not started",IF(COUNT(L264:M264)=1,"One read done",IF(O264="Yes",IF(ISNUMBER(P264),"Complete","Needs third read"),"Complete"))))</f>
        <v>Complete</v>
      </c>
      <c r="S264" s="37" t="n">
        <f aca="false">IF(Q264="","",COUNTIFS($C$5:$C$600,C264,$Q$5:$Q$600,"&gt;"&amp;Q264)+1)</f>
        <v>96</v>
      </c>
      <c r="T264" s="37" t="str">
        <f aca="false">IF(Q264="","",IF(Q264&gt;=Cutoff,"Yes","No"))</f>
        <v>No</v>
      </c>
      <c r="U264" s="49" t="n">
        <f aca="false">IF(T264="Yes",MIN(F264,INDEX(Settings!$G:$G,MATCH(C264,Settings!$E:$E,0))),0)</f>
        <v>0</v>
      </c>
      <c r="V264" s="49" t="str">
        <f aca="false">IF(T264="Yes",SUMIFS($U$5:$U$600,$C$5:$C$600,C264,$Q$5:$Q$600,"&gt;"&amp;Q264)+U264,"")</f>
        <v/>
      </c>
      <c r="W264" s="37" t="str">
        <f aca="false">IF(T264="Yes",IF(V264&lt;=INDEX(PoolList,MATCH(C264,ProgramList,0)),"Within pool","Over pool"),"")</f>
        <v/>
      </c>
      <c r="X264" s="37" t="str">
        <f aca="false">IF(O264="Yes",COUNTIF($O$5:O264,"Yes"),"")</f>
        <v/>
      </c>
    </row>
    <row r="265" customFormat="false" ht="15" hidden="false" customHeight="false" outlineLevel="0" collapsed="false">
      <c r="A265" s="35" t="s">
        <v>713</v>
      </c>
      <c r="B265" s="35" t="s">
        <v>714</v>
      </c>
      <c r="C265" s="35" t="s">
        <v>104</v>
      </c>
      <c r="D265" s="35" t="s">
        <v>174</v>
      </c>
      <c r="E265" s="35" t="s">
        <v>232</v>
      </c>
      <c r="F265" s="42" t="n">
        <v>233000</v>
      </c>
      <c r="G265" s="36" t="n">
        <v>45911</v>
      </c>
      <c r="H265" s="35" t="s">
        <v>54</v>
      </c>
      <c r="I265" s="35" t="s">
        <v>91</v>
      </c>
      <c r="J265" s="35" t="s">
        <v>82</v>
      </c>
      <c r="K265" s="35"/>
      <c r="L265" s="48" t="n">
        <f aca="false">IFERROR(AVERAGEIFS('Score Entry'!$M$5:$M$1276,'Score Entry'!$B$5:$B$1276,A265,'Score Entry'!$E$5:$E$1276,"Primary"),"")</f>
        <v>84</v>
      </c>
      <c r="M265" s="48" t="n">
        <f aca="false">IFERROR(AVERAGEIFS('Score Entry'!$M$5:$M$1276,'Score Entry'!$B$5:$B$1276,A265,'Score Entry'!$E$5:$E$1276,"Secondary"),"")</f>
        <v>74</v>
      </c>
      <c r="N265" s="48" t="n">
        <f aca="false">IF(COUNT(L265:M265)=2,ABS(L265-M265),"")</f>
        <v>10</v>
      </c>
      <c r="O265" s="37" t="str">
        <f aca="false">IF(N265="","",IF(N265&gt;=Threshold,"Yes","No"))</f>
        <v>No</v>
      </c>
      <c r="P265" s="48" t="str">
        <f aca="false">IFERROR(AVERAGEIFS('Score Entry'!$M$5:$M$1276,'Score Entry'!$B$5:$B$1276,A265,'Score Entry'!$E$5:$E$1276,"Third"),"")</f>
        <v/>
      </c>
      <c r="Q265" s="48" t="n">
        <f aca="false">IF(H265&lt;&gt;"Eligible","",IF(O265="Yes",IF(ISNUMBER(P265),ROUND(AVERAGE(L265,M265,P265),1),""),IF(O265="No",ROUND(AVERAGE(L265:M265),1),"")))</f>
        <v>79</v>
      </c>
      <c r="R265" s="37" t="str">
        <f aca="false">IF(H265&lt;&gt;"Eligible","Screened out",IF(COUNT(L265:M265)=0,"Not started",IF(COUNT(L265:M265)=1,"One read done",IF(O265="Yes",IF(ISNUMBER(P265),"Complete","Needs third read"),"Complete"))))</f>
        <v>Complete</v>
      </c>
      <c r="S265" s="37" t="n">
        <f aca="false">IF(Q265="","",COUNTIFS($C$5:$C$600,C265,$Q$5:$Q$600,"&gt;"&amp;Q265)+1)</f>
        <v>25</v>
      </c>
      <c r="T265" s="37" t="str">
        <f aca="false">IF(Q265="","",IF(Q265&gt;=Cutoff,"Yes","No"))</f>
        <v>No</v>
      </c>
      <c r="U265" s="49" t="n">
        <f aca="false">IF(T265="Yes",MIN(F265,INDEX(Settings!$G:$G,MATCH(C265,Settings!$E:$E,0))),0)</f>
        <v>0</v>
      </c>
      <c r="V265" s="49" t="str">
        <f aca="false">IF(T265="Yes",SUMIFS($U$5:$U$600,$C$5:$C$600,C265,$Q$5:$Q$600,"&gt;"&amp;Q265)+U265,"")</f>
        <v/>
      </c>
      <c r="W265" s="37" t="str">
        <f aca="false">IF(T265="Yes",IF(V265&lt;=INDEX(PoolList,MATCH(C265,ProgramList,0)),"Within pool","Over pool"),"")</f>
        <v/>
      </c>
      <c r="X265" s="37" t="str">
        <f aca="false">IF(O265="Yes",COUNTIF($O$5:O265,"Yes"),"")</f>
        <v/>
      </c>
    </row>
    <row r="266" customFormat="false" ht="15" hidden="false" customHeight="false" outlineLevel="0" collapsed="false">
      <c r="A266" s="35" t="s">
        <v>715</v>
      </c>
      <c r="B266" s="35" t="s">
        <v>716</v>
      </c>
      <c r="C266" s="35" t="s">
        <v>105</v>
      </c>
      <c r="D266" s="35" t="s">
        <v>239</v>
      </c>
      <c r="E266" s="35" t="s">
        <v>247</v>
      </c>
      <c r="F266" s="42" t="n">
        <v>125500</v>
      </c>
      <c r="G266" s="36" t="n">
        <v>45912</v>
      </c>
      <c r="H266" s="35" t="s">
        <v>54</v>
      </c>
      <c r="I266" s="35" t="s">
        <v>82</v>
      </c>
      <c r="J266" s="35" t="s">
        <v>88</v>
      </c>
      <c r="K266" s="35"/>
      <c r="L266" s="48" t="n">
        <f aca="false">IFERROR(AVERAGEIFS('Score Entry'!$M$5:$M$1276,'Score Entry'!$B$5:$B$1276,A266,'Score Entry'!$E$5:$E$1276,"Primary"),"")</f>
        <v>60</v>
      </c>
      <c r="M266" s="48" t="n">
        <f aca="false">IFERROR(AVERAGEIFS('Score Entry'!$M$5:$M$1276,'Score Entry'!$B$5:$B$1276,A266,'Score Entry'!$E$5:$E$1276,"Secondary"),"")</f>
        <v>60</v>
      </c>
      <c r="N266" s="48" t="n">
        <f aca="false">IF(COUNT(L266:M266)=2,ABS(L266-M266),"")</f>
        <v>0</v>
      </c>
      <c r="O266" s="37" t="str">
        <f aca="false">IF(N266="","",IF(N266&gt;=Threshold,"Yes","No"))</f>
        <v>No</v>
      </c>
      <c r="P266" s="48" t="str">
        <f aca="false">IFERROR(AVERAGEIFS('Score Entry'!$M$5:$M$1276,'Score Entry'!$B$5:$B$1276,A266,'Score Entry'!$E$5:$E$1276,"Third"),"")</f>
        <v/>
      </c>
      <c r="Q266" s="48" t="n">
        <f aca="false">IF(H266&lt;&gt;"Eligible","",IF(O266="Yes",IF(ISNUMBER(P266),ROUND(AVERAGE(L266,M266,P266),1),""),IF(O266="No",ROUND(AVERAGE(L266:M266),1),"")))</f>
        <v>60</v>
      </c>
      <c r="R266" s="37" t="str">
        <f aca="false">IF(H266&lt;&gt;"Eligible","Screened out",IF(COUNT(L266:M266)=0,"Not started",IF(COUNT(L266:M266)=1,"One read done",IF(O266="Yes",IF(ISNUMBER(P266),"Complete","Needs third read"),"Complete"))))</f>
        <v>Complete</v>
      </c>
      <c r="S266" s="37" t="n">
        <f aca="false">IF(Q266="","",COUNTIFS($C$5:$C$600,C266,$Q$5:$Q$600,"&gt;"&amp;Q266)+1)</f>
        <v>72</v>
      </c>
      <c r="T266" s="37" t="str">
        <f aca="false">IF(Q266="","",IF(Q266&gt;=Cutoff,"Yes","No"))</f>
        <v>No</v>
      </c>
      <c r="U266" s="49" t="n">
        <f aca="false">IF(T266="Yes",MIN(F266,INDEX(Settings!$G:$G,MATCH(C266,Settings!$E:$E,0))),0)</f>
        <v>0</v>
      </c>
      <c r="V266" s="49" t="str">
        <f aca="false">IF(T266="Yes",SUMIFS($U$5:$U$600,$C$5:$C$600,C266,$Q$5:$Q$600,"&gt;"&amp;Q266)+U266,"")</f>
        <v/>
      </c>
      <c r="W266" s="37" t="str">
        <f aca="false">IF(T266="Yes",IF(V266&lt;=INDEX(PoolList,MATCH(C266,ProgramList,0)),"Within pool","Over pool"),"")</f>
        <v/>
      </c>
      <c r="X266" s="37" t="str">
        <f aca="false">IF(O266="Yes",COUNTIF($O$5:O266,"Yes"),"")</f>
        <v/>
      </c>
    </row>
    <row r="267" customFormat="false" ht="15" hidden="false" customHeight="false" outlineLevel="0" collapsed="false">
      <c r="A267" s="35" t="s">
        <v>717</v>
      </c>
      <c r="B267" s="35" t="s">
        <v>718</v>
      </c>
      <c r="C267" s="35" t="s">
        <v>103</v>
      </c>
      <c r="D267" s="35" t="s">
        <v>180</v>
      </c>
      <c r="E267" s="35" t="s">
        <v>252</v>
      </c>
      <c r="F267" s="42" t="n">
        <v>237000</v>
      </c>
      <c r="G267" s="36" t="n">
        <v>45927</v>
      </c>
      <c r="H267" s="35" t="s">
        <v>54</v>
      </c>
      <c r="I267" s="35" t="s">
        <v>85</v>
      </c>
      <c r="J267" s="35" t="s">
        <v>94</v>
      </c>
      <c r="K267" s="35"/>
      <c r="L267" s="48" t="n">
        <f aca="false">IFERROR(AVERAGEIFS('Score Entry'!$M$5:$M$1276,'Score Entry'!$B$5:$B$1276,A267,'Score Entry'!$E$5:$E$1276,"Primary"),"")</f>
        <v>56</v>
      </c>
      <c r="M267" s="48" t="n">
        <f aca="false">IFERROR(AVERAGEIFS('Score Entry'!$M$5:$M$1276,'Score Entry'!$B$5:$B$1276,A267,'Score Entry'!$E$5:$E$1276,"Secondary"),"")</f>
        <v>53</v>
      </c>
      <c r="N267" s="48" t="n">
        <f aca="false">IF(COUNT(L267:M267)=2,ABS(L267-M267),"")</f>
        <v>3</v>
      </c>
      <c r="O267" s="37" t="str">
        <f aca="false">IF(N267="","",IF(N267&gt;=Threshold,"Yes","No"))</f>
        <v>No</v>
      </c>
      <c r="P267" s="48" t="str">
        <f aca="false">IFERROR(AVERAGEIFS('Score Entry'!$M$5:$M$1276,'Score Entry'!$B$5:$B$1276,A267,'Score Entry'!$E$5:$E$1276,"Third"),"")</f>
        <v/>
      </c>
      <c r="Q267" s="48" t="n">
        <f aca="false">IF(H267&lt;&gt;"Eligible","",IF(O267="Yes",IF(ISNUMBER(P267),ROUND(AVERAGE(L267,M267,P267),1),""),IF(O267="No",ROUND(AVERAGE(L267:M267),1),"")))</f>
        <v>54.5</v>
      </c>
      <c r="R267" s="37" t="str">
        <f aca="false">IF(H267&lt;&gt;"Eligible","Screened out",IF(COUNT(L267:M267)=0,"Not started",IF(COUNT(L267:M267)=1,"One read done",IF(O267="Yes",IF(ISNUMBER(P267),"Complete","Needs third read"),"Complete"))))</f>
        <v>Complete</v>
      </c>
      <c r="S267" s="37" t="n">
        <f aca="false">IF(Q267="","",COUNTIFS($C$5:$C$600,C267,$Q$5:$Q$600,"&gt;"&amp;Q267)+1)</f>
        <v>136</v>
      </c>
      <c r="T267" s="37" t="str">
        <f aca="false">IF(Q267="","",IF(Q267&gt;=Cutoff,"Yes","No"))</f>
        <v>No</v>
      </c>
      <c r="U267" s="49" t="n">
        <f aca="false">IF(T267="Yes",MIN(F267,INDEX(Settings!$G:$G,MATCH(C267,Settings!$E:$E,0))),0)</f>
        <v>0</v>
      </c>
      <c r="V267" s="49" t="str">
        <f aca="false">IF(T267="Yes",SUMIFS($U$5:$U$600,$C$5:$C$600,C267,$Q$5:$Q$600,"&gt;"&amp;Q267)+U267,"")</f>
        <v/>
      </c>
      <c r="W267" s="37" t="str">
        <f aca="false">IF(T267="Yes",IF(V267&lt;=INDEX(PoolList,MATCH(C267,ProgramList,0)),"Within pool","Over pool"),"")</f>
        <v/>
      </c>
      <c r="X267" s="37" t="str">
        <f aca="false">IF(O267="Yes",COUNTIF($O$5:O267,"Yes"),"")</f>
        <v/>
      </c>
    </row>
    <row r="268" customFormat="false" ht="15" hidden="false" customHeight="false" outlineLevel="0" collapsed="false">
      <c r="A268" s="35" t="s">
        <v>719</v>
      </c>
      <c r="B268" s="35" t="s">
        <v>720</v>
      </c>
      <c r="C268" s="35" t="s">
        <v>103</v>
      </c>
      <c r="D268" s="35" t="s">
        <v>174</v>
      </c>
      <c r="E268" s="35" t="s">
        <v>175</v>
      </c>
      <c r="F268" s="42" t="n">
        <v>73000</v>
      </c>
      <c r="G268" s="36" t="n">
        <v>45922</v>
      </c>
      <c r="H268" s="35" t="s">
        <v>54</v>
      </c>
      <c r="I268" s="35" t="s">
        <v>78</v>
      </c>
      <c r="J268" s="35" t="s">
        <v>82</v>
      </c>
      <c r="K268" s="35" t="s">
        <v>94</v>
      </c>
      <c r="L268" s="48" t="n">
        <f aca="false">IFERROR(AVERAGEIFS('Score Entry'!$M$5:$M$1276,'Score Entry'!$B$5:$B$1276,A268,'Score Entry'!$E$5:$E$1276,"Primary"),"")</f>
        <v>87</v>
      </c>
      <c r="M268" s="48" t="n">
        <f aca="false">IFERROR(AVERAGEIFS('Score Entry'!$M$5:$M$1276,'Score Entry'!$B$5:$B$1276,A268,'Score Entry'!$E$5:$E$1276,"Secondary"),"")</f>
        <v>56</v>
      </c>
      <c r="N268" s="48" t="n">
        <f aca="false">IF(COUNT(L268:M268)=2,ABS(L268-M268),"")</f>
        <v>31</v>
      </c>
      <c r="O268" s="37" t="str">
        <f aca="false">IF(N268="","",IF(N268&gt;=Threshold,"Yes","No"))</f>
        <v>Yes</v>
      </c>
      <c r="P268" s="48" t="str">
        <f aca="false">IFERROR(AVERAGEIFS('Score Entry'!$M$5:$M$1276,'Score Entry'!$B$5:$B$1276,A268,'Score Entry'!$E$5:$E$1276,"Third"),"")</f>
        <v/>
      </c>
      <c r="Q268" s="48" t="str">
        <f aca="false">IF(H268&lt;&gt;"Eligible","",IF(O268="Yes",IF(ISNUMBER(P268),ROUND(AVERAGE(L268,M268,P268),1),""),IF(O268="No",ROUND(AVERAGE(L268:M268),1),"")))</f>
        <v/>
      </c>
      <c r="R268" s="37" t="str">
        <f aca="false">IF(H268&lt;&gt;"Eligible","Screened out",IF(COUNT(L268:M268)=0,"Not started",IF(COUNT(L268:M268)=1,"One read done",IF(O268="Yes",IF(ISNUMBER(P268),"Complete","Needs third read"),"Complete"))))</f>
        <v>Needs third read</v>
      </c>
      <c r="S268" s="37" t="str">
        <f aca="false">IF(Q268="","",COUNTIFS($C$5:$C$600,C268,$Q$5:$Q$600,"&gt;"&amp;Q268)+1)</f>
        <v/>
      </c>
      <c r="T268" s="37" t="str">
        <f aca="false">IF(Q268="","",IF(Q268&gt;=Cutoff,"Yes","No"))</f>
        <v/>
      </c>
      <c r="U268" s="49" t="n">
        <f aca="false">IF(T268="Yes",MIN(F268,INDEX(Settings!$G:$G,MATCH(C268,Settings!$E:$E,0))),0)</f>
        <v>0</v>
      </c>
      <c r="V268" s="49" t="str">
        <f aca="false">IF(T268="Yes",SUMIFS($U$5:$U$600,$C$5:$C$600,C268,$Q$5:$Q$600,"&gt;"&amp;Q268)+U268,"")</f>
        <v/>
      </c>
      <c r="W268" s="37" t="str">
        <f aca="false">IF(T268="Yes",IF(V268&lt;=INDEX(PoolList,MATCH(C268,ProgramList,0)),"Within pool","Over pool"),"")</f>
        <v/>
      </c>
      <c r="X268" s="37" t="n">
        <f aca="false">IF(O268="Yes",COUNTIF($O$5:O268,"Yes"),"")</f>
        <v>37</v>
      </c>
    </row>
    <row r="269" customFormat="false" ht="15" hidden="false" customHeight="false" outlineLevel="0" collapsed="false">
      <c r="A269" s="35" t="s">
        <v>721</v>
      </c>
      <c r="B269" s="35" t="s">
        <v>722</v>
      </c>
      <c r="C269" s="35" t="s">
        <v>106</v>
      </c>
      <c r="D269" s="35" t="s">
        <v>174</v>
      </c>
      <c r="E269" s="35" t="s">
        <v>232</v>
      </c>
      <c r="F269" s="42" t="n">
        <v>41000</v>
      </c>
      <c r="G269" s="36" t="n">
        <v>45918</v>
      </c>
      <c r="H269" s="35" t="s">
        <v>54</v>
      </c>
      <c r="I269" s="35" t="s">
        <v>94</v>
      </c>
      <c r="J269" s="35" t="s">
        <v>85</v>
      </c>
      <c r="K269" s="35"/>
      <c r="L269" s="48" t="n">
        <f aca="false">IFERROR(AVERAGEIFS('Score Entry'!$M$5:$M$1276,'Score Entry'!$B$5:$B$1276,A269,'Score Entry'!$E$5:$E$1276,"Primary"),"")</f>
        <v>84</v>
      </c>
      <c r="M269" s="48" t="n">
        <f aca="false">IFERROR(AVERAGEIFS('Score Entry'!$M$5:$M$1276,'Score Entry'!$B$5:$B$1276,A269,'Score Entry'!$E$5:$E$1276,"Secondary"),"")</f>
        <v>77</v>
      </c>
      <c r="N269" s="48" t="n">
        <f aca="false">IF(COUNT(L269:M269)=2,ABS(L269-M269),"")</f>
        <v>7</v>
      </c>
      <c r="O269" s="37" t="str">
        <f aca="false">IF(N269="","",IF(N269&gt;=Threshold,"Yes","No"))</f>
        <v>No</v>
      </c>
      <c r="P269" s="48" t="str">
        <f aca="false">IFERROR(AVERAGEIFS('Score Entry'!$M$5:$M$1276,'Score Entry'!$B$5:$B$1276,A269,'Score Entry'!$E$5:$E$1276,"Third"),"")</f>
        <v/>
      </c>
      <c r="Q269" s="48" t="n">
        <f aca="false">IF(H269&lt;&gt;"Eligible","",IF(O269="Yes",IF(ISNUMBER(P269),ROUND(AVERAGE(L269,M269,P269),1),""),IF(O269="No",ROUND(AVERAGE(L269:M269),1),"")))</f>
        <v>80.5</v>
      </c>
      <c r="R269" s="37" t="str">
        <f aca="false">IF(H269&lt;&gt;"Eligible","Screened out",IF(COUNT(L269:M269)=0,"Not started",IF(COUNT(L269:M269)=1,"One read done",IF(O269="Yes",IF(ISNUMBER(P269),"Complete","Needs third read"),"Complete"))))</f>
        <v>Complete</v>
      </c>
      <c r="S269" s="37" t="n">
        <f aca="false">IF(Q269="","",COUNTIFS($C$5:$C$600,C269,$Q$5:$Q$600,"&gt;"&amp;Q269)+1)</f>
        <v>19</v>
      </c>
      <c r="T269" s="37" t="str">
        <f aca="false">IF(Q269="","",IF(Q269&gt;=Cutoff,"Yes","No"))</f>
        <v>No</v>
      </c>
      <c r="U269" s="49" t="n">
        <f aca="false">IF(T269="Yes",MIN(F269,INDEX(Settings!$G:$G,MATCH(C269,Settings!$E:$E,0))),0)</f>
        <v>0</v>
      </c>
      <c r="V269" s="49" t="str">
        <f aca="false">IF(T269="Yes",SUMIFS($U$5:$U$600,$C$5:$C$600,C269,$Q$5:$Q$600,"&gt;"&amp;Q269)+U269,"")</f>
        <v/>
      </c>
      <c r="W269" s="37" t="str">
        <f aca="false">IF(T269="Yes",IF(V269&lt;=INDEX(PoolList,MATCH(C269,ProgramList,0)),"Within pool","Over pool"),"")</f>
        <v/>
      </c>
      <c r="X269" s="37" t="str">
        <f aca="false">IF(O269="Yes",COUNTIF($O$5:O269,"Yes"),"")</f>
        <v/>
      </c>
    </row>
    <row r="270" customFormat="false" ht="15" hidden="false" customHeight="false" outlineLevel="0" collapsed="false">
      <c r="A270" s="35" t="s">
        <v>723</v>
      </c>
      <c r="B270" s="35" t="s">
        <v>724</v>
      </c>
      <c r="C270" s="35" t="s">
        <v>105</v>
      </c>
      <c r="D270" s="35" t="s">
        <v>174</v>
      </c>
      <c r="E270" s="35" t="s">
        <v>232</v>
      </c>
      <c r="F270" s="42" t="n">
        <v>122000</v>
      </c>
      <c r="G270" s="36" t="n">
        <v>45912</v>
      </c>
      <c r="H270" s="35" t="s">
        <v>54</v>
      </c>
      <c r="I270" s="35" t="s">
        <v>85</v>
      </c>
      <c r="J270" s="35" t="s">
        <v>91</v>
      </c>
      <c r="K270" s="35"/>
      <c r="L270" s="48" t="n">
        <f aca="false">IFERROR(AVERAGEIFS('Score Entry'!$M$5:$M$1276,'Score Entry'!$B$5:$B$1276,A270,'Score Entry'!$E$5:$E$1276,"Primary"),"")</f>
        <v>71</v>
      </c>
      <c r="M270" s="48" t="n">
        <f aca="false">IFERROR(AVERAGEIFS('Score Entry'!$M$5:$M$1276,'Score Entry'!$B$5:$B$1276,A270,'Score Entry'!$E$5:$E$1276,"Secondary"),"")</f>
        <v>69</v>
      </c>
      <c r="N270" s="48" t="n">
        <f aca="false">IF(COUNT(L270:M270)=2,ABS(L270-M270),"")</f>
        <v>2</v>
      </c>
      <c r="O270" s="37" t="str">
        <f aca="false">IF(N270="","",IF(N270&gt;=Threshold,"Yes","No"))</f>
        <v>No</v>
      </c>
      <c r="P270" s="48" t="str">
        <f aca="false">IFERROR(AVERAGEIFS('Score Entry'!$M$5:$M$1276,'Score Entry'!$B$5:$B$1276,A270,'Score Entry'!$E$5:$E$1276,"Third"),"")</f>
        <v/>
      </c>
      <c r="Q270" s="48" t="n">
        <f aca="false">IF(H270&lt;&gt;"Eligible","",IF(O270="Yes",IF(ISNUMBER(P270),ROUND(AVERAGE(L270,M270,P270),1),""),IF(O270="No",ROUND(AVERAGE(L270:M270),1),"")))</f>
        <v>70</v>
      </c>
      <c r="R270" s="37" t="str">
        <f aca="false">IF(H270&lt;&gt;"Eligible","Screened out",IF(COUNT(L270:M270)=0,"Not started",IF(COUNT(L270:M270)=1,"One read done",IF(O270="Yes",IF(ISNUMBER(P270),"Complete","Needs third read"),"Complete"))))</f>
        <v>Complete</v>
      </c>
      <c r="S270" s="37" t="n">
        <f aca="false">IF(Q270="","",COUNTIFS($C$5:$C$600,C270,$Q$5:$Q$600,"&gt;"&amp;Q270)+1)</f>
        <v>39</v>
      </c>
      <c r="T270" s="37" t="str">
        <f aca="false">IF(Q270="","",IF(Q270&gt;=Cutoff,"Yes","No"))</f>
        <v>No</v>
      </c>
      <c r="U270" s="49" t="n">
        <f aca="false">IF(T270="Yes",MIN(F270,INDEX(Settings!$G:$G,MATCH(C270,Settings!$E:$E,0))),0)</f>
        <v>0</v>
      </c>
      <c r="V270" s="49" t="str">
        <f aca="false">IF(T270="Yes",SUMIFS($U$5:$U$600,$C$5:$C$600,C270,$Q$5:$Q$600,"&gt;"&amp;Q270)+U270,"")</f>
        <v/>
      </c>
      <c r="W270" s="37" t="str">
        <f aca="false">IF(T270="Yes",IF(V270&lt;=INDEX(PoolList,MATCH(C270,ProgramList,0)),"Within pool","Over pool"),"")</f>
        <v/>
      </c>
      <c r="X270" s="37" t="str">
        <f aca="false">IF(O270="Yes",COUNTIF($O$5:O270,"Yes"),"")</f>
        <v/>
      </c>
    </row>
    <row r="271" customFormat="false" ht="15" hidden="false" customHeight="false" outlineLevel="0" collapsed="false">
      <c r="A271" s="35" t="s">
        <v>725</v>
      </c>
      <c r="B271" s="35" t="s">
        <v>726</v>
      </c>
      <c r="C271" s="35" t="s">
        <v>103</v>
      </c>
      <c r="D271" s="35" t="s">
        <v>174</v>
      </c>
      <c r="E271" s="35" t="s">
        <v>232</v>
      </c>
      <c r="F271" s="42" t="n">
        <v>17000</v>
      </c>
      <c r="G271" s="36" t="n">
        <v>45909</v>
      </c>
      <c r="H271" s="35" t="s">
        <v>96</v>
      </c>
      <c r="I271" s="35"/>
      <c r="J271" s="35"/>
      <c r="K271" s="35"/>
      <c r="L271" s="48" t="str">
        <f aca="false">IFERROR(AVERAGEIFS('Score Entry'!$M$5:$M$1276,'Score Entry'!$B$5:$B$1276,A271,'Score Entry'!$E$5:$E$1276,"Primary"),"")</f>
        <v/>
      </c>
      <c r="M271" s="48" t="str">
        <f aca="false">IFERROR(AVERAGEIFS('Score Entry'!$M$5:$M$1276,'Score Entry'!$B$5:$B$1276,A271,'Score Entry'!$E$5:$E$1276,"Secondary"),"")</f>
        <v/>
      </c>
      <c r="N271" s="48" t="str">
        <f aca="false">IF(COUNT(L271:M271)=2,ABS(L271-M271),"")</f>
        <v/>
      </c>
      <c r="O271" s="37" t="str">
        <f aca="false">IF(N271="","",IF(N271&gt;=Threshold,"Yes","No"))</f>
        <v/>
      </c>
      <c r="P271" s="48" t="str">
        <f aca="false">IFERROR(AVERAGEIFS('Score Entry'!$M$5:$M$1276,'Score Entry'!$B$5:$B$1276,A271,'Score Entry'!$E$5:$E$1276,"Third"),"")</f>
        <v/>
      </c>
      <c r="Q271" s="48" t="str">
        <f aca="false">IF(H271&lt;&gt;"Eligible","",IF(O271="Yes",IF(ISNUMBER(P271),ROUND(AVERAGE(L271,M271,P271),1),""),IF(O271="No",ROUND(AVERAGE(L271:M271),1),"")))</f>
        <v/>
      </c>
      <c r="R271" s="37" t="str">
        <f aca="false">IF(H271&lt;&gt;"Eligible","Screened out",IF(COUNT(L271:M271)=0,"Not started",IF(COUNT(L271:M271)=1,"One read done",IF(O271="Yes",IF(ISNUMBER(P271),"Complete","Needs third read"),"Complete"))))</f>
        <v>Screened out</v>
      </c>
      <c r="S271" s="37" t="str">
        <f aca="false">IF(Q271="","",COUNTIFS($C$5:$C$600,C271,$Q$5:$Q$600,"&gt;"&amp;Q271)+1)</f>
        <v/>
      </c>
      <c r="T271" s="37" t="str">
        <f aca="false">IF(Q271="","",IF(Q271&gt;=Cutoff,"Yes","No"))</f>
        <v/>
      </c>
      <c r="U271" s="49" t="n">
        <f aca="false">IF(T271="Yes",MIN(F271,INDEX(Settings!$G:$G,MATCH(C271,Settings!$E:$E,0))),0)</f>
        <v>0</v>
      </c>
      <c r="V271" s="49" t="str">
        <f aca="false">IF(T271="Yes",SUMIFS($U$5:$U$600,$C$5:$C$600,C271,$Q$5:$Q$600,"&gt;"&amp;Q271)+U271,"")</f>
        <v/>
      </c>
      <c r="W271" s="37" t="str">
        <f aca="false">IF(T271="Yes",IF(V271&lt;=INDEX(PoolList,MATCH(C271,ProgramList,0)),"Within pool","Over pool"),"")</f>
        <v/>
      </c>
      <c r="X271" s="37" t="str">
        <f aca="false">IF(O271="Yes",COUNTIF($O$5:O271,"Yes"),"")</f>
        <v/>
      </c>
    </row>
    <row r="272" customFormat="false" ht="15" hidden="false" customHeight="false" outlineLevel="0" collapsed="false">
      <c r="A272" s="35" t="s">
        <v>727</v>
      </c>
      <c r="B272" s="35" t="s">
        <v>728</v>
      </c>
      <c r="C272" s="35" t="s">
        <v>106</v>
      </c>
      <c r="D272" s="35" t="s">
        <v>174</v>
      </c>
      <c r="E272" s="35" t="s">
        <v>232</v>
      </c>
      <c r="F272" s="42" t="n">
        <v>110500</v>
      </c>
      <c r="G272" s="36" t="n">
        <v>45924</v>
      </c>
      <c r="H272" s="35" t="s">
        <v>54</v>
      </c>
      <c r="I272" s="35" t="s">
        <v>78</v>
      </c>
      <c r="J272" s="35" t="s">
        <v>88</v>
      </c>
      <c r="K272" s="35"/>
      <c r="L272" s="48" t="n">
        <f aca="false">IFERROR(AVERAGEIFS('Score Entry'!$M$5:$M$1276,'Score Entry'!$B$5:$B$1276,A272,'Score Entry'!$E$5:$E$1276,"Primary"),"")</f>
        <v>43</v>
      </c>
      <c r="M272" s="48" t="n">
        <f aca="false">IFERROR(AVERAGEIFS('Score Entry'!$M$5:$M$1276,'Score Entry'!$B$5:$B$1276,A272,'Score Entry'!$E$5:$E$1276,"Secondary"),"")</f>
        <v>56</v>
      </c>
      <c r="N272" s="48" t="n">
        <f aca="false">IF(COUNT(L272:M272)=2,ABS(L272-M272),"")</f>
        <v>13</v>
      </c>
      <c r="O272" s="37" t="str">
        <f aca="false">IF(N272="","",IF(N272&gt;=Threshold,"Yes","No"))</f>
        <v>No</v>
      </c>
      <c r="P272" s="48" t="str">
        <f aca="false">IFERROR(AVERAGEIFS('Score Entry'!$M$5:$M$1276,'Score Entry'!$B$5:$B$1276,A272,'Score Entry'!$E$5:$E$1276,"Third"),"")</f>
        <v/>
      </c>
      <c r="Q272" s="48" t="n">
        <f aca="false">IF(H272&lt;&gt;"Eligible","",IF(O272="Yes",IF(ISNUMBER(P272),ROUND(AVERAGE(L272,M272,P272),1),""),IF(O272="No",ROUND(AVERAGE(L272:M272),1),"")))</f>
        <v>49.5</v>
      </c>
      <c r="R272" s="37" t="str">
        <f aca="false">IF(H272&lt;&gt;"Eligible","Screened out",IF(COUNT(L272:M272)=0,"Not started",IF(COUNT(L272:M272)=1,"One read done",IF(O272="Yes",IF(ISNUMBER(P272),"Complete","Needs third read"),"Complete"))))</f>
        <v>Complete</v>
      </c>
      <c r="S272" s="37" t="n">
        <f aca="false">IF(Q272="","",COUNTIFS($C$5:$C$600,C272,$Q$5:$Q$600,"&gt;"&amp;Q272)+1)</f>
        <v>108</v>
      </c>
      <c r="T272" s="37" t="str">
        <f aca="false">IF(Q272="","",IF(Q272&gt;=Cutoff,"Yes","No"))</f>
        <v>No</v>
      </c>
      <c r="U272" s="49" t="n">
        <f aca="false">IF(T272="Yes",MIN(F272,INDEX(Settings!$G:$G,MATCH(C272,Settings!$E:$E,0))),0)</f>
        <v>0</v>
      </c>
      <c r="V272" s="49" t="str">
        <f aca="false">IF(T272="Yes",SUMIFS($U$5:$U$600,$C$5:$C$600,C272,$Q$5:$Q$600,"&gt;"&amp;Q272)+U272,"")</f>
        <v/>
      </c>
      <c r="W272" s="37" t="str">
        <f aca="false">IF(T272="Yes",IF(V272&lt;=INDEX(PoolList,MATCH(C272,ProgramList,0)),"Within pool","Over pool"),"")</f>
        <v/>
      </c>
      <c r="X272" s="37" t="str">
        <f aca="false">IF(O272="Yes",COUNTIF($O$5:O272,"Yes"),"")</f>
        <v/>
      </c>
    </row>
    <row r="273" customFormat="false" ht="15" hidden="false" customHeight="false" outlineLevel="0" collapsed="false">
      <c r="A273" s="35" t="s">
        <v>729</v>
      </c>
      <c r="B273" s="35" t="s">
        <v>730</v>
      </c>
      <c r="C273" s="35" t="s">
        <v>103</v>
      </c>
      <c r="D273" s="35" t="s">
        <v>174</v>
      </c>
      <c r="E273" s="35" t="s">
        <v>175</v>
      </c>
      <c r="F273" s="42" t="n">
        <v>46500</v>
      </c>
      <c r="G273" s="36" t="n">
        <v>45911</v>
      </c>
      <c r="H273" s="35" t="s">
        <v>54</v>
      </c>
      <c r="I273" s="35" t="s">
        <v>78</v>
      </c>
      <c r="J273" s="35" t="s">
        <v>85</v>
      </c>
      <c r="K273" s="35"/>
      <c r="L273" s="48" t="n">
        <f aca="false">IFERROR(AVERAGEIFS('Score Entry'!$M$5:$M$1276,'Score Entry'!$B$5:$B$1276,A273,'Score Entry'!$E$5:$E$1276,"Primary"),"")</f>
        <v>60</v>
      </c>
      <c r="M273" s="48" t="n">
        <f aca="false">IFERROR(AVERAGEIFS('Score Entry'!$M$5:$M$1276,'Score Entry'!$B$5:$B$1276,A273,'Score Entry'!$E$5:$E$1276,"Secondary"),"")</f>
        <v>52</v>
      </c>
      <c r="N273" s="48" t="n">
        <f aca="false">IF(COUNT(L273:M273)=2,ABS(L273-M273),"")</f>
        <v>8</v>
      </c>
      <c r="O273" s="37" t="str">
        <f aca="false">IF(N273="","",IF(N273&gt;=Threshold,"Yes","No"))</f>
        <v>No</v>
      </c>
      <c r="P273" s="48" t="str">
        <f aca="false">IFERROR(AVERAGEIFS('Score Entry'!$M$5:$M$1276,'Score Entry'!$B$5:$B$1276,A273,'Score Entry'!$E$5:$E$1276,"Third"),"")</f>
        <v/>
      </c>
      <c r="Q273" s="48" t="n">
        <f aca="false">IF(H273&lt;&gt;"Eligible","",IF(O273="Yes",IF(ISNUMBER(P273),ROUND(AVERAGE(L273,M273,P273),1),""),IF(O273="No",ROUND(AVERAGE(L273:M273),1),"")))</f>
        <v>56</v>
      </c>
      <c r="R273" s="37" t="str">
        <f aca="false">IF(H273&lt;&gt;"Eligible","Screened out",IF(COUNT(L273:M273)=0,"Not started",IF(COUNT(L273:M273)=1,"One read done",IF(O273="Yes",IF(ISNUMBER(P273),"Complete","Needs third read"),"Complete"))))</f>
        <v>Complete</v>
      </c>
      <c r="S273" s="37" t="n">
        <f aca="false">IF(Q273="","",COUNTIFS($C$5:$C$600,C273,$Q$5:$Q$600,"&gt;"&amp;Q273)+1)</f>
        <v>126</v>
      </c>
      <c r="T273" s="37" t="str">
        <f aca="false">IF(Q273="","",IF(Q273&gt;=Cutoff,"Yes","No"))</f>
        <v>No</v>
      </c>
      <c r="U273" s="49" t="n">
        <f aca="false">IF(T273="Yes",MIN(F273,INDEX(Settings!$G:$G,MATCH(C273,Settings!$E:$E,0))),0)</f>
        <v>0</v>
      </c>
      <c r="V273" s="49" t="str">
        <f aca="false">IF(T273="Yes",SUMIFS($U$5:$U$600,$C$5:$C$600,C273,$Q$5:$Q$600,"&gt;"&amp;Q273)+U273,"")</f>
        <v/>
      </c>
      <c r="W273" s="37" t="str">
        <f aca="false">IF(T273="Yes",IF(V273&lt;=INDEX(PoolList,MATCH(C273,ProgramList,0)),"Within pool","Over pool"),"")</f>
        <v/>
      </c>
      <c r="X273" s="37" t="str">
        <f aca="false">IF(O273="Yes",COUNTIF($O$5:O273,"Yes"),"")</f>
        <v/>
      </c>
    </row>
    <row r="274" customFormat="false" ht="15" hidden="false" customHeight="false" outlineLevel="0" collapsed="false">
      <c r="A274" s="35" t="s">
        <v>731</v>
      </c>
      <c r="B274" s="35" t="s">
        <v>732</v>
      </c>
      <c r="C274" s="35" t="s">
        <v>103</v>
      </c>
      <c r="D274" s="35" t="s">
        <v>174</v>
      </c>
      <c r="E274" s="35" t="s">
        <v>175</v>
      </c>
      <c r="F274" s="42" t="n">
        <v>111000</v>
      </c>
      <c r="G274" s="36" t="n">
        <v>45907</v>
      </c>
      <c r="H274" s="35" t="s">
        <v>54</v>
      </c>
      <c r="I274" s="35" t="s">
        <v>88</v>
      </c>
      <c r="J274" s="35" t="s">
        <v>82</v>
      </c>
      <c r="K274" s="35"/>
      <c r="L274" s="48" t="n">
        <f aca="false">IFERROR(AVERAGEIFS('Score Entry'!$M$5:$M$1276,'Score Entry'!$B$5:$B$1276,A274,'Score Entry'!$E$5:$E$1276,"Primary"),"")</f>
        <v>74</v>
      </c>
      <c r="M274" s="48" t="n">
        <f aca="false">IFERROR(AVERAGEIFS('Score Entry'!$M$5:$M$1276,'Score Entry'!$B$5:$B$1276,A274,'Score Entry'!$E$5:$E$1276,"Secondary"),"")</f>
        <v>69</v>
      </c>
      <c r="N274" s="48" t="n">
        <f aca="false">IF(COUNT(L274:M274)=2,ABS(L274-M274),"")</f>
        <v>5</v>
      </c>
      <c r="O274" s="37" t="str">
        <f aca="false">IF(N274="","",IF(N274&gt;=Threshold,"Yes","No"))</f>
        <v>No</v>
      </c>
      <c r="P274" s="48" t="str">
        <f aca="false">IFERROR(AVERAGEIFS('Score Entry'!$M$5:$M$1276,'Score Entry'!$B$5:$B$1276,A274,'Score Entry'!$E$5:$E$1276,"Third"),"")</f>
        <v/>
      </c>
      <c r="Q274" s="48" t="n">
        <f aca="false">IF(H274&lt;&gt;"Eligible","",IF(O274="Yes",IF(ISNUMBER(P274),ROUND(AVERAGE(L274,M274,P274),1),""),IF(O274="No",ROUND(AVERAGE(L274:M274),1),"")))</f>
        <v>71.5</v>
      </c>
      <c r="R274" s="37" t="str">
        <f aca="false">IF(H274&lt;&gt;"Eligible","Screened out",IF(COUNT(L274:M274)=0,"Not started",IF(COUNT(L274:M274)=1,"One read done",IF(O274="Yes",IF(ISNUMBER(P274),"Complete","Needs third read"),"Complete"))))</f>
        <v>Complete</v>
      </c>
      <c r="S274" s="37" t="n">
        <f aca="false">IF(Q274="","",COUNTIFS($C$5:$C$600,C274,$Q$5:$Q$600,"&gt;"&amp;Q274)+1)</f>
        <v>56</v>
      </c>
      <c r="T274" s="37" t="str">
        <f aca="false">IF(Q274="","",IF(Q274&gt;=Cutoff,"Yes","No"))</f>
        <v>No</v>
      </c>
      <c r="U274" s="49" t="n">
        <f aca="false">IF(T274="Yes",MIN(F274,INDEX(Settings!$G:$G,MATCH(C274,Settings!$E:$E,0))),0)</f>
        <v>0</v>
      </c>
      <c r="V274" s="49" t="str">
        <f aca="false">IF(T274="Yes",SUMIFS($U$5:$U$600,$C$5:$C$600,C274,$Q$5:$Q$600,"&gt;"&amp;Q274)+U274,"")</f>
        <v/>
      </c>
      <c r="W274" s="37" t="str">
        <f aca="false">IF(T274="Yes",IF(V274&lt;=INDEX(PoolList,MATCH(C274,ProgramList,0)),"Within pool","Over pool"),"")</f>
        <v/>
      </c>
      <c r="X274" s="37" t="str">
        <f aca="false">IF(O274="Yes",COUNTIF($O$5:O274,"Yes"),"")</f>
        <v/>
      </c>
    </row>
    <row r="275" customFormat="false" ht="15" hidden="false" customHeight="false" outlineLevel="0" collapsed="false">
      <c r="A275" s="35" t="s">
        <v>733</v>
      </c>
      <c r="B275" s="35" t="s">
        <v>734</v>
      </c>
      <c r="C275" s="35" t="s">
        <v>106</v>
      </c>
      <c r="D275" s="35" t="s">
        <v>174</v>
      </c>
      <c r="E275" s="35" t="s">
        <v>175</v>
      </c>
      <c r="F275" s="42" t="n">
        <v>77500</v>
      </c>
      <c r="G275" s="36" t="n">
        <v>45911</v>
      </c>
      <c r="H275" s="35" t="s">
        <v>54</v>
      </c>
      <c r="I275" s="35" t="s">
        <v>91</v>
      </c>
      <c r="J275" s="35" t="s">
        <v>78</v>
      </c>
      <c r="K275" s="35"/>
      <c r="L275" s="48" t="str">
        <f aca="false">IFERROR(AVERAGEIFS('Score Entry'!$M$5:$M$1276,'Score Entry'!$B$5:$B$1276,A275,'Score Entry'!$E$5:$E$1276,"Primary"),"")</f>
        <v/>
      </c>
      <c r="M275" s="48" t="n">
        <f aca="false">IFERROR(AVERAGEIFS('Score Entry'!$M$5:$M$1276,'Score Entry'!$B$5:$B$1276,A275,'Score Entry'!$E$5:$E$1276,"Secondary"),"")</f>
        <v>56</v>
      </c>
      <c r="N275" s="48" t="str">
        <f aca="false">IF(COUNT(L275:M275)=2,ABS(L275-M275),"")</f>
        <v/>
      </c>
      <c r="O275" s="37" t="str">
        <f aca="false">IF(N275="","",IF(N275&gt;=Threshold,"Yes","No"))</f>
        <v/>
      </c>
      <c r="P275" s="48" t="str">
        <f aca="false">IFERROR(AVERAGEIFS('Score Entry'!$M$5:$M$1276,'Score Entry'!$B$5:$B$1276,A275,'Score Entry'!$E$5:$E$1276,"Third"),"")</f>
        <v/>
      </c>
      <c r="Q275" s="48" t="str">
        <f aca="false">IF(H275&lt;&gt;"Eligible","",IF(O275="Yes",IF(ISNUMBER(P275),ROUND(AVERAGE(L275,M275,P275),1),""),IF(O275="No",ROUND(AVERAGE(L275:M275),1),"")))</f>
        <v/>
      </c>
      <c r="R275" s="37" t="str">
        <f aca="false">IF(H275&lt;&gt;"Eligible","Screened out",IF(COUNT(L275:M275)=0,"Not started",IF(COUNT(L275:M275)=1,"One read done",IF(O275="Yes",IF(ISNUMBER(P275),"Complete","Needs third read"),"Complete"))))</f>
        <v>One read done</v>
      </c>
      <c r="S275" s="37" t="str">
        <f aca="false">IF(Q275="","",COUNTIFS($C$5:$C$600,C275,$Q$5:$Q$600,"&gt;"&amp;Q275)+1)</f>
        <v/>
      </c>
      <c r="T275" s="37" t="str">
        <f aca="false">IF(Q275="","",IF(Q275&gt;=Cutoff,"Yes","No"))</f>
        <v/>
      </c>
      <c r="U275" s="49" t="n">
        <f aca="false">IF(T275="Yes",MIN(F275,INDEX(Settings!$G:$G,MATCH(C275,Settings!$E:$E,0))),0)</f>
        <v>0</v>
      </c>
      <c r="V275" s="49" t="str">
        <f aca="false">IF(T275="Yes",SUMIFS($U$5:$U$600,$C$5:$C$600,C275,$Q$5:$Q$600,"&gt;"&amp;Q275)+U275,"")</f>
        <v/>
      </c>
      <c r="W275" s="37" t="str">
        <f aca="false">IF(T275="Yes",IF(V275&lt;=INDEX(PoolList,MATCH(C275,ProgramList,0)),"Within pool","Over pool"),"")</f>
        <v/>
      </c>
      <c r="X275" s="37" t="str">
        <f aca="false">IF(O275="Yes",COUNTIF($O$5:O275,"Yes"),"")</f>
        <v/>
      </c>
    </row>
    <row r="276" customFormat="false" ht="15" hidden="false" customHeight="false" outlineLevel="0" collapsed="false">
      <c r="A276" s="35" t="s">
        <v>735</v>
      </c>
      <c r="B276" s="35" t="s">
        <v>736</v>
      </c>
      <c r="C276" s="35" t="s">
        <v>105</v>
      </c>
      <c r="D276" s="35" t="s">
        <v>239</v>
      </c>
      <c r="E276" s="35" t="s">
        <v>554</v>
      </c>
      <c r="F276" s="42" t="n">
        <v>35500</v>
      </c>
      <c r="G276" s="36" t="n">
        <v>45909</v>
      </c>
      <c r="H276" s="35" t="s">
        <v>54</v>
      </c>
      <c r="I276" s="35" t="s">
        <v>82</v>
      </c>
      <c r="J276" s="35" t="s">
        <v>91</v>
      </c>
      <c r="K276" s="35"/>
      <c r="L276" s="48" t="n">
        <f aca="false">IFERROR(AVERAGEIFS('Score Entry'!$M$5:$M$1276,'Score Entry'!$B$5:$B$1276,A276,'Score Entry'!$E$5:$E$1276,"Primary"),"")</f>
        <v>74</v>
      </c>
      <c r="M276" s="48" t="str">
        <f aca="false">IFERROR(AVERAGEIFS('Score Entry'!$M$5:$M$1276,'Score Entry'!$B$5:$B$1276,A276,'Score Entry'!$E$5:$E$1276,"Secondary"),"")</f>
        <v/>
      </c>
      <c r="N276" s="48" t="str">
        <f aca="false">IF(COUNT(L276:M276)=2,ABS(L276-M276),"")</f>
        <v/>
      </c>
      <c r="O276" s="37" t="str">
        <f aca="false">IF(N276="","",IF(N276&gt;=Threshold,"Yes","No"))</f>
        <v/>
      </c>
      <c r="P276" s="48" t="str">
        <f aca="false">IFERROR(AVERAGEIFS('Score Entry'!$M$5:$M$1276,'Score Entry'!$B$5:$B$1276,A276,'Score Entry'!$E$5:$E$1276,"Third"),"")</f>
        <v/>
      </c>
      <c r="Q276" s="48" t="str">
        <f aca="false">IF(H276&lt;&gt;"Eligible","",IF(O276="Yes",IF(ISNUMBER(P276),ROUND(AVERAGE(L276,M276,P276),1),""),IF(O276="No",ROUND(AVERAGE(L276:M276),1),"")))</f>
        <v/>
      </c>
      <c r="R276" s="37" t="str">
        <f aca="false">IF(H276&lt;&gt;"Eligible","Screened out",IF(COUNT(L276:M276)=0,"Not started",IF(COUNT(L276:M276)=1,"One read done",IF(O276="Yes",IF(ISNUMBER(P276),"Complete","Needs third read"),"Complete"))))</f>
        <v>One read done</v>
      </c>
      <c r="S276" s="37" t="str">
        <f aca="false">IF(Q276="","",COUNTIFS($C$5:$C$600,C276,$Q$5:$Q$600,"&gt;"&amp;Q276)+1)</f>
        <v/>
      </c>
      <c r="T276" s="37" t="str">
        <f aca="false">IF(Q276="","",IF(Q276&gt;=Cutoff,"Yes","No"))</f>
        <v/>
      </c>
      <c r="U276" s="49" t="n">
        <f aca="false">IF(T276="Yes",MIN(F276,INDEX(Settings!$G:$G,MATCH(C276,Settings!$E:$E,0))),0)</f>
        <v>0</v>
      </c>
      <c r="V276" s="49" t="str">
        <f aca="false">IF(T276="Yes",SUMIFS($U$5:$U$600,$C$5:$C$600,C276,$Q$5:$Q$600,"&gt;"&amp;Q276)+U276,"")</f>
        <v/>
      </c>
      <c r="W276" s="37" t="str">
        <f aca="false">IF(T276="Yes",IF(V276&lt;=INDEX(PoolList,MATCH(C276,ProgramList,0)),"Within pool","Over pool"),"")</f>
        <v/>
      </c>
      <c r="X276" s="37" t="str">
        <f aca="false">IF(O276="Yes",COUNTIF($O$5:O276,"Yes"),"")</f>
        <v/>
      </c>
    </row>
    <row r="277" customFormat="false" ht="15" hidden="false" customHeight="false" outlineLevel="0" collapsed="false">
      <c r="A277" s="35" t="s">
        <v>737</v>
      </c>
      <c r="B277" s="35" t="s">
        <v>738</v>
      </c>
      <c r="C277" s="35" t="s">
        <v>106</v>
      </c>
      <c r="D277" s="35" t="s">
        <v>174</v>
      </c>
      <c r="E277" s="35" t="s">
        <v>175</v>
      </c>
      <c r="F277" s="42" t="n">
        <v>114500</v>
      </c>
      <c r="G277" s="36" t="n">
        <v>45912</v>
      </c>
      <c r="H277" s="35" t="s">
        <v>54</v>
      </c>
      <c r="I277" s="35" t="s">
        <v>85</v>
      </c>
      <c r="J277" s="35" t="s">
        <v>94</v>
      </c>
      <c r="K277" s="35" t="s">
        <v>78</v>
      </c>
      <c r="L277" s="48" t="n">
        <f aca="false">IFERROR(AVERAGEIFS('Score Entry'!$M$5:$M$1276,'Score Entry'!$B$5:$B$1276,A277,'Score Entry'!$E$5:$E$1276,"Primary"),"")</f>
        <v>60</v>
      </c>
      <c r="M277" s="48" t="n">
        <f aca="false">IFERROR(AVERAGEIFS('Score Entry'!$M$5:$M$1276,'Score Entry'!$B$5:$B$1276,A277,'Score Entry'!$E$5:$E$1276,"Secondary"),"")</f>
        <v>92</v>
      </c>
      <c r="N277" s="48" t="n">
        <f aca="false">IF(COUNT(L277:M277)=2,ABS(L277-M277),"")</f>
        <v>32</v>
      </c>
      <c r="O277" s="37" t="str">
        <f aca="false">IF(N277="","",IF(N277&gt;=Threshold,"Yes","No"))</f>
        <v>Yes</v>
      </c>
      <c r="P277" s="48" t="str">
        <f aca="false">IFERROR(AVERAGEIFS('Score Entry'!$M$5:$M$1276,'Score Entry'!$B$5:$B$1276,A277,'Score Entry'!$E$5:$E$1276,"Third"),"")</f>
        <v/>
      </c>
      <c r="Q277" s="48" t="str">
        <f aca="false">IF(H277&lt;&gt;"Eligible","",IF(O277="Yes",IF(ISNUMBER(P277),ROUND(AVERAGE(L277,M277,P277),1),""),IF(O277="No",ROUND(AVERAGE(L277:M277),1),"")))</f>
        <v/>
      </c>
      <c r="R277" s="37" t="str">
        <f aca="false">IF(H277&lt;&gt;"Eligible","Screened out",IF(COUNT(L277:M277)=0,"Not started",IF(COUNT(L277:M277)=1,"One read done",IF(O277="Yes",IF(ISNUMBER(P277),"Complete","Needs third read"),"Complete"))))</f>
        <v>Needs third read</v>
      </c>
      <c r="S277" s="37" t="str">
        <f aca="false">IF(Q277="","",COUNTIFS($C$5:$C$600,C277,$Q$5:$Q$600,"&gt;"&amp;Q277)+1)</f>
        <v/>
      </c>
      <c r="T277" s="37" t="str">
        <f aca="false">IF(Q277="","",IF(Q277&gt;=Cutoff,"Yes","No"))</f>
        <v/>
      </c>
      <c r="U277" s="49" t="n">
        <f aca="false">IF(T277="Yes",MIN(F277,INDEX(Settings!$G:$G,MATCH(C277,Settings!$E:$E,0))),0)</f>
        <v>0</v>
      </c>
      <c r="V277" s="49" t="str">
        <f aca="false">IF(T277="Yes",SUMIFS($U$5:$U$600,$C$5:$C$600,C277,$Q$5:$Q$600,"&gt;"&amp;Q277)+U277,"")</f>
        <v/>
      </c>
      <c r="W277" s="37" t="str">
        <f aca="false">IF(T277="Yes",IF(V277&lt;=INDEX(PoolList,MATCH(C277,ProgramList,0)),"Within pool","Over pool"),"")</f>
        <v/>
      </c>
      <c r="X277" s="37" t="n">
        <f aca="false">IF(O277="Yes",COUNTIF($O$5:O277,"Yes"),"")</f>
        <v>38</v>
      </c>
    </row>
    <row r="278" customFormat="false" ht="15" hidden="false" customHeight="false" outlineLevel="0" collapsed="false">
      <c r="A278" s="35" t="s">
        <v>739</v>
      </c>
      <c r="B278" s="35" t="s">
        <v>740</v>
      </c>
      <c r="C278" s="35" t="s">
        <v>104</v>
      </c>
      <c r="D278" s="35" t="s">
        <v>174</v>
      </c>
      <c r="E278" s="35" t="s">
        <v>175</v>
      </c>
      <c r="F278" s="42" t="n">
        <v>39500</v>
      </c>
      <c r="G278" s="36" t="n">
        <v>45914</v>
      </c>
      <c r="H278" s="35" t="s">
        <v>54</v>
      </c>
      <c r="I278" s="35" t="s">
        <v>88</v>
      </c>
      <c r="J278" s="35" t="s">
        <v>91</v>
      </c>
      <c r="K278" s="35"/>
      <c r="L278" s="48" t="n">
        <f aca="false">IFERROR(AVERAGEIFS('Score Entry'!$M$5:$M$1276,'Score Entry'!$B$5:$B$1276,A278,'Score Entry'!$E$5:$E$1276,"Primary"),"")</f>
        <v>95</v>
      </c>
      <c r="M278" s="48" t="n">
        <f aca="false">IFERROR(AVERAGEIFS('Score Entry'!$M$5:$M$1276,'Score Entry'!$B$5:$B$1276,A278,'Score Entry'!$E$5:$E$1276,"Secondary"),"")</f>
        <v>95</v>
      </c>
      <c r="N278" s="48" t="n">
        <f aca="false">IF(COUNT(L278:M278)=2,ABS(L278-M278),"")</f>
        <v>0</v>
      </c>
      <c r="O278" s="37" t="str">
        <f aca="false">IF(N278="","",IF(N278&gt;=Threshold,"Yes","No"))</f>
        <v>No</v>
      </c>
      <c r="P278" s="48" t="str">
        <f aca="false">IFERROR(AVERAGEIFS('Score Entry'!$M$5:$M$1276,'Score Entry'!$B$5:$B$1276,A278,'Score Entry'!$E$5:$E$1276,"Third"),"")</f>
        <v/>
      </c>
      <c r="Q278" s="48" t="n">
        <f aca="false">IF(H278&lt;&gt;"Eligible","",IF(O278="Yes",IF(ISNUMBER(P278),ROUND(AVERAGE(L278,M278,P278),1),""),IF(O278="No",ROUND(AVERAGE(L278:M278),1),"")))</f>
        <v>95</v>
      </c>
      <c r="R278" s="37" t="str">
        <f aca="false">IF(H278&lt;&gt;"Eligible","Screened out",IF(COUNT(L278:M278)=0,"Not started",IF(COUNT(L278:M278)=1,"One read done",IF(O278="Yes",IF(ISNUMBER(P278),"Complete","Needs third read"),"Complete"))))</f>
        <v>Complete</v>
      </c>
      <c r="S278" s="37" t="n">
        <f aca="false">IF(Q278="","",COUNTIFS($C$5:$C$600,C278,$Q$5:$Q$600,"&gt;"&amp;Q278)+1)</f>
        <v>2</v>
      </c>
      <c r="T278" s="37" t="str">
        <f aca="false">IF(Q278="","",IF(Q278&gt;=Cutoff,"Yes","No"))</f>
        <v>Yes</v>
      </c>
      <c r="U278" s="49" t="n">
        <f aca="false">IF(T278="Yes",MIN(F278,INDEX(Settings!$G:$G,MATCH(C278,Settings!$E:$E,0))),0)</f>
        <v>39500</v>
      </c>
      <c r="V278" s="49" t="n">
        <f aca="false">IF(T278="Yes",SUMIFS($U$5:$U$600,$C$5:$C$600,C278,$Q$5:$Q$600,"&gt;"&amp;Q278)+U278,"")</f>
        <v>81500</v>
      </c>
      <c r="W278" s="37" t="str">
        <f aca="false">IF(T278="Yes",IF(V278&lt;=INDEX(PoolList,MATCH(C278,ProgramList,0)),"Within pool","Over pool"),"")</f>
        <v>Within pool</v>
      </c>
      <c r="X278" s="37" t="str">
        <f aca="false">IF(O278="Yes",COUNTIF($O$5:O278,"Yes"),"")</f>
        <v/>
      </c>
    </row>
    <row r="279" customFormat="false" ht="15" hidden="false" customHeight="false" outlineLevel="0" collapsed="false">
      <c r="A279" s="35" t="s">
        <v>741</v>
      </c>
      <c r="B279" s="35" t="s">
        <v>742</v>
      </c>
      <c r="C279" s="35" t="s">
        <v>105</v>
      </c>
      <c r="D279" s="35" t="s">
        <v>180</v>
      </c>
      <c r="E279" s="35" t="s">
        <v>252</v>
      </c>
      <c r="F279" s="42" t="n">
        <v>222500</v>
      </c>
      <c r="G279" s="36" t="n">
        <v>45912</v>
      </c>
      <c r="H279" s="35" t="s">
        <v>54</v>
      </c>
      <c r="I279" s="35" t="s">
        <v>85</v>
      </c>
      <c r="J279" s="35" t="s">
        <v>78</v>
      </c>
      <c r="K279" s="35" t="s">
        <v>82</v>
      </c>
      <c r="L279" s="48" t="n">
        <f aca="false">IFERROR(AVERAGEIFS('Score Entry'!$M$5:$M$1276,'Score Entry'!$B$5:$B$1276,A279,'Score Entry'!$E$5:$E$1276,"Primary"),"")</f>
        <v>62</v>
      </c>
      <c r="M279" s="48" t="n">
        <f aca="false">IFERROR(AVERAGEIFS('Score Entry'!$M$5:$M$1276,'Score Entry'!$B$5:$B$1276,A279,'Score Entry'!$E$5:$E$1276,"Secondary"),"")</f>
        <v>85</v>
      </c>
      <c r="N279" s="48" t="n">
        <f aca="false">IF(COUNT(L279:M279)=2,ABS(L279-M279),"")</f>
        <v>23</v>
      </c>
      <c r="O279" s="37" t="str">
        <f aca="false">IF(N279="","",IF(N279&gt;=Threshold,"Yes","No"))</f>
        <v>Yes</v>
      </c>
      <c r="P279" s="48" t="n">
        <f aca="false">IFERROR(AVERAGEIFS('Score Entry'!$M$5:$M$1276,'Score Entry'!$B$5:$B$1276,A279,'Score Entry'!$E$5:$E$1276,"Third"),"")</f>
        <v>78</v>
      </c>
      <c r="Q279" s="48" t="n">
        <f aca="false">IF(H279&lt;&gt;"Eligible","",IF(O279="Yes",IF(ISNUMBER(P279),ROUND(AVERAGE(L279,M279,P279),1),""),IF(O279="No",ROUND(AVERAGE(L279:M279),1),"")))</f>
        <v>75</v>
      </c>
      <c r="R279" s="37" t="str">
        <f aca="false">IF(H279&lt;&gt;"Eligible","Screened out",IF(COUNT(L279:M279)=0,"Not started",IF(COUNT(L279:M279)=1,"One read done",IF(O279="Yes",IF(ISNUMBER(P279),"Complete","Needs third read"),"Complete"))))</f>
        <v>Complete</v>
      </c>
      <c r="S279" s="37" t="n">
        <f aca="false">IF(Q279="","",COUNTIFS($C$5:$C$600,C279,$Q$5:$Q$600,"&gt;"&amp;Q279)+1)</f>
        <v>29</v>
      </c>
      <c r="T279" s="37" t="str">
        <f aca="false">IF(Q279="","",IF(Q279&gt;=Cutoff,"Yes","No"))</f>
        <v>No</v>
      </c>
      <c r="U279" s="49" t="n">
        <f aca="false">IF(T279="Yes",MIN(F279,INDEX(Settings!$G:$G,MATCH(C279,Settings!$E:$E,0))),0)</f>
        <v>0</v>
      </c>
      <c r="V279" s="49" t="str">
        <f aca="false">IF(T279="Yes",SUMIFS($U$5:$U$600,$C$5:$C$600,C279,$Q$5:$Q$600,"&gt;"&amp;Q279)+U279,"")</f>
        <v/>
      </c>
      <c r="W279" s="37" t="str">
        <f aca="false">IF(T279="Yes",IF(V279&lt;=INDEX(PoolList,MATCH(C279,ProgramList,0)),"Within pool","Over pool"),"")</f>
        <v/>
      </c>
      <c r="X279" s="37" t="n">
        <f aca="false">IF(O279="Yes",COUNTIF($O$5:O279,"Yes"),"")</f>
        <v>39</v>
      </c>
    </row>
    <row r="280" customFormat="false" ht="15" hidden="false" customHeight="false" outlineLevel="0" collapsed="false">
      <c r="A280" s="35" t="s">
        <v>743</v>
      </c>
      <c r="B280" s="35" t="s">
        <v>744</v>
      </c>
      <c r="C280" s="35" t="s">
        <v>106</v>
      </c>
      <c r="D280" s="35" t="s">
        <v>221</v>
      </c>
      <c r="E280" s="35" t="s">
        <v>258</v>
      </c>
      <c r="F280" s="42" t="n">
        <v>57000</v>
      </c>
      <c r="G280" s="36" t="n">
        <v>45911</v>
      </c>
      <c r="H280" s="35" t="s">
        <v>54</v>
      </c>
      <c r="I280" s="35" t="s">
        <v>88</v>
      </c>
      <c r="J280" s="35" t="s">
        <v>82</v>
      </c>
      <c r="K280" s="35"/>
      <c r="L280" s="48" t="n">
        <f aca="false">IFERROR(AVERAGEIFS('Score Entry'!$M$5:$M$1276,'Score Entry'!$B$5:$B$1276,A280,'Score Entry'!$E$5:$E$1276,"Primary"),"")</f>
        <v>66</v>
      </c>
      <c r="M280" s="48" t="n">
        <f aca="false">IFERROR(AVERAGEIFS('Score Entry'!$M$5:$M$1276,'Score Entry'!$B$5:$B$1276,A280,'Score Entry'!$E$5:$E$1276,"Secondary"),"")</f>
        <v>76</v>
      </c>
      <c r="N280" s="48" t="n">
        <f aca="false">IF(COUNT(L280:M280)=2,ABS(L280-M280),"")</f>
        <v>10</v>
      </c>
      <c r="O280" s="37" t="str">
        <f aca="false">IF(N280="","",IF(N280&gt;=Threshold,"Yes","No"))</f>
        <v>No</v>
      </c>
      <c r="P280" s="48" t="str">
        <f aca="false">IFERROR(AVERAGEIFS('Score Entry'!$M$5:$M$1276,'Score Entry'!$B$5:$B$1276,A280,'Score Entry'!$E$5:$E$1276,"Third"),"")</f>
        <v/>
      </c>
      <c r="Q280" s="48" t="n">
        <f aca="false">IF(H280&lt;&gt;"Eligible","",IF(O280="Yes",IF(ISNUMBER(P280),ROUND(AVERAGE(L280,M280,P280),1),""),IF(O280="No",ROUND(AVERAGE(L280:M280),1),"")))</f>
        <v>71</v>
      </c>
      <c r="R280" s="37" t="str">
        <f aca="false">IF(H280&lt;&gt;"Eligible","Screened out",IF(COUNT(L280:M280)=0,"Not started",IF(COUNT(L280:M280)=1,"One read done",IF(O280="Yes",IF(ISNUMBER(P280),"Complete","Needs third read"),"Complete"))))</f>
        <v>Complete</v>
      </c>
      <c r="S280" s="37" t="n">
        <f aca="false">IF(Q280="","",COUNTIFS($C$5:$C$600,C280,$Q$5:$Q$600,"&gt;"&amp;Q280)+1)</f>
        <v>48</v>
      </c>
      <c r="T280" s="37" t="str">
        <f aca="false">IF(Q280="","",IF(Q280&gt;=Cutoff,"Yes","No"))</f>
        <v>No</v>
      </c>
      <c r="U280" s="49" t="n">
        <f aca="false">IF(T280="Yes",MIN(F280,INDEX(Settings!$G:$G,MATCH(C280,Settings!$E:$E,0))),0)</f>
        <v>0</v>
      </c>
      <c r="V280" s="49" t="str">
        <f aca="false">IF(T280="Yes",SUMIFS($U$5:$U$600,$C$5:$C$600,C280,$Q$5:$Q$600,"&gt;"&amp;Q280)+U280,"")</f>
        <v/>
      </c>
      <c r="W280" s="37" t="str">
        <f aca="false">IF(T280="Yes",IF(V280&lt;=INDEX(PoolList,MATCH(C280,ProgramList,0)),"Within pool","Over pool"),"")</f>
        <v/>
      </c>
      <c r="X280" s="37" t="str">
        <f aca="false">IF(O280="Yes",COUNTIF($O$5:O280,"Yes"),"")</f>
        <v/>
      </c>
    </row>
    <row r="281" customFormat="false" ht="15" hidden="false" customHeight="false" outlineLevel="0" collapsed="false">
      <c r="A281" s="35" t="s">
        <v>745</v>
      </c>
      <c r="B281" s="35" t="s">
        <v>746</v>
      </c>
      <c r="C281" s="35" t="s">
        <v>103</v>
      </c>
      <c r="D281" s="35" t="s">
        <v>239</v>
      </c>
      <c r="E281" s="35" t="s">
        <v>240</v>
      </c>
      <c r="F281" s="42" t="n">
        <v>33500</v>
      </c>
      <c r="G281" s="36" t="n">
        <v>45918</v>
      </c>
      <c r="H281" s="35" t="s">
        <v>54</v>
      </c>
      <c r="I281" s="35" t="s">
        <v>85</v>
      </c>
      <c r="J281" s="35" t="s">
        <v>78</v>
      </c>
      <c r="K281" s="35"/>
      <c r="L281" s="48" t="n">
        <f aca="false">IFERROR(AVERAGEIFS('Score Entry'!$M$5:$M$1276,'Score Entry'!$B$5:$B$1276,A281,'Score Entry'!$E$5:$E$1276,"Primary"),"")</f>
        <v>69</v>
      </c>
      <c r="M281" s="48" t="n">
        <f aca="false">IFERROR(AVERAGEIFS('Score Entry'!$M$5:$M$1276,'Score Entry'!$B$5:$B$1276,A281,'Score Entry'!$E$5:$E$1276,"Secondary"),"")</f>
        <v>76</v>
      </c>
      <c r="N281" s="48" t="n">
        <f aca="false">IF(COUNT(L281:M281)=2,ABS(L281-M281),"")</f>
        <v>7</v>
      </c>
      <c r="O281" s="37" t="str">
        <f aca="false">IF(N281="","",IF(N281&gt;=Threshold,"Yes","No"))</f>
        <v>No</v>
      </c>
      <c r="P281" s="48" t="str">
        <f aca="false">IFERROR(AVERAGEIFS('Score Entry'!$M$5:$M$1276,'Score Entry'!$B$5:$B$1276,A281,'Score Entry'!$E$5:$E$1276,"Third"),"")</f>
        <v/>
      </c>
      <c r="Q281" s="48" t="n">
        <f aca="false">IF(H281&lt;&gt;"Eligible","",IF(O281="Yes",IF(ISNUMBER(P281),ROUND(AVERAGE(L281,M281,P281),1),""),IF(O281="No",ROUND(AVERAGE(L281:M281),1),"")))</f>
        <v>72.5</v>
      </c>
      <c r="R281" s="37" t="str">
        <f aca="false">IF(H281&lt;&gt;"Eligible","Screened out",IF(COUNT(L281:M281)=0,"Not started",IF(COUNT(L281:M281)=1,"One read done",IF(O281="Yes",IF(ISNUMBER(P281),"Complete","Needs third read"),"Complete"))))</f>
        <v>Complete</v>
      </c>
      <c r="S281" s="37" t="n">
        <f aca="false">IF(Q281="","",COUNTIFS($C$5:$C$600,C281,$Q$5:$Q$600,"&gt;"&amp;Q281)+1)</f>
        <v>53</v>
      </c>
      <c r="T281" s="37" t="str">
        <f aca="false">IF(Q281="","",IF(Q281&gt;=Cutoff,"Yes","No"))</f>
        <v>No</v>
      </c>
      <c r="U281" s="49" t="n">
        <f aca="false">IF(T281="Yes",MIN(F281,INDEX(Settings!$G:$G,MATCH(C281,Settings!$E:$E,0))),0)</f>
        <v>0</v>
      </c>
      <c r="V281" s="49" t="str">
        <f aca="false">IF(T281="Yes",SUMIFS($U$5:$U$600,$C$5:$C$600,C281,$Q$5:$Q$600,"&gt;"&amp;Q281)+U281,"")</f>
        <v/>
      </c>
      <c r="W281" s="37" t="str">
        <f aca="false">IF(T281="Yes",IF(V281&lt;=INDEX(PoolList,MATCH(C281,ProgramList,0)),"Within pool","Over pool"),"")</f>
        <v/>
      </c>
      <c r="X281" s="37" t="str">
        <f aca="false">IF(O281="Yes",COUNTIF($O$5:O281,"Yes"),"")</f>
        <v/>
      </c>
    </row>
    <row r="282" customFormat="false" ht="15" hidden="false" customHeight="false" outlineLevel="0" collapsed="false">
      <c r="A282" s="35" t="s">
        <v>747</v>
      </c>
      <c r="B282" s="35" t="s">
        <v>748</v>
      </c>
      <c r="C282" s="35" t="s">
        <v>104</v>
      </c>
      <c r="D282" s="35" t="s">
        <v>174</v>
      </c>
      <c r="E282" s="35" t="s">
        <v>175</v>
      </c>
      <c r="F282" s="42" t="n">
        <v>42000</v>
      </c>
      <c r="G282" s="36" t="n">
        <v>45906</v>
      </c>
      <c r="H282" s="35" t="s">
        <v>54</v>
      </c>
      <c r="I282" s="35" t="s">
        <v>94</v>
      </c>
      <c r="J282" s="35" t="s">
        <v>82</v>
      </c>
      <c r="K282" s="35"/>
      <c r="L282" s="48" t="n">
        <f aca="false">IFERROR(AVERAGEIFS('Score Entry'!$M$5:$M$1276,'Score Entry'!$B$5:$B$1276,A282,'Score Entry'!$E$5:$E$1276,"Primary"),"")</f>
        <v>91</v>
      </c>
      <c r="M282" s="48" t="n">
        <f aca="false">IFERROR(AVERAGEIFS('Score Entry'!$M$5:$M$1276,'Score Entry'!$B$5:$B$1276,A282,'Score Entry'!$E$5:$E$1276,"Secondary"),"")</f>
        <v>100</v>
      </c>
      <c r="N282" s="48" t="n">
        <f aca="false">IF(COUNT(L282:M282)=2,ABS(L282-M282),"")</f>
        <v>9</v>
      </c>
      <c r="O282" s="37" t="str">
        <f aca="false">IF(N282="","",IF(N282&gt;=Threshold,"Yes","No"))</f>
        <v>No</v>
      </c>
      <c r="P282" s="48" t="str">
        <f aca="false">IFERROR(AVERAGEIFS('Score Entry'!$M$5:$M$1276,'Score Entry'!$B$5:$B$1276,A282,'Score Entry'!$E$5:$E$1276,"Third"),"")</f>
        <v/>
      </c>
      <c r="Q282" s="48" t="n">
        <f aca="false">IF(H282&lt;&gt;"Eligible","",IF(O282="Yes",IF(ISNUMBER(P282),ROUND(AVERAGE(L282,M282,P282),1),""),IF(O282="No",ROUND(AVERAGE(L282:M282),1),"")))</f>
        <v>95.5</v>
      </c>
      <c r="R282" s="37" t="str">
        <f aca="false">IF(H282&lt;&gt;"Eligible","Screened out",IF(COUNT(L282:M282)=0,"Not started",IF(COUNT(L282:M282)=1,"One read done",IF(O282="Yes",IF(ISNUMBER(P282),"Complete","Needs third read"),"Complete"))))</f>
        <v>Complete</v>
      </c>
      <c r="S282" s="37" t="n">
        <f aca="false">IF(Q282="","",COUNTIFS($C$5:$C$600,C282,$Q$5:$Q$600,"&gt;"&amp;Q282)+1)</f>
        <v>1</v>
      </c>
      <c r="T282" s="37" t="str">
        <f aca="false">IF(Q282="","",IF(Q282&gt;=Cutoff,"Yes","No"))</f>
        <v>Yes</v>
      </c>
      <c r="U282" s="49" t="n">
        <f aca="false">IF(T282="Yes",MIN(F282,INDEX(Settings!$G:$G,MATCH(C282,Settings!$E:$E,0))),0)</f>
        <v>42000</v>
      </c>
      <c r="V282" s="49" t="n">
        <f aca="false">IF(T282="Yes",SUMIFS($U$5:$U$600,$C$5:$C$600,C282,$Q$5:$Q$600,"&gt;"&amp;Q282)+U282,"")</f>
        <v>42000</v>
      </c>
      <c r="W282" s="37" t="str">
        <f aca="false">IF(T282="Yes",IF(V282&lt;=INDEX(PoolList,MATCH(C282,ProgramList,0)),"Within pool","Over pool"),"")</f>
        <v>Within pool</v>
      </c>
      <c r="X282" s="37" t="str">
        <f aca="false">IF(O282="Yes",COUNTIF($O$5:O282,"Yes"),"")</f>
        <v/>
      </c>
    </row>
    <row r="283" customFormat="false" ht="15" hidden="false" customHeight="false" outlineLevel="0" collapsed="false">
      <c r="A283" s="35" t="s">
        <v>749</v>
      </c>
      <c r="B283" s="35" t="s">
        <v>750</v>
      </c>
      <c r="C283" s="35" t="s">
        <v>105</v>
      </c>
      <c r="D283" s="35" t="s">
        <v>221</v>
      </c>
      <c r="E283" s="35" t="s">
        <v>258</v>
      </c>
      <c r="F283" s="42" t="n">
        <v>77000</v>
      </c>
      <c r="G283" s="36" t="n">
        <v>45927</v>
      </c>
      <c r="H283" s="35" t="s">
        <v>54</v>
      </c>
      <c r="I283" s="35" t="s">
        <v>88</v>
      </c>
      <c r="J283" s="35" t="s">
        <v>85</v>
      </c>
      <c r="K283" s="35"/>
      <c r="L283" s="48" t="n">
        <f aca="false">IFERROR(AVERAGEIFS('Score Entry'!$M$5:$M$1276,'Score Entry'!$B$5:$B$1276,A283,'Score Entry'!$E$5:$E$1276,"Primary"),"")</f>
        <v>63</v>
      </c>
      <c r="M283" s="48" t="n">
        <f aca="false">IFERROR(AVERAGEIFS('Score Entry'!$M$5:$M$1276,'Score Entry'!$B$5:$B$1276,A283,'Score Entry'!$E$5:$E$1276,"Secondary"),"")</f>
        <v>58</v>
      </c>
      <c r="N283" s="48" t="n">
        <f aca="false">IF(COUNT(L283:M283)=2,ABS(L283-M283),"")</f>
        <v>5</v>
      </c>
      <c r="O283" s="37" t="str">
        <f aca="false">IF(N283="","",IF(N283&gt;=Threshold,"Yes","No"))</f>
        <v>No</v>
      </c>
      <c r="P283" s="48" t="str">
        <f aca="false">IFERROR(AVERAGEIFS('Score Entry'!$M$5:$M$1276,'Score Entry'!$B$5:$B$1276,A283,'Score Entry'!$E$5:$E$1276,"Third"),"")</f>
        <v/>
      </c>
      <c r="Q283" s="48" t="n">
        <f aca="false">IF(H283&lt;&gt;"Eligible","",IF(O283="Yes",IF(ISNUMBER(P283),ROUND(AVERAGE(L283,M283,P283),1),""),IF(O283="No",ROUND(AVERAGE(L283:M283),1),"")))</f>
        <v>60.5</v>
      </c>
      <c r="R283" s="37" t="str">
        <f aca="false">IF(H283&lt;&gt;"Eligible","Screened out",IF(COUNT(L283:M283)=0,"Not started",IF(COUNT(L283:M283)=1,"One read done",IF(O283="Yes",IF(ISNUMBER(P283),"Complete","Needs third read"),"Complete"))))</f>
        <v>Complete</v>
      </c>
      <c r="S283" s="37" t="n">
        <f aca="false">IF(Q283="","",COUNTIFS($C$5:$C$600,C283,$Q$5:$Q$600,"&gt;"&amp;Q283)+1)</f>
        <v>69</v>
      </c>
      <c r="T283" s="37" t="str">
        <f aca="false">IF(Q283="","",IF(Q283&gt;=Cutoff,"Yes","No"))</f>
        <v>No</v>
      </c>
      <c r="U283" s="49" t="n">
        <f aca="false">IF(T283="Yes",MIN(F283,INDEX(Settings!$G:$G,MATCH(C283,Settings!$E:$E,0))),0)</f>
        <v>0</v>
      </c>
      <c r="V283" s="49" t="str">
        <f aca="false">IF(T283="Yes",SUMIFS($U$5:$U$600,$C$5:$C$600,C283,$Q$5:$Q$600,"&gt;"&amp;Q283)+U283,"")</f>
        <v/>
      </c>
      <c r="W283" s="37" t="str">
        <f aca="false">IF(T283="Yes",IF(V283&lt;=INDEX(PoolList,MATCH(C283,ProgramList,0)),"Within pool","Over pool"),"")</f>
        <v/>
      </c>
      <c r="X283" s="37" t="str">
        <f aca="false">IF(O283="Yes",COUNTIF($O$5:O283,"Yes"),"")</f>
        <v/>
      </c>
    </row>
    <row r="284" customFormat="false" ht="15" hidden="false" customHeight="false" outlineLevel="0" collapsed="false">
      <c r="A284" s="35" t="s">
        <v>751</v>
      </c>
      <c r="B284" s="35" t="s">
        <v>752</v>
      </c>
      <c r="C284" s="35" t="s">
        <v>103</v>
      </c>
      <c r="D284" s="35" t="s">
        <v>180</v>
      </c>
      <c r="E284" s="35" t="s">
        <v>269</v>
      </c>
      <c r="F284" s="42" t="n">
        <v>137000</v>
      </c>
      <c r="G284" s="36" t="n">
        <v>45917</v>
      </c>
      <c r="H284" s="35" t="s">
        <v>54</v>
      </c>
      <c r="I284" s="35" t="s">
        <v>91</v>
      </c>
      <c r="J284" s="35" t="s">
        <v>88</v>
      </c>
      <c r="K284" s="35"/>
      <c r="L284" s="48" t="n">
        <f aca="false">IFERROR(AVERAGEIFS('Score Entry'!$M$5:$M$1276,'Score Entry'!$B$5:$B$1276,A284,'Score Entry'!$E$5:$E$1276,"Primary"),"")</f>
        <v>69</v>
      </c>
      <c r="M284" s="48" t="n">
        <f aca="false">IFERROR(AVERAGEIFS('Score Entry'!$M$5:$M$1276,'Score Entry'!$B$5:$B$1276,A284,'Score Entry'!$E$5:$E$1276,"Secondary"),"")</f>
        <v>60</v>
      </c>
      <c r="N284" s="48" t="n">
        <f aca="false">IF(COUNT(L284:M284)=2,ABS(L284-M284),"")</f>
        <v>9</v>
      </c>
      <c r="O284" s="37" t="str">
        <f aca="false">IF(N284="","",IF(N284&gt;=Threshold,"Yes","No"))</f>
        <v>No</v>
      </c>
      <c r="P284" s="48" t="str">
        <f aca="false">IFERROR(AVERAGEIFS('Score Entry'!$M$5:$M$1276,'Score Entry'!$B$5:$B$1276,A284,'Score Entry'!$E$5:$E$1276,"Third"),"")</f>
        <v/>
      </c>
      <c r="Q284" s="48" t="n">
        <f aca="false">IF(H284&lt;&gt;"Eligible","",IF(O284="Yes",IF(ISNUMBER(P284),ROUND(AVERAGE(L284,M284,P284),1),""),IF(O284="No",ROUND(AVERAGE(L284:M284),1),"")))</f>
        <v>64.5</v>
      </c>
      <c r="R284" s="37" t="str">
        <f aca="false">IF(H284&lt;&gt;"Eligible","Screened out",IF(COUNT(L284:M284)=0,"Not started",IF(COUNT(L284:M284)=1,"One read done",IF(O284="Yes",IF(ISNUMBER(P284),"Complete","Needs third read"),"Complete"))))</f>
        <v>Complete</v>
      </c>
      <c r="S284" s="37" t="n">
        <f aca="false">IF(Q284="","",COUNTIFS($C$5:$C$600,C284,$Q$5:$Q$600,"&gt;"&amp;Q284)+1)</f>
        <v>93</v>
      </c>
      <c r="T284" s="37" t="str">
        <f aca="false">IF(Q284="","",IF(Q284&gt;=Cutoff,"Yes","No"))</f>
        <v>No</v>
      </c>
      <c r="U284" s="49" t="n">
        <f aca="false">IF(T284="Yes",MIN(F284,INDEX(Settings!$G:$G,MATCH(C284,Settings!$E:$E,0))),0)</f>
        <v>0</v>
      </c>
      <c r="V284" s="49" t="str">
        <f aca="false">IF(T284="Yes",SUMIFS($U$5:$U$600,$C$5:$C$600,C284,$Q$5:$Q$600,"&gt;"&amp;Q284)+U284,"")</f>
        <v/>
      </c>
      <c r="W284" s="37" t="str">
        <f aca="false">IF(T284="Yes",IF(V284&lt;=INDEX(PoolList,MATCH(C284,ProgramList,0)),"Within pool","Over pool"),"")</f>
        <v/>
      </c>
      <c r="X284" s="37" t="str">
        <f aca="false">IF(O284="Yes",COUNTIF($O$5:O284,"Yes"),"")</f>
        <v/>
      </c>
    </row>
    <row r="285" customFormat="false" ht="15" hidden="false" customHeight="false" outlineLevel="0" collapsed="false">
      <c r="A285" s="35" t="s">
        <v>753</v>
      </c>
      <c r="B285" s="35" t="s">
        <v>754</v>
      </c>
      <c r="C285" s="35" t="s">
        <v>103</v>
      </c>
      <c r="D285" s="35" t="s">
        <v>174</v>
      </c>
      <c r="E285" s="35" t="s">
        <v>175</v>
      </c>
      <c r="F285" s="42" t="n">
        <v>102500</v>
      </c>
      <c r="G285" s="36" t="n">
        <v>45915</v>
      </c>
      <c r="H285" s="35" t="s">
        <v>54</v>
      </c>
      <c r="I285" s="35" t="s">
        <v>94</v>
      </c>
      <c r="J285" s="35" t="s">
        <v>78</v>
      </c>
      <c r="K285" s="35"/>
      <c r="L285" s="48" t="n">
        <f aca="false">IFERROR(AVERAGEIFS('Score Entry'!$M$5:$M$1276,'Score Entry'!$B$5:$B$1276,A285,'Score Entry'!$E$5:$E$1276,"Primary"),"")</f>
        <v>93</v>
      </c>
      <c r="M285" s="48" t="n">
        <f aca="false">IFERROR(AVERAGEIFS('Score Entry'!$M$5:$M$1276,'Score Entry'!$B$5:$B$1276,A285,'Score Entry'!$E$5:$E$1276,"Secondary"),"")</f>
        <v>81</v>
      </c>
      <c r="N285" s="48" t="n">
        <f aca="false">IF(COUNT(L285:M285)=2,ABS(L285-M285),"")</f>
        <v>12</v>
      </c>
      <c r="O285" s="37" t="str">
        <f aca="false">IF(N285="","",IF(N285&gt;=Threshold,"Yes","No"))</f>
        <v>No</v>
      </c>
      <c r="P285" s="48" t="str">
        <f aca="false">IFERROR(AVERAGEIFS('Score Entry'!$M$5:$M$1276,'Score Entry'!$B$5:$B$1276,A285,'Score Entry'!$E$5:$E$1276,"Third"),"")</f>
        <v/>
      </c>
      <c r="Q285" s="48" t="n">
        <f aca="false">IF(H285&lt;&gt;"Eligible","",IF(O285="Yes",IF(ISNUMBER(P285),ROUND(AVERAGE(L285,M285,P285),1),""),IF(O285="No",ROUND(AVERAGE(L285:M285),1),"")))</f>
        <v>87</v>
      </c>
      <c r="R285" s="37" t="str">
        <f aca="false">IF(H285&lt;&gt;"Eligible","Screened out",IF(COUNT(L285:M285)=0,"Not started",IF(COUNT(L285:M285)=1,"One read done",IF(O285="Yes",IF(ISNUMBER(P285),"Complete","Needs third read"),"Complete"))))</f>
        <v>Complete</v>
      </c>
      <c r="S285" s="37" t="n">
        <f aca="false">IF(Q285="","",COUNTIFS($C$5:$C$600,C285,$Q$5:$Q$600,"&gt;"&amp;Q285)+1)</f>
        <v>11</v>
      </c>
      <c r="T285" s="37" t="str">
        <f aca="false">IF(Q285="","",IF(Q285&gt;=Cutoff,"Yes","No"))</f>
        <v>Yes</v>
      </c>
      <c r="U285" s="49" t="n">
        <f aca="false">IF(T285="Yes",MIN(F285,INDEX(Settings!$G:$G,MATCH(C285,Settings!$E:$E,0))),0)</f>
        <v>102500</v>
      </c>
      <c r="V285" s="49" t="n">
        <f aca="false">IF(T285="Yes",SUMIFS($U$5:$U$600,$C$5:$C$600,C285,$Q$5:$Q$600,"&gt;"&amp;Q285)+U285,"")</f>
        <v>1251500</v>
      </c>
      <c r="W285" s="37" t="str">
        <f aca="false">IF(T285="Yes",IF(V285&lt;=INDEX(PoolList,MATCH(C285,ProgramList,0)),"Within pool","Over pool"),"")</f>
        <v>Within pool</v>
      </c>
      <c r="X285" s="37" t="str">
        <f aca="false">IF(O285="Yes",COUNTIF($O$5:O285,"Yes"),"")</f>
        <v/>
      </c>
    </row>
    <row r="286" customFormat="false" ht="15" hidden="false" customHeight="false" outlineLevel="0" collapsed="false">
      <c r="A286" s="35" t="s">
        <v>755</v>
      </c>
      <c r="B286" s="35" t="s">
        <v>756</v>
      </c>
      <c r="C286" s="35" t="s">
        <v>106</v>
      </c>
      <c r="D286" s="35" t="s">
        <v>174</v>
      </c>
      <c r="E286" s="35" t="s">
        <v>175</v>
      </c>
      <c r="F286" s="42" t="n">
        <v>60000</v>
      </c>
      <c r="G286" s="36" t="n">
        <v>45922</v>
      </c>
      <c r="H286" s="35" t="s">
        <v>54</v>
      </c>
      <c r="I286" s="35" t="s">
        <v>91</v>
      </c>
      <c r="J286" s="35" t="s">
        <v>82</v>
      </c>
      <c r="K286" s="35"/>
      <c r="L286" s="48" t="n">
        <f aca="false">IFERROR(AVERAGEIFS('Score Entry'!$M$5:$M$1276,'Score Entry'!$B$5:$B$1276,A286,'Score Entry'!$E$5:$E$1276,"Primary"),"")</f>
        <v>54</v>
      </c>
      <c r="M286" s="48" t="n">
        <f aca="false">IFERROR(AVERAGEIFS('Score Entry'!$M$5:$M$1276,'Score Entry'!$B$5:$B$1276,A286,'Score Entry'!$E$5:$E$1276,"Secondary"),"")</f>
        <v>51</v>
      </c>
      <c r="N286" s="48" t="n">
        <f aca="false">IF(COUNT(L286:M286)=2,ABS(L286-M286),"")</f>
        <v>3</v>
      </c>
      <c r="O286" s="37" t="str">
        <f aca="false">IF(N286="","",IF(N286&gt;=Threshold,"Yes","No"))</f>
        <v>No</v>
      </c>
      <c r="P286" s="48" t="str">
        <f aca="false">IFERROR(AVERAGEIFS('Score Entry'!$M$5:$M$1276,'Score Entry'!$B$5:$B$1276,A286,'Score Entry'!$E$5:$E$1276,"Third"),"")</f>
        <v/>
      </c>
      <c r="Q286" s="48" t="n">
        <f aca="false">IF(H286&lt;&gt;"Eligible","",IF(O286="Yes",IF(ISNUMBER(P286),ROUND(AVERAGE(L286,M286,P286),1),""),IF(O286="No",ROUND(AVERAGE(L286:M286),1),"")))</f>
        <v>52.5</v>
      </c>
      <c r="R286" s="37" t="str">
        <f aca="false">IF(H286&lt;&gt;"Eligible","Screened out",IF(COUNT(L286:M286)=0,"Not started",IF(COUNT(L286:M286)=1,"One read done",IF(O286="Yes",IF(ISNUMBER(P286),"Complete","Needs third read"),"Complete"))))</f>
        <v>Complete</v>
      </c>
      <c r="S286" s="37" t="n">
        <f aca="false">IF(Q286="","",COUNTIFS($C$5:$C$600,C286,$Q$5:$Q$600,"&gt;"&amp;Q286)+1)</f>
        <v>105</v>
      </c>
      <c r="T286" s="37" t="str">
        <f aca="false">IF(Q286="","",IF(Q286&gt;=Cutoff,"Yes","No"))</f>
        <v>No</v>
      </c>
      <c r="U286" s="49" t="n">
        <f aca="false">IF(T286="Yes",MIN(F286,INDEX(Settings!$G:$G,MATCH(C286,Settings!$E:$E,0))),0)</f>
        <v>0</v>
      </c>
      <c r="V286" s="49" t="str">
        <f aca="false">IF(T286="Yes",SUMIFS($U$5:$U$600,$C$5:$C$600,C286,$Q$5:$Q$600,"&gt;"&amp;Q286)+U286,"")</f>
        <v/>
      </c>
      <c r="W286" s="37" t="str">
        <f aca="false">IF(T286="Yes",IF(V286&lt;=INDEX(PoolList,MATCH(C286,ProgramList,0)),"Within pool","Over pool"),"")</f>
        <v/>
      </c>
      <c r="X286" s="37" t="str">
        <f aca="false">IF(O286="Yes",COUNTIF($O$5:O286,"Yes"),"")</f>
        <v/>
      </c>
    </row>
    <row r="287" customFormat="false" ht="15" hidden="false" customHeight="false" outlineLevel="0" collapsed="false">
      <c r="A287" s="35" t="s">
        <v>757</v>
      </c>
      <c r="B287" s="35" t="s">
        <v>758</v>
      </c>
      <c r="C287" s="35" t="s">
        <v>106</v>
      </c>
      <c r="D287" s="35" t="s">
        <v>174</v>
      </c>
      <c r="E287" s="35" t="s">
        <v>175</v>
      </c>
      <c r="F287" s="42" t="n">
        <v>78000</v>
      </c>
      <c r="G287" s="36" t="n">
        <v>45917</v>
      </c>
      <c r="H287" s="35" t="s">
        <v>54</v>
      </c>
      <c r="I287" s="35" t="s">
        <v>85</v>
      </c>
      <c r="J287" s="35" t="s">
        <v>94</v>
      </c>
      <c r="K287" s="35"/>
      <c r="L287" s="48" t="n">
        <f aca="false">IFERROR(AVERAGEIFS('Score Entry'!$M$5:$M$1276,'Score Entry'!$B$5:$B$1276,A287,'Score Entry'!$E$5:$E$1276,"Primary"),"")</f>
        <v>58</v>
      </c>
      <c r="M287" s="48" t="n">
        <f aca="false">IFERROR(AVERAGEIFS('Score Entry'!$M$5:$M$1276,'Score Entry'!$B$5:$B$1276,A287,'Score Entry'!$E$5:$E$1276,"Secondary"),"")</f>
        <v>62</v>
      </c>
      <c r="N287" s="48" t="n">
        <f aca="false">IF(COUNT(L287:M287)=2,ABS(L287-M287),"")</f>
        <v>4</v>
      </c>
      <c r="O287" s="37" t="str">
        <f aca="false">IF(N287="","",IF(N287&gt;=Threshold,"Yes","No"))</f>
        <v>No</v>
      </c>
      <c r="P287" s="48" t="str">
        <f aca="false">IFERROR(AVERAGEIFS('Score Entry'!$M$5:$M$1276,'Score Entry'!$B$5:$B$1276,A287,'Score Entry'!$E$5:$E$1276,"Third"),"")</f>
        <v/>
      </c>
      <c r="Q287" s="48" t="n">
        <f aca="false">IF(H287&lt;&gt;"Eligible","",IF(O287="Yes",IF(ISNUMBER(P287),ROUND(AVERAGE(L287,M287,P287),1),""),IF(O287="No",ROUND(AVERAGE(L287:M287),1),"")))</f>
        <v>60</v>
      </c>
      <c r="R287" s="37" t="str">
        <f aca="false">IF(H287&lt;&gt;"Eligible","Screened out",IF(COUNT(L287:M287)=0,"Not started",IF(COUNT(L287:M287)=1,"One read done",IF(O287="Yes",IF(ISNUMBER(P287),"Complete","Needs third read"),"Complete"))))</f>
        <v>Complete</v>
      </c>
      <c r="S287" s="37" t="n">
        <f aca="false">IF(Q287="","",COUNTIFS($C$5:$C$600,C287,$Q$5:$Q$600,"&gt;"&amp;Q287)+1)</f>
        <v>84</v>
      </c>
      <c r="T287" s="37" t="str">
        <f aca="false">IF(Q287="","",IF(Q287&gt;=Cutoff,"Yes","No"))</f>
        <v>No</v>
      </c>
      <c r="U287" s="49" t="n">
        <f aca="false">IF(T287="Yes",MIN(F287,INDEX(Settings!$G:$G,MATCH(C287,Settings!$E:$E,0))),0)</f>
        <v>0</v>
      </c>
      <c r="V287" s="49" t="str">
        <f aca="false">IF(T287="Yes",SUMIFS($U$5:$U$600,$C$5:$C$600,C287,$Q$5:$Q$600,"&gt;"&amp;Q287)+U287,"")</f>
        <v/>
      </c>
      <c r="W287" s="37" t="str">
        <f aca="false">IF(T287="Yes",IF(V287&lt;=INDEX(PoolList,MATCH(C287,ProgramList,0)),"Within pool","Over pool"),"")</f>
        <v/>
      </c>
      <c r="X287" s="37" t="str">
        <f aca="false">IF(O287="Yes",COUNTIF($O$5:O287,"Yes"),"")</f>
        <v/>
      </c>
    </row>
    <row r="288" customFormat="false" ht="15" hidden="false" customHeight="false" outlineLevel="0" collapsed="false">
      <c r="A288" s="35" t="s">
        <v>759</v>
      </c>
      <c r="B288" s="35" t="s">
        <v>760</v>
      </c>
      <c r="C288" s="35" t="s">
        <v>103</v>
      </c>
      <c r="D288" s="35" t="s">
        <v>174</v>
      </c>
      <c r="E288" s="35" t="s">
        <v>175</v>
      </c>
      <c r="F288" s="42" t="n">
        <v>144500</v>
      </c>
      <c r="G288" s="36" t="n">
        <v>45917</v>
      </c>
      <c r="H288" s="35" t="s">
        <v>54</v>
      </c>
      <c r="I288" s="35" t="s">
        <v>88</v>
      </c>
      <c r="J288" s="35" t="s">
        <v>82</v>
      </c>
      <c r="K288" s="35"/>
      <c r="L288" s="48" t="n">
        <f aca="false">IFERROR(AVERAGEIFS('Score Entry'!$M$5:$M$1276,'Score Entry'!$B$5:$B$1276,A288,'Score Entry'!$E$5:$E$1276,"Primary"),"")</f>
        <v>49</v>
      </c>
      <c r="M288" s="48" t="n">
        <f aca="false">IFERROR(AVERAGEIFS('Score Entry'!$M$5:$M$1276,'Score Entry'!$B$5:$B$1276,A288,'Score Entry'!$E$5:$E$1276,"Secondary"),"")</f>
        <v>57</v>
      </c>
      <c r="N288" s="48" t="n">
        <f aca="false">IF(COUNT(L288:M288)=2,ABS(L288-M288),"")</f>
        <v>8</v>
      </c>
      <c r="O288" s="37" t="str">
        <f aca="false">IF(N288="","",IF(N288&gt;=Threshold,"Yes","No"))</f>
        <v>No</v>
      </c>
      <c r="P288" s="48" t="str">
        <f aca="false">IFERROR(AVERAGEIFS('Score Entry'!$M$5:$M$1276,'Score Entry'!$B$5:$B$1276,A288,'Score Entry'!$E$5:$E$1276,"Third"),"")</f>
        <v/>
      </c>
      <c r="Q288" s="48" t="n">
        <f aca="false">IF(H288&lt;&gt;"Eligible","",IF(O288="Yes",IF(ISNUMBER(P288),ROUND(AVERAGE(L288,M288,P288),1),""),IF(O288="No",ROUND(AVERAGE(L288:M288),1),"")))</f>
        <v>53</v>
      </c>
      <c r="R288" s="37" t="str">
        <f aca="false">IF(H288&lt;&gt;"Eligible","Screened out",IF(COUNT(L288:M288)=0,"Not started",IF(COUNT(L288:M288)=1,"One read done",IF(O288="Yes",IF(ISNUMBER(P288),"Complete","Needs third read"),"Complete"))))</f>
        <v>Complete</v>
      </c>
      <c r="S288" s="37" t="n">
        <f aca="false">IF(Q288="","",COUNTIFS($C$5:$C$600,C288,$Q$5:$Q$600,"&gt;"&amp;Q288)+1)</f>
        <v>141</v>
      </c>
      <c r="T288" s="37" t="str">
        <f aca="false">IF(Q288="","",IF(Q288&gt;=Cutoff,"Yes","No"))</f>
        <v>No</v>
      </c>
      <c r="U288" s="49" t="n">
        <f aca="false">IF(T288="Yes",MIN(F288,INDEX(Settings!$G:$G,MATCH(C288,Settings!$E:$E,0))),0)</f>
        <v>0</v>
      </c>
      <c r="V288" s="49" t="str">
        <f aca="false">IF(T288="Yes",SUMIFS($U$5:$U$600,$C$5:$C$600,C288,$Q$5:$Q$600,"&gt;"&amp;Q288)+U288,"")</f>
        <v/>
      </c>
      <c r="W288" s="37" t="str">
        <f aca="false">IF(T288="Yes",IF(V288&lt;=INDEX(PoolList,MATCH(C288,ProgramList,0)),"Within pool","Over pool"),"")</f>
        <v/>
      </c>
      <c r="X288" s="37" t="str">
        <f aca="false">IF(O288="Yes",COUNTIF($O$5:O288,"Yes"),"")</f>
        <v/>
      </c>
    </row>
    <row r="289" customFormat="false" ht="15" hidden="false" customHeight="false" outlineLevel="0" collapsed="false">
      <c r="A289" s="35" t="s">
        <v>761</v>
      </c>
      <c r="B289" s="35" t="s">
        <v>762</v>
      </c>
      <c r="C289" s="35" t="s">
        <v>105</v>
      </c>
      <c r="D289" s="35" t="s">
        <v>174</v>
      </c>
      <c r="E289" s="35" t="s">
        <v>175</v>
      </c>
      <c r="F289" s="42" t="n">
        <v>129000</v>
      </c>
      <c r="G289" s="36" t="n">
        <v>45919</v>
      </c>
      <c r="H289" s="35" t="s">
        <v>54</v>
      </c>
      <c r="I289" s="35" t="s">
        <v>91</v>
      </c>
      <c r="J289" s="35" t="s">
        <v>78</v>
      </c>
      <c r="K289" s="35"/>
      <c r="L289" s="48" t="n">
        <f aca="false">IFERROR(AVERAGEIFS('Score Entry'!$M$5:$M$1276,'Score Entry'!$B$5:$B$1276,A289,'Score Entry'!$E$5:$E$1276,"Primary"),"")</f>
        <v>74</v>
      </c>
      <c r="M289" s="48" t="n">
        <f aca="false">IFERROR(AVERAGEIFS('Score Entry'!$M$5:$M$1276,'Score Entry'!$B$5:$B$1276,A289,'Score Entry'!$E$5:$E$1276,"Secondary"),"")</f>
        <v>70</v>
      </c>
      <c r="N289" s="48" t="n">
        <f aca="false">IF(COUNT(L289:M289)=2,ABS(L289-M289),"")</f>
        <v>4</v>
      </c>
      <c r="O289" s="37" t="str">
        <f aca="false">IF(N289="","",IF(N289&gt;=Threshold,"Yes","No"))</f>
        <v>No</v>
      </c>
      <c r="P289" s="48" t="str">
        <f aca="false">IFERROR(AVERAGEIFS('Score Entry'!$M$5:$M$1276,'Score Entry'!$B$5:$B$1276,A289,'Score Entry'!$E$5:$E$1276,"Third"),"")</f>
        <v/>
      </c>
      <c r="Q289" s="48" t="n">
        <f aca="false">IF(H289&lt;&gt;"Eligible","",IF(O289="Yes",IF(ISNUMBER(P289),ROUND(AVERAGE(L289,M289,P289),1),""),IF(O289="No",ROUND(AVERAGE(L289:M289),1),"")))</f>
        <v>72</v>
      </c>
      <c r="R289" s="37" t="str">
        <f aca="false">IF(H289&lt;&gt;"Eligible","Screened out",IF(COUNT(L289:M289)=0,"Not started",IF(COUNT(L289:M289)=1,"One read done",IF(O289="Yes",IF(ISNUMBER(P289),"Complete","Needs third read"),"Complete"))))</f>
        <v>Complete</v>
      </c>
      <c r="S289" s="37" t="n">
        <f aca="false">IF(Q289="","",COUNTIFS($C$5:$C$600,C289,$Q$5:$Q$600,"&gt;"&amp;Q289)+1)</f>
        <v>33</v>
      </c>
      <c r="T289" s="37" t="str">
        <f aca="false">IF(Q289="","",IF(Q289&gt;=Cutoff,"Yes","No"))</f>
        <v>No</v>
      </c>
      <c r="U289" s="49" t="n">
        <f aca="false">IF(T289="Yes",MIN(F289,INDEX(Settings!$G:$G,MATCH(C289,Settings!$E:$E,0))),0)</f>
        <v>0</v>
      </c>
      <c r="V289" s="49" t="str">
        <f aca="false">IF(T289="Yes",SUMIFS($U$5:$U$600,$C$5:$C$600,C289,$Q$5:$Q$600,"&gt;"&amp;Q289)+U289,"")</f>
        <v/>
      </c>
      <c r="W289" s="37" t="str">
        <f aca="false">IF(T289="Yes",IF(V289&lt;=INDEX(PoolList,MATCH(C289,ProgramList,0)),"Within pool","Over pool"),"")</f>
        <v/>
      </c>
      <c r="X289" s="37" t="str">
        <f aca="false">IF(O289="Yes",COUNTIF($O$5:O289,"Yes"),"")</f>
        <v/>
      </c>
    </row>
    <row r="290" customFormat="false" ht="15" hidden="false" customHeight="false" outlineLevel="0" collapsed="false">
      <c r="A290" s="35" t="s">
        <v>763</v>
      </c>
      <c r="B290" s="35" t="s">
        <v>764</v>
      </c>
      <c r="C290" s="35" t="s">
        <v>106</v>
      </c>
      <c r="D290" s="35" t="s">
        <v>190</v>
      </c>
      <c r="E290" s="35" t="s">
        <v>191</v>
      </c>
      <c r="F290" s="42" t="n">
        <v>163000</v>
      </c>
      <c r="G290" s="36" t="n">
        <v>45918</v>
      </c>
      <c r="H290" s="35" t="s">
        <v>54</v>
      </c>
      <c r="I290" s="35" t="s">
        <v>85</v>
      </c>
      <c r="J290" s="35" t="s">
        <v>78</v>
      </c>
      <c r="K290" s="35"/>
      <c r="L290" s="48" t="n">
        <f aca="false">IFERROR(AVERAGEIFS('Score Entry'!$M$5:$M$1276,'Score Entry'!$B$5:$B$1276,A290,'Score Entry'!$E$5:$E$1276,"Primary"),"")</f>
        <v>60</v>
      </c>
      <c r="M290" s="48" t="n">
        <f aca="false">IFERROR(AVERAGEIFS('Score Entry'!$M$5:$M$1276,'Score Entry'!$B$5:$B$1276,A290,'Score Entry'!$E$5:$E$1276,"Secondary"),"")</f>
        <v>71</v>
      </c>
      <c r="N290" s="48" t="n">
        <f aca="false">IF(COUNT(L290:M290)=2,ABS(L290-M290),"")</f>
        <v>11</v>
      </c>
      <c r="O290" s="37" t="str">
        <f aca="false">IF(N290="","",IF(N290&gt;=Threshold,"Yes","No"))</f>
        <v>No</v>
      </c>
      <c r="P290" s="48" t="str">
        <f aca="false">IFERROR(AVERAGEIFS('Score Entry'!$M$5:$M$1276,'Score Entry'!$B$5:$B$1276,A290,'Score Entry'!$E$5:$E$1276,"Third"),"")</f>
        <v/>
      </c>
      <c r="Q290" s="48" t="n">
        <f aca="false">IF(H290&lt;&gt;"Eligible","",IF(O290="Yes",IF(ISNUMBER(P290),ROUND(AVERAGE(L290,M290,P290),1),""),IF(O290="No",ROUND(AVERAGE(L290:M290),1),"")))</f>
        <v>65.5</v>
      </c>
      <c r="R290" s="37" t="str">
        <f aca="false">IF(H290&lt;&gt;"Eligible","Screened out",IF(COUNT(L290:M290)=0,"Not started",IF(COUNT(L290:M290)=1,"One read done",IF(O290="Yes",IF(ISNUMBER(P290),"Complete","Needs third read"),"Complete"))))</f>
        <v>Complete</v>
      </c>
      <c r="S290" s="37" t="n">
        <f aca="false">IF(Q290="","",COUNTIFS($C$5:$C$600,C290,$Q$5:$Q$600,"&gt;"&amp;Q290)+1)</f>
        <v>68</v>
      </c>
      <c r="T290" s="37" t="str">
        <f aca="false">IF(Q290="","",IF(Q290&gt;=Cutoff,"Yes","No"))</f>
        <v>No</v>
      </c>
      <c r="U290" s="49" t="n">
        <f aca="false">IF(T290="Yes",MIN(F290,INDEX(Settings!$G:$G,MATCH(C290,Settings!$E:$E,0))),0)</f>
        <v>0</v>
      </c>
      <c r="V290" s="49" t="str">
        <f aca="false">IF(T290="Yes",SUMIFS($U$5:$U$600,$C$5:$C$600,C290,$Q$5:$Q$600,"&gt;"&amp;Q290)+U290,"")</f>
        <v/>
      </c>
      <c r="W290" s="37" t="str">
        <f aca="false">IF(T290="Yes",IF(V290&lt;=INDEX(PoolList,MATCH(C290,ProgramList,0)),"Within pool","Over pool"),"")</f>
        <v/>
      </c>
      <c r="X290" s="37" t="str">
        <f aca="false">IF(O290="Yes",COUNTIF($O$5:O290,"Yes"),"")</f>
        <v/>
      </c>
    </row>
    <row r="291" customFormat="false" ht="15" hidden="false" customHeight="false" outlineLevel="0" collapsed="false">
      <c r="A291" s="35" t="s">
        <v>765</v>
      </c>
      <c r="B291" s="35" t="s">
        <v>766</v>
      </c>
      <c r="C291" s="35" t="s">
        <v>105</v>
      </c>
      <c r="D291" s="35" t="s">
        <v>239</v>
      </c>
      <c r="E291" s="35" t="s">
        <v>240</v>
      </c>
      <c r="F291" s="42" t="n">
        <v>91000</v>
      </c>
      <c r="G291" s="36" t="n">
        <v>45914</v>
      </c>
      <c r="H291" s="35" t="s">
        <v>54</v>
      </c>
      <c r="I291" s="35" t="s">
        <v>91</v>
      </c>
      <c r="J291" s="35" t="s">
        <v>85</v>
      </c>
      <c r="K291" s="35" t="s">
        <v>82</v>
      </c>
      <c r="L291" s="48" t="n">
        <f aca="false">IFERROR(AVERAGEIFS('Score Entry'!$M$5:$M$1276,'Score Entry'!$B$5:$B$1276,A291,'Score Entry'!$E$5:$E$1276,"Primary"),"")</f>
        <v>53</v>
      </c>
      <c r="M291" s="48" t="n">
        <f aca="false">IFERROR(AVERAGEIFS('Score Entry'!$M$5:$M$1276,'Score Entry'!$B$5:$B$1276,A291,'Score Entry'!$E$5:$E$1276,"Secondary"),"")</f>
        <v>35</v>
      </c>
      <c r="N291" s="48" t="n">
        <f aca="false">IF(COUNT(L291:M291)=2,ABS(L291-M291),"")</f>
        <v>18</v>
      </c>
      <c r="O291" s="37" t="str">
        <f aca="false">IF(N291="","",IF(N291&gt;=Threshold,"Yes","No"))</f>
        <v>Yes</v>
      </c>
      <c r="P291" s="48" t="n">
        <f aca="false">IFERROR(AVERAGEIFS('Score Entry'!$M$5:$M$1276,'Score Entry'!$B$5:$B$1276,A291,'Score Entry'!$E$5:$E$1276,"Third"),"")</f>
        <v>51</v>
      </c>
      <c r="Q291" s="48" t="n">
        <f aca="false">IF(H291&lt;&gt;"Eligible","",IF(O291="Yes",IF(ISNUMBER(P291),ROUND(AVERAGE(L291,M291,P291),1),""),IF(O291="No",ROUND(AVERAGE(L291:M291),1),"")))</f>
        <v>46.3</v>
      </c>
      <c r="R291" s="37" t="str">
        <f aca="false">IF(H291&lt;&gt;"Eligible","Screened out",IF(COUNT(L291:M291)=0,"Not started",IF(COUNT(L291:M291)=1,"One read done",IF(O291="Yes",IF(ISNUMBER(P291),"Complete","Needs third read"),"Complete"))))</f>
        <v>Complete</v>
      </c>
      <c r="S291" s="37" t="n">
        <f aca="false">IF(Q291="","",COUNTIFS($C$5:$C$600,C291,$Q$5:$Q$600,"&gt;"&amp;Q291)+1)</f>
        <v>98</v>
      </c>
      <c r="T291" s="37" t="str">
        <f aca="false">IF(Q291="","",IF(Q291&gt;=Cutoff,"Yes","No"))</f>
        <v>No</v>
      </c>
      <c r="U291" s="49" t="n">
        <f aca="false">IF(T291="Yes",MIN(F291,INDEX(Settings!$G:$G,MATCH(C291,Settings!$E:$E,0))),0)</f>
        <v>0</v>
      </c>
      <c r="V291" s="49" t="str">
        <f aca="false">IF(T291="Yes",SUMIFS($U$5:$U$600,$C$5:$C$600,C291,$Q$5:$Q$600,"&gt;"&amp;Q291)+U291,"")</f>
        <v/>
      </c>
      <c r="W291" s="37" t="str">
        <f aca="false">IF(T291="Yes",IF(V291&lt;=INDEX(PoolList,MATCH(C291,ProgramList,0)),"Within pool","Over pool"),"")</f>
        <v/>
      </c>
      <c r="X291" s="37" t="n">
        <f aca="false">IF(O291="Yes",COUNTIF($O$5:O291,"Yes"),"")</f>
        <v>40</v>
      </c>
    </row>
    <row r="292" customFormat="false" ht="15" hidden="false" customHeight="false" outlineLevel="0" collapsed="false">
      <c r="A292" s="35" t="s">
        <v>767</v>
      </c>
      <c r="B292" s="35" t="s">
        <v>768</v>
      </c>
      <c r="C292" s="35" t="s">
        <v>106</v>
      </c>
      <c r="D292" s="35" t="s">
        <v>180</v>
      </c>
      <c r="E292" s="35" t="s">
        <v>181</v>
      </c>
      <c r="F292" s="42" t="n">
        <v>41500</v>
      </c>
      <c r="G292" s="36" t="n">
        <v>45917</v>
      </c>
      <c r="H292" s="35" t="s">
        <v>54</v>
      </c>
      <c r="I292" s="35" t="s">
        <v>88</v>
      </c>
      <c r="J292" s="35" t="s">
        <v>82</v>
      </c>
      <c r="K292" s="35"/>
      <c r="L292" s="48" t="n">
        <f aca="false">IFERROR(AVERAGEIFS('Score Entry'!$M$5:$M$1276,'Score Entry'!$B$5:$B$1276,A292,'Score Entry'!$E$5:$E$1276,"Primary"),"")</f>
        <v>61</v>
      </c>
      <c r="M292" s="48" t="n">
        <f aca="false">IFERROR(AVERAGEIFS('Score Entry'!$M$5:$M$1276,'Score Entry'!$B$5:$B$1276,A292,'Score Entry'!$E$5:$E$1276,"Secondary"),"")</f>
        <v>56</v>
      </c>
      <c r="N292" s="48" t="n">
        <f aca="false">IF(COUNT(L292:M292)=2,ABS(L292-M292),"")</f>
        <v>5</v>
      </c>
      <c r="O292" s="37" t="str">
        <f aca="false">IF(N292="","",IF(N292&gt;=Threshold,"Yes","No"))</f>
        <v>No</v>
      </c>
      <c r="P292" s="48" t="str">
        <f aca="false">IFERROR(AVERAGEIFS('Score Entry'!$M$5:$M$1276,'Score Entry'!$B$5:$B$1276,A292,'Score Entry'!$E$5:$E$1276,"Third"),"")</f>
        <v/>
      </c>
      <c r="Q292" s="48" t="n">
        <f aca="false">IF(H292&lt;&gt;"Eligible","",IF(O292="Yes",IF(ISNUMBER(P292),ROUND(AVERAGE(L292,M292,P292),1),""),IF(O292="No",ROUND(AVERAGE(L292:M292),1),"")))</f>
        <v>58.5</v>
      </c>
      <c r="R292" s="37" t="str">
        <f aca="false">IF(H292&lt;&gt;"Eligible","Screened out",IF(COUNT(L292:M292)=0,"Not started",IF(COUNT(L292:M292)=1,"One read done",IF(O292="Yes",IF(ISNUMBER(P292),"Complete","Needs third read"),"Complete"))))</f>
        <v>Complete</v>
      </c>
      <c r="S292" s="37" t="n">
        <f aca="false">IF(Q292="","",COUNTIFS($C$5:$C$600,C292,$Q$5:$Q$600,"&gt;"&amp;Q292)+1)</f>
        <v>91</v>
      </c>
      <c r="T292" s="37" t="str">
        <f aca="false">IF(Q292="","",IF(Q292&gt;=Cutoff,"Yes","No"))</f>
        <v>No</v>
      </c>
      <c r="U292" s="49" t="n">
        <f aca="false">IF(T292="Yes",MIN(F292,INDEX(Settings!$G:$G,MATCH(C292,Settings!$E:$E,0))),0)</f>
        <v>0</v>
      </c>
      <c r="V292" s="49" t="str">
        <f aca="false">IF(T292="Yes",SUMIFS($U$5:$U$600,$C$5:$C$600,C292,$Q$5:$Q$600,"&gt;"&amp;Q292)+U292,"")</f>
        <v/>
      </c>
      <c r="W292" s="37" t="str">
        <f aca="false">IF(T292="Yes",IF(V292&lt;=INDEX(PoolList,MATCH(C292,ProgramList,0)),"Within pool","Over pool"),"")</f>
        <v/>
      </c>
      <c r="X292" s="37" t="str">
        <f aca="false">IF(O292="Yes",COUNTIF($O$5:O292,"Yes"),"")</f>
        <v/>
      </c>
    </row>
    <row r="293" customFormat="false" ht="15" hidden="false" customHeight="false" outlineLevel="0" collapsed="false">
      <c r="A293" s="35" t="s">
        <v>769</v>
      </c>
      <c r="B293" s="35" t="s">
        <v>770</v>
      </c>
      <c r="C293" s="35" t="s">
        <v>105</v>
      </c>
      <c r="D293" s="35" t="s">
        <v>174</v>
      </c>
      <c r="E293" s="35" t="s">
        <v>175</v>
      </c>
      <c r="F293" s="42" t="n">
        <v>124000</v>
      </c>
      <c r="G293" s="36" t="n">
        <v>45927</v>
      </c>
      <c r="H293" s="35" t="s">
        <v>96</v>
      </c>
      <c r="I293" s="35"/>
      <c r="J293" s="35"/>
      <c r="K293" s="35"/>
      <c r="L293" s="48" t="str">
        <f aca="false">IFERROR(AVERAGEIFS('Score Entry'!$M$5:$M$1276,'Score Entry'!$B$5:$B$1276,A293,'Score Entry'!$E$5:$E$1276,"Primary"),"")</f>
        <v/>
      </c>
      <c r="M293" s="48" t="str">
        <f aca="false">IFERROR(AVERAGEIFS('Score Entry'!$M$5:$M$1276,'Score Entry'!$B$5:$B$1276,A293,'Score Entry'!$E$5:$E$1276,"Secondary"),"")</f>
        <v/>
      </c>
      <c r="N293" s="48" t="str">
        <f aca="false">IF(COUNT(L293:M293)=2,ABS(L293-M293),"")</f>
        <v/>
      </c>
      <c r="O293" s="37" t="str">
        <f aca="false">IF(N293="","",IF(N293&gt;=Threshold,"Yes","No"))</f>
        <v/>
      </c>
      <c r="P293" s="48" t="str">
        <f aca="false">IFERROR(AVERAGEIFS('Score Entry'!$M$5:$M$1276,'Score Entry'!$B$5:$B$1276,A293,'Score Entry'!$E$5:$E$1276,"Third"),"")</f>
        <v/>
      </c>
      <c r="Q293" s="48" t="str">
        <f aca="false">IF(H293&lt;&gt;"Eligible","",IF(O293="Yes",IF(ISNUMBER(P293),ROUND(AVERAGE(L293,M293,P293),1),""),IF(O293="No",ROUND(AVERAGE(L293:M293),1),"")))</f>
        <v/>
      </c>
      <c r="R293" s="37" t="str">
        <f aca="false">IF(H293&lt;&gt;"Eligible","Screened out",IF(COUNT(L293:M293)=0,"Not started",IF(COUNT(L293:M293)=1,"One read done",IF(O293="Yes",IF(ISNUMBER(P293),"Complete","Needs third read"),"Complete"))))</f>
        <v>Screened out</v>
      </c>
      <c r="S293" s="37" t="str">
        <f aca="false">IF(Q293="","",COUNTIFS($C$5:$C$600,C293,$Q$5:$Q$600,"&gt;"&amp;Q293)+1)</f>
        <v/>
      </c>
      <c r="T293" s="37" t="str">
        <f aca="false">IF(Q293="","",IF(Q293&gt;=Cutoff,"Yes","No"))</f>
        <v/>
      </c>
      <c r="U293" s="49" t="n">
        <f aca="false">IF(T293="Yes",MIN(F293,INDEX(Settings!$G:$G,MATCH(C293,Settings!$E:$E,0))),0)</f>
        <v>0</v>
      </c>
      <c r="V293" s="49" t="str">
        <f aca="false">IF(T293="Yes",SUMIFS($U$5:$U$600,$C$5:$C$600,C293,$Q$5:$Q$600,"&gt;"&amp;Q293)+U293,"")</f>
        <v/>
      </c>
      <c r="W293" s="37" t="str">
        <f aca="false">IF(T293="Yes",IF(V293&lt;=INDEX(PoolList,MATCH(C293,ProgramList,0)),"Within pool","Over pool"),"")</f>
        <v/>
      </c>
      <c r="X293" s="37" t="str">
        <f aca="false">IF(O293="Yes",COUNTIF($O$5:O293,"Yes"),"")</f>
        <v/>
      </c>
    </row>
    <row r="294" customFormat="false" ht="15" hidden="false" customHeight="false" outlineLevel="0" collapsed="false">
      <c r="A294" s="35" t="s">
        <v>771</v>
      </c>
      <c r="B294" s="35" t="s">
        <v>772</v>
      </c>
      <c r="C294" s="35" t="s">
        <v>103</v>
      </c>
      <c r="D294" s="35" t="s">
        <v>174</v>
      </c>
      <c r="E294" s="35" t="s">
        <v>175</v>
      </c>
      <c r="F294" s="42" t="n">
        <v>60000</v>
      </c>
      <c r="G294" s="36" t="n">
        <v>45913</v>
      </c>
      <c r="H294" s="35" t="s">
        <v>54</v>
      </c>
      <c r="I294" s="35" t="s">
        <v>82</v>
      </c>
      <c r="J294" s="35" t="s">
        <v>85</v>
      </c>
      <c r="K294" s="35"/>
      <c r="L294" s="48" t="n">
        <f aca="false">IFERROR(AVERAGEIFS('Score Entry'!$M$5:$M$1276,'Score Entry'!$B$5:$B$1276,A294,'Score Entry'!$E$5:$E$1276,"Primary"),"")</f>
        <v>48</v>
      </c>
      <c r="M294" s="48" t="n">
        <f aca="false">IFERROR(AVERAGEIFS('Score Entry'!$M$5:$M$1276,'Score Entry'!$B$5:$B$1276,A294,'Score Entry'!$E$5:$E$1276,"Secondary"),"")</f>
        <v>62</v>
      </c>
      <c r="N294" s="48" t="n">
        <f aca="false">IF(COUNT(L294:M294)=2,ABS(L294-M294),"")</f>
        <v>14</v>
      </c>
      <c r="O294" s="37" t="str">
        <f aca="false">IF(N294="","",IF(N294&gt;=Threshold,"Yes","No"))</f>
        <v>No</v>
      </c>
      <c r="P294" s="48" t="str">
        <f aca="false">IFERROR(AVERAGEIFS('Score Entry'!$M$5:$M$1276,'Score Entry'!$B$5:$B$1276,A294,'Score Entry'!$E$5:$E$1276,"Third"),"")</f>
        <v/>
      </c>
      <c r="Q294" s="48" t="n">
        <f aca="false">IF(H294&lt;&gt;"Eligible","",IF(O294="Yes",IF(ISNUMBER(P294),ROUND(AVERAGE(L294,M294,P294),1),""),IF(O294="No",ROUND(AVERAGE(L294:M294),1),"")))</f>
        <v>55</v>
      </c>
      <c r="R294" s="37" t="str">
        <f aca="false">IF(H294&lt;&gt;"Eligible","Screened out",IF(COUNT(L294:M294)=0,"Not started",IF(COUNT(L294:M294)=1,"One read done",IF(O294="Yes",IF(ISNUMBER(P294),"Complete","Needs third read"),"Complete"))))</f>
        <v>Complete</v>
      </c>
      <c r="S294" s="37" t="n">
        <f aca="false">IF(Q294="","",COUNTIFS($C$5:$C$600,C294,$Q$5:$Q$600,"&gt;"&amp;Q294)+1)</f>
        <v>132</v>
      </c>
      <c r="T294" s="37" t="str">
        <f aca="false">IF(Q294="","",IF(Q294&gt;=Cutoff,"Yes","No"))</f>
        <v>No</v>
      </c>
      <c r="U294" s="49" t="n">
        <f aca="false">IF(T294="Yes",MIN(F294,INDEX(Settings!$G:$G,MATCH(C294,Settings!$E:$E,0))),0)</f>
        <v>0</v>
      </c>
      <c r="V294" s="49" t="str">
        <f aca="false">IF(T294="Yes",SUMIFS($U$5:$U$600,$C$5:$C$600,C294,$Q$5:$Q$600,"&gt;"&amp;Q294)+U294,"")</f>
        <v/>
      </c>
      <c r="W294" s="37" t="str">
        <f aca="false">IF(T294="Yes",IF(V294&lt;=INDEX(PoolList,MATCH(C294,ProgramList,0)),"Within pool","Over pool"),"")</f>
        <v/>
      </c>
      <c r="X294" s="37" t="str">
        <f aca="false">IF(O294="Yes",COUNTIF($O$5:O294,"Yes"),"")</f>
        <v/>
      </c>
    </row>
    <row r="295" customFormat="false" ht="15" hidden="false" customHeight="false" outlineLevel="0" collapsed="false">
      <c r="A295" s="35" t="s">
        <v>773</v>
      </c>
      <c r="B295" s="35" t="s">
        <v>774</v>
      </c>
      <c r="C295" s="35" t="s">
        <v>105</v>
      </c>
      <c r="D295" s="35" t="s">
        <v>174</v>
      </c>
      <c r="E295" s="35" t="s">
        <v>232</v>
      </c>
      <c r="F295" s="42" t="n">
        <v>94000</v>
      </c>
      <c r="G295" s="36" t="n">
        <v>45920</v>
      </c>
      <c r="H295" s="35" t="s">
        <v>54</v>
      </c>
      <c r="I295" s="35" t="s">
        <v>94</v>
      </c>
      <c r="J295" s="35" t="s">
        <v>91</v>
      </c>
      <c r="K295" s="35" t="s">
        <v>85</v>
      </c>
      <c r="L295" s="48" t="n">
        <f aca="false">IFERROR(AVERAGEIFS('Score Entry'!$M$5:$M$1276,'Score Entry'!$B$5:$B$1276,A295,'Score Entry'!$E$5:$E$1276,"Primary"),"")</f>
        <v>73</v>
      </c>
      <c r="M295" s="48" t="n">
        <f aca="false">IFERROR(AVERAGEIFS('Score Entry'!$M$5:$M$1276,'Score Entry'!$B$5:$B$1276,A295,'Score Entry'!$E$5:$E$1276,"Secondary"),"")</f>
        <v>91</v>
      </c>
      <c r="N295" s="48" t="n">
        <f aca="false">IF(COUNT(L295:M295)=2,ABS(L295-M295),"")</f>
        <v>18</v>
      </c>
      <c r="O295" s="37" t="str">
        <f aca="false">IF(N295="","",IF(N295&gt;=Threshold,"Yes","No"))</f>
        <v>Yes</v>
      </c>
      <c r="P295" s="48" t="n">
        <f aca="false">IFERROR(AVERAGEIFS('Score Entry'!$M$5:$M$1276,'Score Entry'!$B$5:$B$1276,A295,'Score Entry'!$E$5:$E$1276,"Third"),"")</f>
        <v>69</v>
      </c>
      <c r="Q295" s="48" t="n">
        <f aca="false">IF(H295&lt;&gt;"Eligible","",IF(O295="Yes",IF(ISNUMBER(P295),ROUND(AVERAGE(L295,M295,P295),1),""),IF(O295="No",ROUND(AVERAGE(L295:M295),1),"")))</f>
        <v>77.7</v>
      </c>
      <c r="R295" s="37" t="str">
        <f aca="false">IF(H295&lt;&gt;"Eligible","Screened out",IF(COUNT(L295:M295)=0,"Not started",IF(COUNT(L295:M295)=1,"One read done",IF(O295="Yes",IF(ISNUMBER(P295),"Complete","Needs third read"),"Complete"))))</f>
        <v>Complete</v>
      </c>
      <c r="S295" s="37" t="n">
        <f aca="false">IF(Q295="","",COUNTIFS($C$5:$C$600,C295,$Q$5:$Q$600,"&gt;"&amp;Q295)+1)</f>
        <v>22</v>
      </c>
      <c r="T295" s="37" t="str">
        <f aca="false">IF(Q295="","",IF(Q295&gt;=Cutoff,"Yes","No"))</f>
        <v>No</v>
      </c>
      <c r="U295" s="49" t="n">
        <f aca="false">IF(T295="Yes",MIN(F295,INDEX(Settings!$G:$G,MATCH(C295,Settings!$E:$E,0))),0)</f>
        <v>0</v>
      </c>
      <c r="V295" s="49" t="str">
        <f aca="false">IF(T295="Yes",SUMIFS($U$5:$U$600,$C$5:$C$600,C295,$Q$5:$Q$600,"&gt;"&amp;Q295)+U295,"")</f>
        <v/>
      </c>
      <c r="W295" s="37" t="str">
        <f aca="false">IF(T295="Yes",IF(V295&lt;=INDEX(PoolList,MATCH(C295,ProgramList,0)),"Within pool","Over pool"),"")</f>
        <v/>
      </c>
      <c r="X295" s="37" t="n">
        <f aca="false">IF(O295="Yes",COUNTIF($O$5:O295,"Yes"),"")</f>
        <v>41</v>
      </c>
    </row>
    <row r="296" customFormat="false" ht="15" hidden="false" customHeight="false" outlineLevel="0" collapsed="false">
      <c r="A296" s="35" t="s">
        <v>775</v>
      </c>
      <c r="B296" s="35" t="s">
        <v>776</v>
      </c>
      <c r="C296" s="35" t="s">
        <v>106</v>
      </c>
      <c r="D296" s="35" t="s">
        <v>174</v>
      </c>
      <c r="E296" s="35" t="s">
        <v>175</v>
      </c>
      <c r="F296" s="42" t="n">
        <v>36500</v>
      </c>
      <c r="G296" s="36" t="n">
        <v>45927</v>
      </c>
      <c r="H296" s="35" t="s">
        <v>54</v>
      </c>
      <c r="I296" s="35" t="s">
        <v>78</v>
      </c>
      <c r="J296" s="35" t="s">
        <v>88</v>
      </c>
      <c r="K296" s="35"/>
      <c r="L296" s="48" t="n">
        <f aca="false">IFERROR(AVERAGEIFS('Score Entry'!$M$5:$M$1276,'Score Entry'!$B$5:$B$1276,A296,'Score Entry'!$E$5:$E$1276,"Primary"),"")</f>
        <v>91</v>
      </c>
      <c r="M296" s="48" t="n">
        <f aca="false">IFERROR(AVERAGEIFS('Score Entry'!$M$5:$M$1276,'Score Entry'!$B$5:$B$1276,A296,'Score Entry'!$E$5:$E$1276,"Secondary"),"")</f>
        <v>90</v>
      </c>
      <c r="N296" s="48" t="n">
        <f aca="false">IF(COUNT(L296:M296)=2,ABS(L296-M296),"")</f>
        <v>1</v>
      </c>
      <c r="O296" s="37" t="str">
        <f aca="false">IF(N296="","",IF(N296&gt;=Threshold,"Yes","No"))</f>
        <v>No</v>
      </c>
      <c r="P296" s="48" t="str">
        <f aca="false">IFERROR(AVERAGEIFS('Score Entry'!$M$5:$M$1276,'Score Entry'!$B$5:$B$1276,A296,'Score Entry'!$E$5:$E$1276,"Third"),"")</f>
        <v/>
      </c>
      <c r="Q296" s="48" t="n">
        <f aca="false">IF(H296&lt;&gt;"Eligible","",IF(O296="Yes",IF(ISNUMBER(P296),ROUND(AVERAGE(L296,M296,P296),1),""),IF(O296="No",ROUND(AVERAGE(L296:M296),1),"")))</f>
        <v>90.5</v>
      </c>
      <c r="R296" s="37" t="str">
        <f aca="false">IF(H296&lt;&gt;"Eligible","Screened out",IF(COUNT(L296:M296)=0,"Not started",IF(COUNT(L296:M296)=1,"One read done",IF(O296="Yes",IF(ISNUMBER(P296),"Complete","Needs third read"),"Complete"))))</f>
        <v>Complete</v>
      </c>
      <c r="S296" s="37" t="n">
        <f aca="false">IF(Q296="","",COUNTIFS($C$5:$C$600,C296,$Q$5:$Q$600,"&gt;"&amp;Q296)+1)</f>
        <v>7</v>
      </c>
      <c r="T296" s="37" t="str">
        <f aca="false">IF(Q296="","",IF(Q296&gt;=Cutoff,"Yes","No"))</f>
        <v>Yes</v>
      </c>
      <c r="U296" s="49" t="n">
        <f aca="false">IF(T296="Yes",MIN(F296,INDEX(Settings!$G:$G,MATCH(C296,Settings!$E:$E,0))),0)</f>
        <v>36500</v>
      </c>
      <c r="V296" s="49" t="n">
        <f aca="false">IF(T296="Yes",SUMIFS($U$5:$U$600,$C$5:$C$600,C296,$Q$5:$Q$600,"&gt;"&amp;Q296)+U296,"")</f>
        <v>451500</v>
      </c>
      <c r="W296" s="37" t="str">
        <f aca="false">IF(T296="Yes",IF(V296&lt;=INDEX(PoolList,MATCH(C296,ProgramList,0)),"Within pool","Over pool"),"")</f>
        <v>Within pool</v>
      </c>
      <c r="X296" s="37" t="str">
        <f aca="false">IF(O296="Yes",COUNTIF($O$5:O296,"Yes"),"")</f>
        <v/>
      </c>
    </row>
    <row r="297" customFormat="false" ht="15" hidden="false" customHeight="false" outlineLevel="0" collapsed="false">
      <c r="A297" s="35" t="s">
        <v>777</v>
      </c>
      <c r="B297" s="35" t="s">
        <v>778</v>
      </c>
      <c r="C297" s="35" t="s">
        <v>104</v>
      </c>
      <c r="D297" s="35" t="s">
        <v>174</v>
      </c>
      <c r="E297" s="35" t="s">
        <v>175</v>
      </c>
      <c r="F297" s="42" t="n">
        <v>121000</v>
      </c>
      <c r="G297" s="36" t="n">
        <v>45911</v>
      </c>
      <c r="H297" s="35" t="s">
        <v>54</v>
      </c>
      <c r="I297" s="35" t="s">
        <v>91</v>
      </c>
      <c r="J297" s="35" t="s">
        <v>82</v>
      </c>
      <c r="K297" s="35"/>
      <c r="L297" s="48" t="n">
        <f aca="false">IFERROR(AVERAGEIFS('Score Entry'!$M$5:$M$1276,'Score Entry'!$B$5:$B$1276,A297,'Score Entry'!$E$5:$E$1276,"Primary"),"")</f>
        <v>90</v>
      </c>
      <c r="M297" s="48" t="n">
        <f aca="false">IFERROR(AVERAGEIFS('Score Entry'!$M$5:$M$1276,'Score Entry'!$B$5:$B$1276,A297,'Score Entry'!$E$5:$E$1276,"Secondary"),"")</f>
        <v>79</v>
      </c>
      <c r="N297" s="48" t="n">
        <f aca="false">IF(COUNT(L297:M297)=2,ABS(L297-M297),"")</f>
        <v>11</v>
      </c>
      <c r="O297" s="37" t="str">
        <f aca="false">IF(N297="","",IF(N297&gt;=Threshold,"Yes","No"))</f>
        <v>No</v>
      </c>
      <c r="P297" s="48" t="str">
        <f aca="false">IFERROR(AVERAGEIFS('Score Entry'!$M$5:$M$1276,'Score Entry'!$B$5:$B$1276,A297,'Score Entry'!$E$5:$E$1276,"Third"),"")</f>
        <v/>
      </c>
      <c r="Q297" s="48" t="n">
        <f aca="false">IF(H297&lt;&gt;"Eligible","",IF(O297="Yes",IF(ISNUMBER(P297),ROUND(AVERAGE(L297,M297,P297),1),""),IF(O297="No",ROUND(AVERAGE(L297:M297),1),"")))</f>
        <v>84.5</v>
      </c>
      <c r="R297" s="37" t="str">
        <f aca="false">IF(H297&lt;&gt;"Eligible","Screened out",IF(COUNT(L297:M297)=0,"Not started",IF(COUNT(L297:M297)=1,"One read done",IF(O297="Yes",IF(ISNUMBER(P297),"Complete","Needs third read"),"Complete"))))</f>
        <v>Complete</v>
      </c>
      <c r="S297" s="37" t="n">
        <f aca="false">IF(Q297="","",COUNTIFS($C$5:$C$600,C297,$Q$5:$Q$600,"&gt;"&amp;Q297)+1)</f>
        <v>15</v>
      </c>
      <c r="T297" s="37" t="str">
        <f aca="false">IF(Q297="","",IF(Q297&gt;=Cutoff,"Yes","No"))</f>
        <v>No</v>
      </c>
      <c r="U297" s="49" t="n">
        <f aca="false">IF(T297="Yes",MIN(F297,INDEX(Settings!$G:$G,MATCH(C297,Settings!$E:$E,0))),0)</f>
        <v>0</v>
      </c>
      <c r="V297" s="49" t="str">
        <f aca="false">IF(T297="Yes",SUMIFS($U$5:$U$600,$C$5:$C$600,C297,$Q$5:$Q$600,"&gt;"&amp;Q297)+U297,"")</f>
        <v/>
      </c>
      <c r="W297" s="37" t="str">
        <f aca="false">IF(T297="Yes",IF(V297&lt;=INDEX(PoolList,MATCH(C297,ProgramList,0)),"Within pool","Over pool"),"")</f>
        <v/>
      </c>
      <c r="X297" s="37" t="str">
        <f aca="false">IF(O297="Yes",COUNTIF($O$5:O297,"Yes"),"")</f>
        <v/>
      </c>
    </row>
    <row r="298" customFormat="false" ht="15" hidden="false" customHeight="false" outlineLevel="0" collapsed="false">
      <c r="A298" s="35" t="s">
        <v>779</v>
      </c>
      <c r="B298" s="35" t="s">
        <v>780</v>
      </c>
      <c r="C298" s="35" t="s">
        <v>103</v>
      </c>
      <c r="D298" s="35" t="s">
        <v>174</v>
      </c>
      <c r="E298" s="35" t="s">
        <v>175</v>
      </c>
      <c r="F298" s="42" t="n">
        <v>57000</v>
      </c>
      <c r="G298" s="36" t="n">
        <v>45908</v>
      </c>
      <c r="H298" s="35" t="s">
        <v>54</v>
      </c>
      <c r="I298" s="35" t="s">
        <v>94</v>
      </c>
      <c r="J298" s="35" t="s">
        <v>78</v>
      </c>
      <c r="K298" s="35"/>
      <c r="L298" s="48" t="n">
        <f aca="false">IFERROR(AVERAGEIFS('Score Entry'!$M$5:$M$1276,'Score Entry'!$B$5:$B$1276,A298,'Score Entry'!$E$5:$E$1276,"Primary"),"")</f>
        <v>64</v>
      </c>
      <c r="M298" s="48" t="n">
        <f aca="false">IFERROR(AVERAGEIFS('Score Entry'!$M$5:$M$1276,'Score Entry'!$B$5:$B$1276,A298,'Score Entry'!$E$5:$E$1276,"Secondary"),"")</f>
        <v>76</v>
      </c>
      <c r="N298" s="48" t="n">
        <f aca="false">IF(COUNT(L298:M298)=2,ABS(L298-M298),"")</f>
        <v>12</v>
      </c>
      <c r="O298" s="37" t="str">
        <f aca="false">IF(N298="","",IF(N298&gt;=Threshold,"Yes","No"))</f>
        <v>No</v>
      </c>
      <c r="P298" s="48" t="str">
        <f aca="false">IFERROR(AVERAGEIFS('Score Entry'!$M$5:$M$1276,'Score Entry'!$B$5:$B$1276,A298,'Score Entry'!$E$5:$E$1276,"Third"),"")</f>
        <v/>
      </c>
      <c r="Q298" s="48" t="n">
        <f aca="false">IF(H298&lt;&gt;"Eligible","",IF(O298="Yes",IF(ISNUMBER(P298),ROUND(AVERAGE(L298,M298,P298),1),""),IF(O298="No",ROUND(AVERAGE(L298:M298),1),"")))</f>
        <v>70</v>
      </c>
      <c r="R298" s="37" t="str">
        <f aca="false">IF(H298&lt;&gt;"Eligible","Screened out",IF(COUNT(L298:M298)=0,"Not started",IF(COUNT(L298:M298)=1,"One read done",IF(O298="Yes",IF(ISNUMBER(P298),"Complete","Needs third read"),"Complete"))))</f>
        <v>Complete</v>
      </c>
      <c r="S298" s="37" t="n">
        <f aca="false">IF(Q298="","",COUNTIFS($C$5:$C$600,C298,$Q$5:$Q$600,"&gt;"&amp;Q298)+1)</f>
        <v>65</v>
      </c>
      <c r="T298" s="37" t="str">
        <f aca="false">IF(Q298="","",IF(Q298&gt;=Cutoff,"Yes","No"))</f>
        <v>No</v>
      </c>
      <c r="U298" s="49" t="n">
        <f aca="false">IF(T298="Yes",MIN(F298,INDEX(Settings!$G:$G,MATCH(C298,Settings!$E:$E,0))),0)</f>
        <v>0</v>
      </c>
      <c r="V298" s="49" t="str">
        <f aca="false">IF(T298="Yes",SUMIFS($U$5:$U$600,$C$5:$C$600,C298,$Q$5:$Q$600,"&gt;"&amp;Q298)+U298,"")</f>
        <v/>
      </c>
      <c r="W298" s="37" t="str">
        <f aca="false">IF(T298="Yes",IF(V298&lt;=INDEX(PoolList,MATCH(C298,ProgramList,0)),"Within pool","Over pool"),"")</f>
        <v/>
      </c>
      <c r="X298" s="37" t="str">
        <f aca="false">IF(O298="Yes",COUNTIF($O$5:O298,"Yes"),"")</f>
        <v/>
      </c>
    </row>
    <row r="299" customFormat="false" ht="15" hidden="false" customHeight="false" outlineLevel="0" collapsed="false">
      <c r="A299" s="35" t="s">
        <v>781</v>
      </c>
      <c r="B299" s="35" t="s">
        <v>782</v>
      </c>
      <c r="C299" s="35" t="s">
        <v>103</v>
      </c>
      <c r="D299" s="35" t="s">
        <v>174</v>
      </c>
      <c r="E299" s="35" t="s">
        <v>175</v>
      </c>
      <c r="F299" s="42" t="n">
        <v>75500</v>
      </c>
      <c r="G299" s="36" t="n">
        <v>45912</v>
      </c>
      <c r="H299" s="35" t="s">
        <v>54</v>
      </c>
      <c r="I299" s="35" t="s">
        <v>88</v>
      </c>
      <c r="J299" s="35" t="s">
        <v>85</v>
      </c>
      <c r="K299" s="35"/>
      <c r="L299" s="48" t="n">
        <f aca="false">IFERROR(AVERAGEIFS('Score Entry'!$M$5:$M$1276,'Score Entry'!$B$5:$B$1276,A299,'Score Entry'!$E$5:$E$1276,"Primary"),"")</f>
        <v>66</v>
      </c>
      <c r="M299" s="48" t="n">
        <f aca="false">IFERROR(AVERAGEIFS('Score Entry'!$M$5:$M$1276,'Score Entry'!$B$5:$B$1276,A299,'Score Entry'!$E$5:$E$1276,"Secondary"),"")</f>
        <v>66</v>
      </c>
      <c r="N299" s="48" t="n">
        <f aca="false">IF(COUNT(L299:M299)=2,ABS(L299-M299),"")</f>
        <v>0</v>
      </c>
      <c r="O299" s="37" t="str">
        <f aca="false">IF(N299="","",IF(N299&gt;=Threshold,"Yes","No"))</f>
        <v>No</v>
      </c>
      <c r="P299" s="48" t="str">
        <f aca="false">IFERROR(AVERAGEIFS('Score Entry'!$M$5:$M$1276,'Score Entry'!$B$5:$B$1276,A299,'Score Entry'!$E$5:$E$1276,"Third"),"")</f>
        <v/>
      </c>
      <c r="Q299" s="48" t="n">
        <f aca="false">IF(H299&lt;&gt;"Eligible","",IF(O299="Yes",IF(ISNUMBER(P299),ROUND(AVERAGE(L299,M299,P299),1),""),IF(O299="No",ROUND(AVERAGE(L299:M299),1),"")))</f>
        <v>66</v>
      </c>
      <c r="R299" s="37" t="str">
        <f aca="false">IF(H299&lt;&gt;"Eligible","Screened out",IF(COUNT(L299:M299)=0,"Not started",IF(COUNT(L299:M299)=1,"One read done",IF(O299="Yes",IF(ISNUMBER(P299),"Complete","Needs third read"),"Complete"))))</f>
        <v>Complete</v>
      </c>
      <c r="S299" s="37" t="n">
        <f aca="false">IF(Q299="","",COUNTIFS($C$5:$C$600,C299,$Q$5:$Q$600,"&gt;"&amp;Q299)+1)</f>
        <v>84</v>
      </c>
      <c r="T299" s="37" t="str">
        <f aca="false">IF(Q299="","",IF(Q299&gt;=Cutoff,"Yes","No"))</f>
        <v>No</v>
      </c>
      <c r="U299" s="49" t="n">
        <f aca="false">IF(T299="Yes",MIN(F299,INDEX(Settings!$G:$G,MATCH(C299,Settings!$E:$E,0))),0)</f>
        <v>0</v>
      </c>
      <c r="V299" s="49" t="str">
        <f aca="false">IF(T299="Yes",SUMIFS($U$5:$U$600,$C$5:$C$600,C299,$Q$5:$Q$600,"&gt;"&amp;Q299)+U299,"")</f>
        <v/>
      </c>
      <c r="W299" s="37" t="str">
        <f aca="false">IF(T299="Yes",IF(V299&lt;=INDEX(PoolList,MATCH(C299,ProgramList,0)),"Within pool","Over pool"),"")</f>
        <v/>
      </c>
      <c r="X299" s="37" t="str">
        <f aca="false">IF(O299="Yes",COUNTIF($O$5:O299,"Yes"),"")</f>
        <v/>
      </c>
    </row>
    <row r="300" customFormat="false" ht="15" hidden="false" customHeight="false" outlineLevel="0" collapsed="false">
      <c r="A300" s="35" t="s">
        <v>783</v>
      </c>
      <c r="B300" s="35" t="s">
        <v>784</v>
      </c>
      <c r="C300" s="35" t="s">
        <v>106</v>
      </c>
      <c r="D300" s="35" t="s">
        <v>174</v>
      </c>
      <c r="E300" s="35" t="s">
        <v>175</v>
      </c>
      <c r="F300" s="42" t="n">
        <v>147500</v>
      </c>
      <c r="G300" s="36" t="n">
        <v>45927</v>
      </c>
      <c r="H300" s="35" t="s">
        <v>54</v>
      </c>
      <c r="I300" s="35" t="s">
        <v>85</v>
      </c>
      <c r="J300" s="35" t="s">
        <v>82</v>
      </c>
      <c r="K300" s="35" t="s">
        <v>94</v>
      </c>
      <c r="L300" s="48" t="n">
        <f aca="false">IFERROR(AVERAGEIFS('Score Entry'!$M$5:$M$1276,'Score Entry'!$B$5:$B$1276,A300,'Score Entry'!$E$5:$E$1276,"Primary"),"")</f>
        <v>48</v>
      </c>
      <c r="M300" s="48" t="n">
        <f aca="false">IFERROR(AVERAGEIFS('Score Entry'!$M$5:$M$1276,'Score Entry'!$B$5:$B$1276,A300,'Score Entry'!$E$5:$E$1276,"Secondary"),"")</f>
        <v>20</v>
      </c>
      <c r="N300" s="48" t="n">
        <f aca="false">IF(COUNT(L300:M300)=2,ABS(L300-M300),"")</f>
        <v>28</v>
      </c>
      <c r="O300" s="37" t="str">
        <f aca="false">IF(N300="","",IF(N300&gt;=Threshold,"Yes","No"))</f>
        <v>Yes</v>
      </c>
      <c r="P300" s="48" t="n">
        <f aca="false">IFERROR(AVERAGEIFS('Score Entry'!$M$5:$M$1276,'Score Entry'!$B$5:$B$1276,A300,'Score Entry'!$E$5:$E$1276,"Third"),"")</f>
        <v>45</v>
      </c>
      <c r="Q300" s="48" t="n">
        <f aca="false">IF(H300&lt;&gt;"Eligible","",IF(O300="Yes",IF(ISNUMBER(P300),ROUND(AVERAGE(L300,M300,P300),1),""),IF(O300="No",ROUND(AVERAGE(L300:M300),1),"")))</f>
        <v>37.7</v>
      </c>
      <c r="R300" s="37" t="str">
        <f aca="false">IF(H300&lt;&gt;"Eligible","Screened out",IF(COUNT(L300:M300)=0,"Not started",IF(COUNT(L300:M300)=1,"One read done",IF(O300="Yes",IF(ISNUMBER(P300),"Complete","Needs third read"),"Complete"))))</f>
        <v>Complete</v>
      </c>
      <c r="S300" s="37" t="n">
        <f aca="false">IF(Q300="","",COUNTIFS($C$5:$C$600,C300,$Q$5:$Q$600,"&gt;"&amp;Q300)+1)</f>
        <v>121</v>
      </c>
      <c r="T300" s="37" t="str">
        <f aca="false">IF(Q300="","",IF(Q300&gt;=Cutoff,"Yes","No"))</f>
        <v>No</v>
      </c>
      <c r="U300" s="49" t="n">
        <f aca="false">IF(T300="Yes",MIN(F300,INDEX(Settings!$G:$G,MATCH(C300,Settings!$E:$E,0))),0)</f>
        <v>0</v>
      </c>
      <c r="V300" s="49" t="str">
        <f aca="false">IF(T300="Yes",SUMIFS($U$5:$U$600,$C$5:$C$600,C300,$Q$5:$Q$600,"&gt;"&amp;Q300)+U300,"")</f>
        <v/>
      </c>
      <c r="W300" s="37" t="str">
        <f aca="false">IF(T300="Yes",IF(V300&lt;=INDEX(PoolList,MATCH(C300,ProgramList,0)),"Within pool","Over pool"),"")</f>
        <v/>
      </c>
      <c r="X300" s="37" t="n">
        <f aca="false">IF(O300="Yes",COUNTIF($O$5:O300,"Yes"),"")</f>
        <v>42</v>
      </c>
    </row>
    <row r="301" customFormat="false" ht="15" hidden="false" customHeight="false" outlineLevel="0" collapsed="false">
      <c r="A301" s="35" t="s">
        <v>785</v>
      </c>
      <c r="B301" s="35" t="s">
        <v>786</v>
      </c>
      <c r="C301" s="35" t="s">
        <v>103</v>
      </c>
      <c r="D301" s="35" t="s">
        <v>180</v>
      </c>
      <c r="E301" s="35" t="s">
        <v>181</v>
      </c>
      <c r="F301" s="42" t="n">
        <v>187000</v>
      </c>
      <c r="G301" s="36" t="n">
        <v>45923</v>
      </c>
      <c r="H301" s="35" t="s">
        <v>54</v>
      </c>
      <c r="I301" s="35" t="s">
        <v>78</v>
      </c>
      <c r="J301" s="35" t="s">
        <v>91</v>
      </c>
      <c r="K301" s="35"/>
      <c r="L301" s="48" t="n">
        <f aca="false">IFERROR(AVERAGEIFS('Score Entry'!$M$5:$M$1276,'Score Entry'!$B$5:$B$1276,A301,'Score Entry'!$E$5:$E$1276,"Primary"),"")</f>
        <v>90</v>
      </c>
      <c r="M301" s="48" t="n">
        <f aca="false">IFERROR(AVERAGEIFS('Score Entry'!$M$5:$M$1276,'Score Entry'!$B$5:$B$1276,A301,'Score Entry'!$E$5:$E$1276,"Secondary"),"")</f>
        <v>91</v>
      </c>
      <c r="N301" s="48" t="n">
        <f aca="false">IF(COUNT(L301:M301)=2,ABS(L301-M301),"")</f>
        <v>1</v>
      </c>
      <c r="O301" s="37" t="str">
        <f aca="false">IF(N301="","",IF(N301&gt;=Threshold,"Yes","No"))</f>
        <v>No</v>
      </c>
      <c r="P301" s="48" t="str">
        <f aca="false">IFERROR(AVERAGEIFS('Score Entry'!$M$5:$M$1276,'Score Entry'!$B$5:$B$1276,A301,'Score Entry'!$E$5:$E$1276,"Third"),"")</f>
        <v/>
      </c>
      <c r="Q301" s="48" t="n">
        <f aca="false">IF(H301&lt;&gt;"Eligible","",IF(O301="Yes",IF(ISNUMBER(P301),ROUND(AVERAGE(L301,M301,P301),1),""),IF(O301="No",ROUND(AVERAGE(L301:M301),1),"")))</f>
        <v>90.5</v>
      </c>
      <c r="R301" s="37" t="str">
        <f aca="false">IF(H301&lt;&gt;"Eligible","Screened out",IF(COUNT(L301:M301)=0,"Not started",IF(COUNT(L301:M301)=1,"One read done",IF(O301="Yes",IF(ISNUMBER(P301),"Complete","Needs third read"),"Complete"))))</f>
        <v>Complete</v>
      </c>
      <c r="S301" s="37" t="n">
        <f aca="false">IF(Q301="","",COUNTIFS($C$5:$C$600,C301,$Q$5:$Q$600,"&gt;"&amp;Q301)+1)</f>
        <v>7</v>
      </c>
      <c r="T301" s="37" t="str">
        <f aca="false">IF(Q301="","",IF(Q301&gt;=Cutoff,"Yes","No"))</f>
        <v>Yes</v>
      </c>
      <c r="U301" s="49" t="n">
        <f aca="false">IF(T301="Yes",MIN(F301,INDEX(Settings!$G:$G,MATCH(C301,Settings!$E:$E,0))),0)</f>
        <v>187000</v>
      </c>
      <c r="V301" s="49" t="n">
        <f aca="false">IF(T301="Yes",SUMIFS($U$5:$U$600,$C$5:$C$600,C301,$Q$5:$Q$600,"&gt;"&amp;Q301)+U301,"")</f>
        <v>718500</v>
      </c>
      <c r="W301" s="37" t="str">
        <f aca="false">IF(T301="Yes",IF(V301&lt;=INDEX(PoolList,MATCH(C301,ProgramList,0)),"Within pool","Over pool"),"")</f>
        <v>Within pool</v>
      </c>
      <c r="X301" s="37" t="str">
        <f aca="false">IF(O301="Yes",COUNTIF($O$5:O301,"Yes"),"")</f>
        <v/>
      </c>
    </row>
    <row r="302" customFormat="false" ht="15" hidden="false" customHeight="false" outlineLevel="0" collapsed="false">
      <c r="A302" s="35" t="s">
        <v>787</v>
      </c>
      <c r="B302" s="35" t="s">
        <v>788</v>
      </c>
      <c r="C302" s="35" t="s">
        <v>106</v>
      </c>
      <c r="D302" s="35" t="s">
        <v>239</v>
      </c>
      <c r="E302" s="35" t="s">
        <v>554</v>
      </c>
      <c r="F302" s="42" t="n">
        <v>77500</v>
      </c>
      <c r="G302" s="36" t="n">
        <v>45921</v>
      </c>
      <c r="H302" s="35" t="s">
        <v>96</v>
      </c>
      <c r="I302" s="35"/>
      <c r="J302" s="35"/>
      <c r="K302" s="35"/>
      <c r="L302" s="48" t="str">
        <f aca="false">IFERROR(AVERAGEIFS('Score Entry'!$M$5:$M$1276,'Score Entry'!$B$5:$B$1276,A302,'Score Entry'!$E$5:$E$1276,"Primary"),"")</f>
        <v/>
      </c>
      <c r="M302" s="48" t="str">
        <f aca="false">IFERROR(AVERAGEIFS('Score Entry'!$M$5:$M$1276,'Score Entry'!$B$5:$B$1276,A302,'Score Entry'!$E$5:$E$1276,"Secondary"),"")</f>
        <v/>
      </c>
      <c r="N302" s="48" t="str">
        <f aca="false">IF(COUNT(L302:M302)=2,ABS(L302-M302),"")</f>
        <v/>
      </c>
      <c r="O302" s="37" t="str">
        <f aca="false">IF(N302="","",IF(N302&gt;=Threshold,"Yes","No"))</f>
        <v/>
      </c>
      <c r="P302" s="48" t="str">
        <f aca="false">IFERROR(AVERAGEIFS('Score Entry'!$M$5:$M$1276,'Score Entry'!$B$5:$B$1276,A302,'Score Entry'!$E$5:$E$1276,"Third"),"")</f>
        <v/>
      </c>
      <c r="Q302" s="48" t="str">
        <f aca="false">IF(H302&lt;&gt;"Eligible","",IF(O302="Yes",IF(ISNUMBER(P302),ROUND(AVERAGE(L302,M302,P302),1),""),IF(O302="No",ROUND(AVERAGE(L302:M302),1),"")))</f>
        <v/>
      </c>
      <c r="R302" s="37" t="str">
        <f aca="false">IF(H302&lt;&gt;"Eligible","Screened out",IF(COUNT(L302:M302)=0,"Not started",IF(COUNT(L302:M302)=1,"One read done",IF(O302="Yes",IF(ISNUMBER(P302),"Complete","Needs third read"),"Complete"))))</f>
        <v>Screened out</v>
      </c>
      <c r="S302" s="37" t="str">
        <f aca="false">IF(Q302="","",COUNTIFS($C$5:$C$600,C302,$Q$5:$Q$600,"&gt;"&amp;Q302)+1)</f>
        <v/>
      </c>
      <c r="T302" s="37" t="str">
        <f aca="false">IF(Q302="","",IF(Q302&gt;=Cutoff,"Yes","No"))</f>
        <v/>
      </c>
      <c r="U302" s="49" t="n">
        <f aca="false">IF(T302="Yes",MIN(F302,INDEX(Settings!$G:$G,MATCH(C302,Settings!$E:$E,0))),0)</f>
        <v>0</v>
      </c>
      <c r="V302" s="49" t="str">
        <f aca="false">IF(T302="Yes",SUMIFS($U$5:$U$600,$C$5:$C$600,C302,$Q$5:$Q$600,"&gt;"&amp;Q302)+U302,"")</f>
        <v/>
      </c>
      <c r="W302" s="37" t="str">
        <f aca="false">IF(T302="Yes",IF(V302&lt;=INDEX(PoolList,MATCH(C302,ProgramList,0)),"Within pool","Over pool"),"")</f>
        <v/>
      </c>
      <c r="X302" s="37" t="str">
        <f aca="false">IF(O302="Yes",COUNTIF($O$5:O302,"Yes"),"")</f>
        <v/>
      </c>
    </row>
    <row r="303" customFormat="false" ht="15" hidden="false" customHeight="false" outlineLevel="0" collapsed="false">
      <c r="A303" s="35" t="s">
        <v>789</v>
      </c>
      <c r="B303" s="35" t="s">
        <v>790</v>
      </c>
      <c r="C303" s="35" t="s">
        <v>104</v>
      </c>
      <c r="D303" s="35" t="s">
        <v>221</v>
      </c>
      <c r="E303" s="35" t="s">
        <v>258</v>
      </c>
      <c r="F303" s="42" t="n">
        <v>75000</v>
      </c>
      <c r="G303" s="36" t="n">
        <v>45923</v>
      </c>
      <c r="H303" s="35" t="s">
        <v>54</v>
      </c>
      <c r="I303" s="35" t="s">
        <v>85</v>
      </c>
      <c r="J303" s="35" t="s">
        <v>88</v>
      </c>
      <c r="K303" s="35"/>
      <c r="L303" s="48" t="n">
        <f aca="false">IFERROR(AVERAGEIFS('Score Entry'!$M$5:$M$1276,'Score Entry'!$B$5:$B$1276,A303,'Score Entry'!$E$5:$E$1276,"Primary"),"")</f>
        <v>80</v>
      </c>
      <c r="M303" s="48" t="n">
        <f aca="false">IFERROR(AVERAGEIFS('Score Entry'!$M$5:$M$1276,'Score Entry'!$B$5:$B$1276,A303,'Score Entry'!$E$5:$E$1276,"Secondary"),"")</f>
        <v>89</v>
      </c>
      <c r="N303" s="48" t="n">
        <f aca="false">IF(COUNT(L303:M303)=2,ABS(L303-M303),"")</f>
        <v>9</v>
      </c>
      <c r="O303" s="37" t="str">
        <f aca="false">IF(N303="","",IF(N303&gt;=Threshold,"Yes","No"))</f>
        <v>No</v>
      </c>
      <c r="P303" s="48" t="str">
        <f aca="false">IFERROR(AVERAGEIFS('Score Entry'!$M$5:$M$1276,'Score Entry'!$B$5:$B$1276,A303,'Score Entry'!$E$5:$E$1276,"Third"),"")</f>
        <v/>
      </c>
      <c r="Q303" s="48" t="n">
        <f aca="false">IF(H303&lt;&gt;"Eligible","",IF(O303="Yes",IF(ISNUMBER(P303),ROUND(AVERAGE(L303,M303,P303),1),""),IF(O303="No",ROUND(AVERAGE(L303:M303),1),"")))</f>
        <v>84.5</v>
      </c>
      <c r="R303" s="37" t="str">
        <f aca="false">IF(H303&lt;&gt;"Eligible","Screened out",IF(COUNT(L303:M303)=0,"Not started",IF(COUNT(L303:M303)=1,"One read done",IF(O303="Yes",IF(ISNUMBER(P303),"Complete","Needs third read"),"Complete"))))</f>
        <v>Complete</v>
      </c>
      <c r="S303" s="37" t="n">
        <f aca="false">IF(Q303="","",COUNTIFS($C$5:$C$600,C303,$Q$5:$Q$600,"&gt;"&amp;Q303)+1)</f>
        <v>15</v>
      </c>
      <c r="T303" s="37" t="str">
        <f aca="false">IF(Q303="","",IF(Q303&gt;=Cutoff,"Yes","No"))</f>
        <v>No</v>
      </c>
      <c r="U303" s="49" t="n">
        <f aca="false">IF(T303="Yes",MIN(F303,INDEX(Settings!$G:$G,MATCH(C303,Settings!$E:$E,0))),0)</f>
        <v>0</v>
      </c>
      <c r="V303" s="49" t="str">
        <f aca="false">IF(T303="Yes",SUMIFS($U$5:$U$600,$C$5:$C$600,C303,$Q$5:$Q$600,"&gt;"&amp;Q303)+U303,"")</f>
        <v/>
      </c>
      <c r="W303" s="37" t="str">
        <f aca="false">IF(T303="Yes",IF(V303&lt;=INDEX(PoolList,MATCH(C303,ProgramList,0)),"Within pool","Over pool"),"")</f>
        <v/>
      </c>
      <c r="X303" s="37" t="str">
        <f aca="false">IF(O303="Yes",COUNTIF($O$5:O303,"Yes"),"")</f>
        <v/>
      </c>
    </row>
    <row r="304" customFormat="false" ht="15" hidden="false" customHeight="false" outlineLevel="0" collapsed="false">
      <c r="A304" s="35" t="s">
        <v>791</v>
      </c>
      <c r="B304" s="35" t="s">
        <v>792</v>
      </c>
      <c r="C304" s="35" t="s">
        <v>105</v>
      </c>
      <c r="D304" s="35" t="s">
        <v>174</v>
      </c>
      <c r="E304" s="35" t="s">
        <v>175</v>
      </c>
      <c r="F304" s="42" t="n">
        <v>38500</v>
      </c>
      <c r="G304" s="36" t="n">
        <v>45920</v>
      </c>
      <c r="H304" s="35" t="s">
        <v>54</v>
      </c>
      <c r="I304" s="35" t="s">
        <v>85</v>
      </c>
      <c r="J304" s="35" t="s">
        <v>78</v>
      </c>
      <c r="K304" s="35"/>
      <c r="L304" s="48" t="n">
        <f aca="false">IFERROR(AVERAGEIFS('Score Entry'!$M$5:$M$1276,'Score Entry'!$B$5:$B$1276,A304,'Score Entry'!$E$5:$E$1276,"Primary"),"")</f>
        <v>80</v>
      </c>
      <c r="M304" s="48" t="n">
        <f aca="false">IFERROR(AVERAGEIFS('Score Entry'!$M$5:$M$1276,'Score Entry'!$B$5:$B$1276,A304,'Score Entry'!$E$5:$E$1276,"Secondary"),"")</f>
        <v>86</v>
      </c>
      <c r="N304" s="48" t="n">
        <f aca="false">IF(COUNT(L304:M304)=2,ABS(L304-M304),"")</f>
        <v>6</v>
      </c>
      <c r="O304" s="37" t="str">
        <f aca="false">IF(N304="","",IF(N304&gt;=Threshold,"Yes","No"))</f>
        <v>No</v>
      </c>
      <c r="P304" s="48" t="str">
        <f aca="false">IFERROR(AVERAGEIFS('Score Entry'!$M$5:$M$1276,'Score Entry'!$B$5:$B$1276,A304,'Score Entry'!$E$5:$E$1276,"Third"),"")</f>
        <v/>
      </c>
      <c r="Q304" s="48" t="n">
        <f aca="false">IF(H304&lt;&gt;"Eligible","",IF(O304="Yes",IF(ISNUMBER(P304),ROUND(AVERAGE(L304,M304,P304),1),""),IF(O304="No",ROUND(AVERAGE(L304:M304),1),"")))</f>
        <v>83</v>
      </c>
      <c r="R304" s="37" t="str">
        <f aca="false">IF(H304&lt;&gt;"Eligible","Screened out",IF(COUNT(L304:M304)=0,"Not started",IF(COUNT(L304:M304)=1,"One read done",IF(O304="Yes",IF(ISNUMBER(P304),"Complete","Needs third read"),"Complete"))))</f>
        <v>Complete</v>
      </c>
      <c r="S304" s="37" t="n">
        <f aca="false">IF(Q304="","",COUNTIFS($C$5:$C$600,C304,$Q$5:$Q$600,"&gt;"&amp;Q304)+1)</f>
        <v>14</v>
      </c>
      <c r="T304" s="37" t="str">
        <f aca="false">IF(Q304="","",IF(Q304&gt;=Cutoff,"Yes","No"))</f>
        <v>No</v>
      </c>
      <c r="U304" s="49" t="n">
        <f aca="false">IF(T304="Yes",MIN(F304,INDEX(Settings!$G:$G,MATCH(C304,Settings!$E:$E,0))),0)</f>
        <v>0</v>
      </c>
      <c r="V304" s="49" t="str">
        <f aca="false">IF(T304="Yes",SUMIFS($U$5:$U$600,$C$5:$C$600,C304,$Q$5:$Q$600,"&gt;"&amp;Q304)+U304,"")</f>
        <v/>
      </c>
      <c r="W304" s="37" t="str">
        <f aca="false">IF(T304="Yes",IF(V304&lt;=INDEX(PoolList,MATCH(C304,ProgramList,0)),"Within pool","Over pool"),"")</f>
        <v/>
      </c>
      <c r="X304" s="37" t="str">
        <f aca="false">IF(O304="Yes",COUNTIF($O$5:O304,"Yes"),"")</f>
        <v/>
      </c>
    </row>
    <row r="305" customFormat="false" ht="15" hidden="false" customHeight="false" outlineLevel="0" collapsed="false">
      <c r="A305" s="35" t="s">
        <v>793</v>
      </c>
      <c r="B305" s="35" t="s">
        <v>794</v>
      </c>
      <c r="C305" s="35" t="s">
        <v>105</v>
      </c>
      <c r="D305" s="35" t="s">
        <v>174</v>
      </c>
      <c r="E305" s="35" t="s">
        <v>175</v>
      </c>
      <c r="F305" s="42" t="n">
        <v>39500</v>
      </c>
      <c r="G305" s="36" t="n">
        <v>45925</v>
      </c>
      <c r="H305" s="35" t="s">
        <v>54</v>
      </c>
      <c r="I305" s="35" t="s">
        <v>88</v>
      </c>
      <c r="J305" s="35" t="s">
        <v>94</v>
      </c>
      <c r="K305" s="35"/>
      <c r="L305" s="48" t="n">
        <f aca="false">IFERROR(AVERAGEIFS('Score Entry'!$M$5:$M$1276,'Score Entry'!$B$5:$B$1276,A305,'Score Entry'!$E$5:$E$1276,"Primary"),"")</f>
        <v>69</v>
      </c>
      <c r="M305" s="48" t="n">
        <f aca="false">IFERROR(AVERAGEIFS('Score Entry'!$M$5:$M$1276,'Score Entry'!$B$5:$B$1276,A305,'Score Entry'!$E$5:$E$1276,"Secondary"),"")</f>
        <v>66</v>
      </c>
      <c r="N305" s="48" t="n">
        <f aca="false">IF(COUNT(L305:M305)=2,ABS(L305-M305),"")</f>
        <v>3</v>
      </c>
      <c r="O305" s="37" t="str">
        <f aca="false">IF(N305="","",IF(N305&gt;=Threshold,"Yes","No"))</f>
        <v>No</v>
      </c>
      <c r="P305" s="48" t="str">
        <f aca="false">IFERROR(AVERAGEIFS('Score Entry'!$M$5:$M$1276,'Score Entry'!$B$5:$B$1276,A305,'Score Entry'!$E$5:$E$1276,"Third"),"")</f>
        <v/>
      </c>
      <c r="Q305" s="48" t="n">
        <f aca="false">IF(H305&lt;&gt;"Eligible","",IF(O305="Yes",IF(ISNUMBER(P305),ROUND(AVERAGE(L305,M305,P305),1),""),IF(O305="No",ROUND(AVERAGE(L305:M305),1),"")))</f>
        <v>67.5</v>
      </c>
      <c r="R305" s="37" t="str">
        <f aca="false">IF(H305&lt;&gt;"Eligible","Screened out",IF(COUNT(L305:M305)=0,"Not started",IF(COUNT(L305:M305)=1,"One read done",IF(O305="Yes",IF(ISNUMBER(P305),"Complete","Needs third read"),"Complete"))))</f>
        <v>Complete</v>
      </c>
      <c r="S305" s="37" t="n">
        <f aca="false">IF(Q305="","",COUNTIFS($C$5:$C$600,C305,$Q$5:$Q$600,"&gt;"&amp;Q305)+1)</f>
        <v>52</v>
      </c>
      <c r="T305" s="37" t="str">
        <f aca="false">IF(Q305="","",IF(Q305&gt;=Cutoff,"Yes","No"))</f>
        <v>No</v>
      </c>
      <c r="U305" s="49" t="n">
        <f aca="false">IF(T305="Yes",MIN(F305,INDEX(Settings!$G:$G,MATCH(C305,Settings!$E:$E,0))),0)</f>
        <v>0</v>
      </c>
      <c r="V305" s="49" t="str">
        <f aca="false">IF(T305="Yes",SUMIFS($U$5:$U$600,$C$5:$C$600,C305,$Q$5:$Q$600,"&gt;"&amp;Q305)+U305,"")</f>
        <v/>
      </c>
      <c r="W305" s="37" t="str">
        <f aca="false">IF(T305="Yes",IF(V305&lt;=INDEX(PoolList,MATCH(C305,ProgramList,0)),"Within pool","Over pool"),"")</f>
        <v/>
      </c>
      <c r="X305" s="37" t="str">
        <f aca="false">IF(O305="Yes",COUNTIF($O$5:O305,"Yes"),"")</f>
        <v/>
      </c>
    </row>
    <row r="306" customFormat="false" ht="15" hidden="false" customHeight="false" outlineLevel="0" collapsed="false">
      <c r="A306" s="35" t="s">
        <v>795</v>
      </c>
      <c r="B306" s="35" t="s">
        <v>796</v>
      </c>
      <c r="C306" s="35" t="s">
        <v>103</v>
      </c>
      <c r="D306" s="35" t="s">
        <v>174</v>
      </c>
      <c r="E306" s="35" t="s">
        <v>175</v>
      </c>
      <c r="F306" s="42" t="n">
        <v>82000</v>
      </c>
      <c r="G306" s="36" t="n">
        <v>45913</v>
      </c>
      <c r="H306" s="35" t="s">
        <v>54</v>
      </c>
      <c r="I306" s="35" t="s">
        <v>91</v>
      </c>
      <c r="J306" s="35" t="s">
        <v>82</v>
      </c>
      <c r="K306" s="35"/>
      <c r="L306" s="48" t="n">
        <f aca="false">IFERROR(AVERAGEIFS('Score Entry'!$M$5:$M$1276,'Score Entry'!$B$5:$B$1276,A306,'Score Entry'!$E$5:$E$1276,"Primary"),"")</f>
        <v>71</v>
      </c>
      <c r="M306" s="48" t="n">
        <f aca="false">IFERROR(AVERAGEIFS('Score Entry'!$M$5:$M$1276,'Score Entry'!$B$5:$B$1276,A306,'Score Entry'!$E$5:$E$1276,"Secondary"),"")</f>
        <v>65</v>
      </c>
      <c r="N306" s="48" t="n">
        <f aca="false">IF(COUNT(L306:M306)=2,ABS(L306-M306),"")</f>
        <v>6</v>
      </c>
      <c r="O306" s="37" t="str">
        <f aca="false">IF(N306="","",IF(N306&gt;=Threshold,"Yes","No"))</f>
        <v>No</v>
      </c>
      <c r="P306" s="48" t="str">
        <f aca="false">IFERROR(AVERAGEIFS('Score Entry'!$M$5:$M$1276,'Score Entry'!$B$5:$B$1276,A306,'Score Entry'!$E$5:$E$1276,"Third"),"")</f>
        <v/>
      </c>
      <c r="Q306" s="48" t="n">
        <f aca="false">IF(H306&lt;&gt;"Eligible","",IF(O306="Yes",IF(ISNUMBER(P306),ROUND(AVERAGE(L306,M306,P306),1),""),IF(O306="No",ROUND(AVERAGE(L306:M306),1),"")))</f>
        <v>68</v>
      </c>
      <c r="R306" s="37" t="str">
        <f aca="false">IF(H306&lt;&gt;"Eligible","Screened out",IF(COUNT(L306:M306)=0,"Not started",IF(COUNT(L306:M306)=1,"One read done",IF(O306="Yes",IF(ISNUMBER(P306),"Complete","Needs third read"),"Complete"))))</f>
        <v>Complete</v>
      </c>
      <c r="S306" s="37" t="n">
        <f aca="false">IF(Q306="","",COUNTIFS($C$5:$C$600,C306,$Q$5:$Q$600,"&gt;"&amp;Q306)+1)</f>
        <v>77</v>
      </c>
      <c r="T306" s="37" t="str">
        <f aca="false">IF(Q306="","",IF(Q306&gt;=Cutoff,"Yes","No"))</f>
        <v>No</v>
      </c>
      <c r="U306" s="49" t="n">
        <f aca="false">IF(T306="Yes",MIN(F306,INDEX(Settings!$G:$G,MATCH(C306,Settings!$E:$E,0))),0)</f>
        <v>0</v>
      </c>
      <c r="V306" s="49" t="str">
        <f aca="false">IF(T306="Yes",SUMIFS($U$5:$U$600,$C$5:$C$600,C306,$Q$5:$Q$600,"&gt;"&amp;Q306)+U306,"")</f>
        <v/>
      </c>
      <c r="W306" s="37" t="str">
        <f aca="false">IF(T306="Yes",IF(V306&lt;=INDEX(PoolList,MATCH(C306,ProgramList,0)),"Within pool","Over pool"),"")</f>
        <v/>
      </c>
      <c r="X306" s="37" t="str">
        <f aca="false">IF(O306="Yes",COUNTIF($O$5:O306,"Yes"),"")</f>
        <v/>
      </c>
    </row>
    <row r="307" customFormat="false" ht="15" hidden="false" customHeight="false" outlineLevel="0" collapsed="false">
      <c r="A307" s="35" t="s">
        <v>797</v>
      </c>
      <c r="B307" s="35" t="s">
        <v>798</v>
      </c>
      <c r="C307" s="35" t="s">
        <v>105</v>
      </c>
      <c r="D307" s="35" t="s">
        <v>190</v>
      </c>
      <c r="E307" s="35" t="s">
        <v>298</v>
      </c>
      <c r="F307" s="42" t="n">
        <v>51500</v>
      </c>
      <c r="G307" s="36" t="n">
        <v>45922</v>
      </c>
      <c r="H307" s="35" t="s">
        <v>54</v>
      </c>
      <c r="I307" s="35" t="s">
        <v>88</v>
      </c>
      <c r="J307" s="35" t="s">
        <v>85</v>
      </c>
      <c r="K307" s="35"/>
      <c r="L307" s="48" t="n">
        <f aca="false">IFERROR(AVERAGEIFS('Score Entry'!$M$5:$M$1276,'Score Entry'!$B$5:$B$1276,A307,'Score Entry'!$E$5:$E$1276,"Primary"),"")</f>
        <v>72</v>
      </c>
      <c r="M307" s="48" t="n">
        <f aca="false">IFERROR(AVERAGEIFS('Score Entry'!$M$5:$M$1276,'Score Entry'!$B$5:$B$1276,A307,'Score Entry'!$E$5:$E$1276,"Secondary"),"")</f>
        <v>64</v>
      </c>
      <c r="N307" s="48" t="n">
        <f aca="false">IF(COUNT(L307:M307)=2,ABS(L307-M307),"")</f>
        <v>8</v>
      </c>
      <c r="O307" s="37" t="str">
        <f aca="false">IF(N307="","",IF(N307&gt;=Threshold,"Yes","No"))</f>
        <v>No</v>
      </c>
      <c r="P307" s="48" t="str">
        <f aca="false">IFERROR(AVERAGEIFS('Score Entry'!$M$5:$M$1276,'Score Entry'!$B$5:$B$1276,A307,'Score Entry'!$E$5:$E$1276,"Third"),"")</f>
        <v/>
      </c>
      <c r="Q307" s="48" t="n">
        <f aca="false">IF(H307&lt;&gt;"Eligible","",IF(O307="Yes",IF(ISNUMBER(P307),ROUND(AVERAGE(L307,M307,P307),1),""),IF(O307="No",ROUND(AVERAGE(L307:M307),1),"")))</f>
        <v>68</v>
      </c>
      <c r="R307" s="37" t="str">
        <f aca="false">IF(H307&lt;&gt;"Eligible","Screened out",IF(COUNT(L307:M307)=0,"Not started",IF(COUNT(L307:M307)=1,"One read done",IF(O307="Yes",IF(ISNUMBER(P307),"Complete","Needs third read"),"Complete"))))</f>
        <v>Complete</v>
      </c>
      <c r="S307" s="37" t="n">
        <f aca="false">IF(Q307="","",COUNTIFS($C$5:$C$600,C307,$Q$5:$Q$600,"&gt;"&amp;Q307)+1)</f>
        <v>48</v>
      </c>
      <c r="T307" s="37" t="str">
        <f aca="false">IF(Q307="","",IF(Q307&gt;=Cutoff,"Yes","No"))</f>
        <v>No</v>
      </c>
      <c r="U307" s="49" t="n">
        <f aca="false">IF(T307="Yes",MIN(F307,INDEX(Settings!$G:$G,MATCH(C307,Settings!$E:$E,0))),0)</f>
        <v>0</v>
      </c>
      <c r="V307" s="49" t="str">
        <f aca="false">IF(T307="Yes",SUMIFS($U$5:$U$600,$C$5:$C$600,C307,$Q$5:$Q$600,"&gt;"&amp;Q307)+U307,"")</f>
        <v/>
      </c>
      <c r="W307" s="37" t="str">
        <f aca="false">IF(T307="Yes",IF(V307&lt;=INDEX(PoolList,MATCH(C307,ProgramList,0)),"Within pool","Over pool"),"")</f>
        <v/>
      </c>
      <c r="X307" s="37" t="str">
        <f aca="false">IF(O307="Yes",COUNTIF($O$5:O307,"Yes"),"")</f>
        <v/>
      </c>
    </row>
    <row r="308" customFormat="false" ht="15" hidden="false" customHeight="false" outlineLevel="0" collapsed="false">
      <c r="A308" s="35" t="s">
        <v>799</v>
      </c>
      <c r="B308" s="35" t="s">
        <v>800</v>
      </c>
      <c r="C308" s="35" t="s">
        <v>105</v>
      </c>
      <c r="D308" s="35" t="s">
        <v>180</v>
      </c>
      <c r="E308" s="35" t="s">
        <v>181</v>
      </c>
      <c r="F308" s="42" t="n">
        <v>71500</v>
      </c>
      <c r="G308" s="36" t="n">
        <v>45908</v>
      </c>
      <c r="H308" s="35" t="s">
        <v>54</v>
      </c>
      <c r="I308" s="35" t="s">
        <v>91</v>
      </c>
      <c r="J308" s="35" t="s">
        <v>82</v>
      </c>
      <c r="K308" s="35"/>
      <c r="L308" s="48" t="str">
        <f aca="false">IFERROR(AVERAGEIFS('Score Entry'!$M$5:$M$1276,'Score Entry'!$B$5:$B$1276,A308,'Score Entry'!$E$5:$E$1276,"Primary"),"")</f>
        <v/>
      </c>
      <c r="M308" s="48" t="n">
        <f aca="false">IFERROR(AVERAGEIFS('Score Entry'!$M$5:$M$1276,'Score Entry'!$B$5:$B$1276,A308,'Score Entry'!$E$5:$E$1276,"Secondary"),"")</f>
        <v>70</v>
      </c>
      <c r="N308" s="48" t="str">
        <f aca="false">IF(COUNT(L308:M308)=2,ABS(L308-M308),"")</f>
        <v/>
      </c>
      <c r="O308" s="37" t="str">
        <f aca="false">IF(N308="","",IF(N308&gt;=Threshold,"Yes","No"))</f>
        <v/>
      </c>
      <c r="P308" s="48" t="str">
        <f aca="false">IFERROR(AVERAGEIFS('Score Entry'!$M$5:$M$1276,'Score Entry'!$B$5:$B$1276,A308,'Score Entry'!$E$5:$E$1276,"Third"),"")</f>
        <v/>
      </c>
      <c r="Q308" s="48" t="str">
        <f aca="false">IF(H308&lt;&gt;"Eligible","",IF(O308="Yes",IF(ISNUMBER(P308),ROUND(AVERAGE(L308,M308,P308),1),""),IF(O308="No",ROUND(AVERAGE(L308:M308),1),"")))</f>
        <v/>
      </c>
      <c r="R308" s="37" t="str">
        <f aca="false">IF(H308&lt;&gt;"Eligible","Screened out",IF(COUNT(L308:M308)=0,"Not started",IF(COUNT(L308:M308)=1,"One read done",IF(O308="Yes",IF(ISNUMBER(P308),"Complete","Needs third read"),"Complete"))))</f>
        <v>One read done</v>
      </c>
      <c r="S308" s="37" t="str">
        <f aca="false">IF(Q308="","",COUNTIFS($C$5:$C$600,C308,$Q$5:$Q$600,"&gt;"&amp;Q308)+1)</f>
        <v/>
      </c>
      <c r="T308" s="37" t="str">
        <f aca="false">IF(Q308="","",IF(Q308&gt;=Cutoff,"Yes","No"))</f>
        <v/>
      </c>
      <c r="U308" s="49" t="n">
        <f aca="false">IF(T308="Yes",MIN(F308,INDEX(Settings!$G:$G,MATCH(C308,Settings!$E:$E,0))),0)</f>
        <v>0</v>
      </c>
      <c r="V308" s="49" t="str">
        <f aca="false">IF(T308="Yes",SUMIFS($U$5:$U$600,$C$5:$C$600,C308,$Q$5:$Q$600,"&gt;"&amp;Q308)+U308,"")</f>
        <v/>
      </c>
      <c r="W308" s="37" t="str">
        <f aca="false">IF(T308="Yes",IF(V308&lt;=INDEX(PoolList,MATCH(C308,ProgramList,0)),"Within pool","Over pool"),"")</f>
        <v/>
      </c>
      <c r="X308" s="37" t="str">
        <f aca="false">IF(O308="Yes",COUNTIF($O$5:O308,"Yes"),"")</f>
        <v/>
      </c>
    </row>
    <row r="309" customFormat="false" ht="15" hidden="false" customHeight="false" outlineLevel="0" collapsed="false">
      <c r="A309" s="35" t="s">
        <v>801</v>
      </c>
      <c r="B309" s="35" t="s">
        <v>802</v>
      </c>
      <c r="C309" s="35" t="s">
        <v>105</v>
      </c>
      <c r="D309" s="35" t="s">
        <v>180</v>
      </c>
      <c r="E309" s="35" t="s">
        <v>252</v>
      </c>
      <c r="F309" s="42" t="n">
        <v>131000</v>
      </c>
      <c r="G309" s="36" t="n">
        <v>45913</v>
      </c>
      <c r="H309" s="35" t="s">
        <v>54</v>
      </c>
      <c r="I309" s="35" t="s">
        <v>78</v>
      </c>
      <c r="J309" s="35" t="s">
        <v>94</v>
      </c>
      <c r="K309" s="35"/>
      <c r="L309" s="48" t="n">
        <f aca="false">IFERROR(AVERAGEIFS('Score Entry'!$M$5:$M$1276,'Score Entry'!$B$5:$B$1276,A309,'Score Entry'!$E$5:$E$1276,"Primary"),"")</f>
        <v>50</v>
      </c>
      <c r="M309" s="48" t="n">
        <f aca="false">IFERROR(AVERAGEIFS('Score Entry'!$M$5:$M$1276,'Score Entry'!$B$5:$B$1276,A309,'Score Entry'!$E$5:$E$1276,"Secondary"),"")</f>
        <v>46</v>
      </c>
      <c r="N309" s="48" t="n">
        <f aca="false">IF(COUNT(L309:M309)=2,ABS(L309-M309),"")</f>
        <v>4</v>
      </c>
      <c r="O309" s="37" t="str">
        <f aca="false">IF(N309="","",IF(N309&gt;=Threshold,"Yes","No"))</f>
        <v>No</v>
      </c>
      <c r="P309" s="48" t="str">
        <f aca="false">IFERROR(AVERAGEIFS('Score Entry'!$M$5:$M$1276,'Score Entry'!$B$5:$B$1276,A309,'Score Entry'!$E$5:$E$1276,"Third"),"")</f>
        <v/>
      </c>
      <c r="Q309" s="48" t="n">
        <f aca="false">IF(H309&lt;&gt;"Eligible","",IF(O309="Yes",IF(ISNUMBER(P309),ROUND(AVERAGE(L309,M309,P309),1),""),IF(O309="No",ROUND(AVERAGE(L309:M309),1),"")))</f>
        <v>48</v>
      </c>
      <c r="R309" s="37" t="str">
        <f aca="false">IF(H309&lt;&gt;"Eligible","Screened out",IF(COUNT(L309:M309)=0,"Not started",IF(COUNT(L309:M309)=1,"One read done",IF(O309="Yes",IF(ISNUMBER(P309),"Complete","Needs third read"),"Complete"))))</f>
        <v>Complete</v>
      </c>
      <c r="S309" s="37" t="n">
        <f aca="false">IF(Q309="","",COUNTIFS($C$5:$C$600,C309,$Q$5:$Q$600,"&gt;"&amp;Q309)+1)</f>
        <v>95</v>
      </c>
      <c r="T309" s="37" t="str">
        <f aca="false">IF(Q309="","",IF(Q309&gt;=Cutoff,"Yes","No"))</f>
        <v>No</v>
      </c>
      <c r="U309" s="49" t="n">
        <f aca="false">IF(T309="Yes",MIN(F309,INDEX(Settings!$G:$G,MATCH(C309,Settings!$E:$E,0))),0)</f>
        <v>0</v>
      </c>
      <c r="V309" s="49" t="str">
        <f aca="false">IF(T309="Yes",SUMIFS($U$5:$U$600,$C$5:$C$600,C309,$Q$5:$Q$600,"&gt;"&amp;Q309)+U309,"")</f>
        <v/>
      </c>
      <c r="W309" s="37" t="str">
        <f aca="false">IF(T309="Yes",IF(V309&lt;=INDEX(PoolList,MATCH(C309,ProgramList,0)),"Within pool","Over pool"),"")</f>
        <v/>
      </c>
      <c r="X309" s="37" t="str">
        <f aca="false">IF(O309="Yes",COUNTIF($O$5:O309,"Yes"),"")</f>
        <v/>
      </c>
    </row>
    <row r="310" customFormat="false" ht="15" hidden="false" customHeight="false" outlineLevel="0" collapsed="false">
      <c r="A310" s="35" t="s">
        <v>803</v>
      </c>
      <c r="B310" s="35" t="s">
        <v>804</v>
      </c>
      <c r="C310" s="35" t="s">
        <v>105</v>
      </c>
      <c r="D310" s="35" t="s">
        <v>174</v>
      </c>
      <c r="E310" s="35" t="s">
        <v>175</v>
      </c>
      <c r="F310" s="42" t="n">
        <v>82000</v>
      </c>
      <c r="G310" s="36" t="n">
        <v>45912</v>
      </c>
      <c r="H310" s="35" t="s">
        <v>54</v>
      </c>
      <c r="I310" s="35" t="s">
        <v>78</v>
      </c>
      <c r="J310" s="35" t="s">
        <v>82</v>
      </c>
      <c r="K310" s="35"/>
      <c r="L310" s="48" t="n">
        <f aca="false">IFERROR(AVERAGEIFS('Score Entry'!$M$5:$M$1276,'Score Entry'!$B$5:$B$1276,A310,'Score Entry'!$E$5:$E$1276,"Primary"),"")</f>
        <v>60</v>
      </c>
      <c r="M310" s="48" t="n">
        <f aca="false">IFERROR(AVERAGEIFS('Score Entry'!$M$5:$M$1276,'Score Entry'!$B$5:$B$1276,A310,'Score Entry'!$E$5:$E$1276,"Secondary"),"")</f>
        <v>52</v>
      </c>
      <c r="N310" s="48" t="n">
        <f aca="false">IF(COUNT(L310:M310)=2,ABS(L310-M310),"")</f>
        <v>8</v>
      </c>
      <c r="O310" s="37" t="str">
        <f aca="false">IF(N310="","",IF(N310&gt;=Threshold,"Yes","No"))</f>
        <v>No</v>
      </c>
      <c r="P310" s="48" t="str">
        <f aca="false">IFERROR(AVERAGEIFS('Score Entry'!$M$5:$M$1276,'Score Entry'!$B$5:$B$1276,A310,'Score Entry'!$E$5:$E$1276,"Third"),"")</f>
        <v/>
      </c>
      <c r="Q310" s="48" t="n">
        <f aca="false">IF(H310&lt;&gt;"Eligible","",IF(O310="Yes",IF(ISNUMBER(P310),ROUND(AVERAGE(L310,M310,P310),1),""),IF(O310="No",ROUND(AVERAGE(L310:M310),1),"")))</f>
        <v>56</v>
      </c>
      <c r="R310" s="37" t="str">
        <f aca="false">IF(H310&lt;&gt;"Eligible","Screened out",IF(COUNT(L310:M310)=0,"Not started",IF(COUNT(L310:M310)=1,"One read done",IF(O310="Yes",IF(ISNUMBER(P310),"Complete","Needs third read"),"Complete"))))</f>
        <v>Complete</v>
      </c>
      <c r="S310" s="37" t="n">
        <f aca="false">IF(Q310="","",COUNTIFS($C$5:$C$600,C310,$Q$5:$Q$600,"&gt;"&amp;Q310)+1)</f>
        <v>81</v>
      </c>
      <c r="T310" s="37" t="str">
        <f aca="false">IF(Q310="","",IF(Q310&gt;=Cutoff,"Yes","No"))</f>
        <v>No</v>
      </c>
      <c r="U310" s="49" t="n">
        <f aca="false">IF(T310="Yes",MIN(F310,INDEX(Settings!$G:$G,MATCH(C310,Settings!$E:$E,0))),0)</f>
        <v>0</v>
      </c>
      <c r="V310" s="49" t="str">
        <f aca="false">IF(T310="Yes",SUMIFS($U$5:$U$600,$C$5:$C$600,C310,$Q$5:$Q$600,"&gt;"&amp;Q310)+U310,"")</f>
        <v/>
      </c>
      <c r="W310" s="37" t="str">
        <f aca="false">IF(T310="Yes",IF(V310&lt;=INDEX(PoolList,MATCH(C310,ProgramList,0)),"Within pool","Over pool"),"")</f>
        <v/>
      </c>
      <c r="X310" s="37" t="str">
        <f aca="false">IF(O310="Yes",COUNTIF($O$5:O310,"Yes"),"")</f>
        <v/>
      </c>
    </row>
    <row r="311" customFormat="false" ht="15" hidden="false" customHeight="false" outlineLevel="0" collapsed="false">
      <c r="A311" s="35" t="s">
        <v>805</v>
      </c>
      <c r="B311" s="35" t="s">
        <v>806</v>
      </c>
      <c r="C311" s="35" t="s">
        <v>104</v>
      </c>
      <c r="D311" s="35" t="s">
        <v>174</v>
      </c>
      <c r="E311" s="35" t="s">
        <v>175</v>
      </c>
      <c r="F311" s="42" t="n">
        <v>116000</v>
      </c>
      <c r="G311" s="36" t="n">
        <v>45927</v>
      </c>
      <c r="H311" s="35" t="s">
        <v>96</v>
      </c>
      <c r="I311" s="35"/>
      <c r="J311" s="35"/>
      <c r="K311" s="35"/>
      <c r="L311" s="48" t="str">
        <f aca="false">IFERROR(AVERAGEIFS('Score Entry'!$M$5:$M$1276,'Score Entry'!$B$5:$B$1276,A311,'Score Entry'!$E$5:$E$1276,"Primary"),"")</f>
        <v/>
      </c>
      <c r="M311" s="48" t="str">
        <f aca="false">IFERROR(AVERAGEIFS('Score Entry'!$M$5:$M$1276,'Score Entry'!$B$5:$B$1276,A311,'Score Entry'!$E$5:$E$1276,"Secondary"),"")</f>
        <v/>
      </c>
      <c r="N311" s="48" t="str">
        <f aca="false">IF(COUNT(L311:M311)=2,ABS(L311-M311),"")</f>
        <v/>
      </c>
      <c r="O311" s="37" t="str">
        <f aca="false">IF(N311="","",IF(N311&gt;=Threshold,"Yes","No"))</f>
        <v/>
      </c>
      <c r="P311" s="48" t="str">
        <f aca="false">IFERROR(AVERAGEIFS('Score Entry'!$M$5:$M$1276,'Score Entry'!$B$5:$B$1276,A311,'Score Entry'!$E$5:$E$1276,"Third"),"")</f>
        <v/>
      </c>
      <c r="Q311" s="48" t="str">
        <f aca="false">IF(H311&lt;&gt;"Eligible","",IF(O311="Yes",IF(ISNUMBER(P311),ROUND(AVERAGE(L311,M311,P311),1),""),IF(O311="No",ROUND(AVERAGE(L311:M311),1),"")))</f>
        <v/>
      </c>
      <c r="R311" s="37" t="str">
        <f aca="false">IF(H311&lt;&gt;"Eligible","Screened out",IF(COUNT(L311:M311)=0,"Not started",IF(COUNT(L311:M311)=1,"One read done",IF(O311="Yes",IF(ISNUMBER(P311),"Complete","Needs third read"),"Complete"))))</f>
        <v>Screened out</v>
      </c>
      <c r="S311" s="37" t="str">
        <f aca="false">IF(Q311="","",COUNTIFS($C$5:$C$600,C311,$Q$5:$Q$600,"&gt;"&amp;Q311)+1)</f>
        <v/>
      </c>
      <c r="T311" s="37" t="str">
        <f aca="false">IF(Q311="","",IF(Q311&gt;=Cutoff,"Yes","No"))</f>
        <v/>
      </c>
      <c r="U311" s="49" t="n">
        <f aca="false">IF(T311="Yes",MIN(F311,INDEX(Settings!$G:$G,MATCH(C311,Settings!$E:$E,0))),0)</f>
        <v>0</v>
      </c>
      <c r="V311" s="49" t="str">
        <f aca="false">IF(T311="Yes",SUMIFS($U$5:$U$600,$C$5:$C$600,C311,$Q$5:$Q$600,"&gt;"&amp;Q311)+U311,"")</f>
        <v/>
      </c>
      <c r="W311" s="37" t="str">
        <f aca="false">IF(T311="Yes",IF(V311&lt;=INDEX(PoolList,MATCH(C311,ProgramList,0)),"Within pool","Over pool"),"")</f>
        <v/>
      </c>
      <c r="X311" s="37" t="str">
        <f aca="false">IF(O311="Yes",COUNTIF($O$5:O311,"Yes"),"")</f>
        <v/>
      </c>
    </row>
    <row r="312" customFormat="false" ht="15" hidden="false" customHeight="false" outlineLevel="0" collapsed="false">
      <c r="A312" s="35" t="s">
        <v>807</v>
      </c>
      <c r="B312" s="35" t="s">
        <v>808</v>
      </c>
      <c r="C312" s="35" t="s">
        <v>105</v>
      </c>
      <c r="D312" s="35" t="s">
        <v>180</v>
      </c>
      <c r="E312" s="35" t="s">
        <v>269</v>
      </c>
      <c r="F312" s="42" t="n">
        <v>79500</v>
      </c>
      <c r="G312" s="36" t="n">
        <v>45924</v>
      </c>
      <c r="H312" s="35" t="s">
        <v>54</v>
      </c>
      <c r="I312" s="35" t="s">
        <v>94</v>
      </c>
      <c r="J312" s="35" t="s">
        <v>91</v>
      </c>
      <c r="K312" s="35"/>
      <c r="L312" s="48" t="n">
        <f aca="false">IFERROR(AVERAGEIFS('Score Entry'!$M$5:$M$1276,'Score Entry'!$B$5:$B$1276,A312,'Score Entry'!$E$5:$E$1276,"Primary"),"")</f>
        <v>94</v>
      </c>
      <c r="M312" s="48" t="n">
        <f aca="false">IFERROR(AVERAGEIFS('Score Entry'!$M$5:$M$1276,'Score Entry'!$B$5:$B$1276,A312,'Score Entry'!$E$5:$E$1276,"Secondary"),"")</f>
        <v>93</v>
      </c>
      <c r="N312" s="48" t="n">
        <f aca="false">IF(COUNT(L312:M312)=2,ABS(L312-M312),"")</f>
        <v>1</v>
      </c>
      <c r="O312" s="37" t="str">
        <f aca="false">IF(N312="","",IF(N312&gt;=Threshold,"Yes","No"))</f>
        <v>No</v>
      </c>
      <c r="P312" s="48" t="str">
        <f aca="false">IFERROR(AVERAGEIFS('Score Entry'!$M$5:$M$1276,'Score Entry'!$B$5:$B$1276,A312,'Score Entry'!$E$5:$E$1276,"Third"),"")</f>
        <v/>
      </c>
      <c r="Q312" s="48" t="n">
        <f aca="false">IF(H312&lt;&gt;"Eligible","",IF(O312="Yes",IF(ISNUMBER(P312),ROUND(AVERAGE(L312,M312,P312),1),""),IF(O312="No",ROUND(AVERAGE(L312:M312),1),"")))</f>
        <v>93.5</v>
      </c>
      <c r="R312" s="37" t="str">
        <f aca="false">IF(H312&lt;&gt;"Eligible","Screened out",IF(COUNT(L312:M312)=0,"Not started",IF(COUNT(L312:M312)=1,"One read done",IF(O312="Yes",IF(ISNUMBER(P312),"Complete","Needs third read"),"Complete"))))</f>
        <v>Complete</v>
      </c>
      <c r="S312" s="37" t="n">
        <f aca="false">IF(Q312="","",COUNTIFS($C$5:$C$600,C312,$Q$5:$Q$600,"&gt;"&amp;Q312)+1)</f>
        <v>2</v>
      </c>
      <c r="T312" s="37" t="str">
        <f aca="false">IF(Q312="","",IF(Q312&gt;=Cutoff,"Yes","No"))</f>
        <v>Yes</v>
      </c>
      <c r="U312" s="49" t="n">
        <f aca="false">IF(T312="Yes",MIN(F312,INDEX(Settings!$G:$G,MATCH(C312,Settings!$E:$E,0))),0)</f>
        <v>79500</v>
      </c>
      <c r="V312" s="49" t="n">
        <f aca="false">IF(T312="Yes",SUMIFS($U$5:$U$600,$C$5:$C$600,C312,$Q$5:$Q$600,"&gt;"&amp;Q312)+U312,"")</f>
        <v>115000</v>
      </c>
      <c r="W312" s="37" t="str">
        <f aca="false">IF(T312="Yes",IF(V312&lt;=INDEX(PoolList,MATCH(C312,ProgramList,0)),"Within pool","Over pool"),"")</f>
        <v>Within pool</v>
      </c>
      <c r="X312" s="37" t="str">
        <f aca="false">IF(O312="Yes",COUNTIF($O$5:O312,"Yes"),"")</f>
        <v/>
      </c>
    </row>
    <row r="313" customFormat="false" ht="15" hidden="false" customHeight="false" outlineLevel="0" collapsed="false">
      <c r="A313" s="35" t="s">
        <v>809</v>
      </c>
      <c r="B313" s="35" t="s">
        <v>810</v>
      </c>
      <c r="C313" s="35" t="s">
        <v>106</v>
      </c>
      <c r="D313" s="35" t="s">
        <v>239</v>
      </c>
      <c r="E313" s="35" t="s">
        <v>554</v>
      </c>
      <c r="F313" s="42" t="n">
        <v>42000</v>
      </c>
      <c r="G313" s="36" t="n">
        <v>45918</v>
      </c>
      <c r="H313" s="35" t="s">
        <v>54</v>
      </c>
      <c r="I313" s="35" t="s">
        <v>85</v>
      </c>
      <c r="J313" s="35" t="s">
        <v>88</v>
      </c>
      <c r="K313" s="35"/>
      <c r="L313" s="48" t="n">
        <f aca="false">IFERROR(AVERAGEIFS('Score Entry'!$M$5:$M$1276,'Score Entry'!$B$5:$B$1276,A313,'Score Entry'!$E$5:$E$1276,"Primary"),"")</f>
        <v>74</v>
      </c>
      <c r="M313" s="48" t="n">
        <f aca="false">IFERROR(AVERAGEIFS('Score Entry'!$M$5:$M$1276,'Score Entry'!$B$5:$B$1276,A313,'Score Entry'!$E$5:$E$1276,"Secondary"),"")</f>
        <v>77</v>
      </c>
      <c r="N313" s="48" t="n">
        <f aca="false">IF(COUNT(L313:M313)=2,ABS(L313-M313),"")</f>
        <v>3</v>
      </c>
      <c r="O313" s="37" t="str">
        <f aca="false">IF(N313="","",IF(N313&gt;=Threshold,"Yes","No"))</f>
        <v>No</v>
      </c>
      <c r="P313" s="48" t="str">
        <f aca="false">IFERROR(AVERAGEIFS('Score Entry'!$M$5:$M$1276,'Score Entry'!$B$5:$B$1276,A313,'Score Entry'!$E$5:$E$1276,"Third"),"")</f>
        <v/>
      </c>
      <c r="Q313" s="48" t="n">
        <f aca="false">IF(H313&lt;&gt;"Eligible","",IF(O313="Yes",IF(ISNUMBER(P313),ROUND(AVERAGE(L313,M313,P313),1),""),IF(O313="No",ROUND(AVERAGE(L313:M313),1),"")))</f>
        <v>75.5</v>
      </c>
      <c r="R313" s="37" t="str">
        <f aca="false">IF(H313&lt;&gt;"Eligible","Screened out",IF(COUNT(L313:M313)=0,"Not started",IF(COUNT(L313:M313)=1,"One read done",IF(O313="Yes",IF(ISNUMBER(P313),"Complete","Needs third read"),"Complete"))))</f>
        <v>Complete</v>
      </c>
      <c r="S313" s="37" t="n">
        <f aca="false">IF(Q313="","",COUNTIFS($C$5:$C$600,C313,$Q$5:$Q$600,"&gt;"&amp;Q313)+1)</f>
        <v>35</v>
      </c>
      <c r="T313" s="37" t="str">
        <f aca="false">IF(Q313="","",IF(Q313&gt;=Cutoff,"Yes","No"))</f>
        <v>No</v>
      </c>
      <c r="U313" s="49" t="n">
        <f aca="false">IF(T313="Yes",MIN(F313,INDEX(Settings!$G:$G,MATCH(C313,Settings!$E:$E,0))),0)</f>
        <v>0</v>
      </c>
      <c r="V313" s="49" t="str">
        <f aca="false">IF(T313="Yes",SUMIFS($U$5:$U$600,$C$5:$C$600,C313,$Q$5:$Q$600,"&gt;"&amp;Q313)+U313,"")</f>
        <v/>
      </c>
      <c r="W313" s="37" t="str">
        <f aca="false">IF(T313="Yes",IF(V313&lt;=INDEX(PoolList,MATCH(C313,ProgramList,0)),"Within pool","Over pool"),"")</f>
        <v/>
      </c>
      <c r="X313" s="37" t="str">
        <f aca="false">IF(O313="Yes",COUNTIF($O$5:O313,"Yes"),"")</f>
        <v/>
      </c>
    </row>
    <row r="314" customFormat="false" ht="15" hidden="false" customHeight="false" outlineLevel="0" collapsed="false">
      <c r="A314" s="35" t="s">
        <v>811</v>
      </c>
      <c r="B314" s="35" t="s">
        <v>812</v>
      </c>
      <c r="C314" s="35" t="s">
        <v>103</v>
      </c>
      <c r="D314" s="35" t="s">
        <v>180</v>
      </c>
      <c r="E314" s="35" t="s">
        <v>181</v>
      </c>
      <c r="F314" s="42" t="n">
        <v>83000</v>
      </c>
      <c r="G314" s="36" t="n">
        <v>45918</v>
      </c>
      <c r="H314" s="35" t="s">
        <v>54</v>
      </c>
      <c r="I314" s="35" t="s">
        <v>85</v>
      </c>
      <c r="J314" s="35" t="s">
        <v>91</v>
      </c>
      <c r="K314" s="35"/>
      <c r="L314" s="48" t="n">
        <f aca="false">IFERROR(AVERAGEIFS('Score Entry'!$M$5:$M$1276,'Score Entry'!$B$5:$B$1276,A314,'Score Entry'!$E$5:$E$1276,"Primary"),"")</f>
        <v>69</v>
      </c>
      <c r="M314" s="48" t="n">
        <f aca="false">IFERROR(AVERAGEIFS('Score Entry'!$M$5:$M$1276,'Score Entry'!$B$5:$B$1276,A314,'Score Entry'!$E$5:$E$1276,"Secondary"),"")</f>
        <v>84</v>
      </c>
      <c r="N314" s="48" t="n">
        <f aca="false">IF(COUNT(L314:M314)=2,ABS(L314-M314),"")</f>
        <v>15</v>
      </c>
      <c r="O314" s="37" t="str">
        <f aca="false">IF(N314="","",IF(N314&gt;=Threshold,"Yes","No"))</f>
        <v>No</v>
      </c>
      <c r="P314" s="48" t="str">
        <f aca="false">IFERROR(AVERAGEIFS('Score Entry'!$M$5:$M$1276,'Score Entry'!$B$5:$B$1276,A314,'Score Entry'!$E$5:$E$1276,"Third"),"")</f>
        <v/>
      </c>
      <c r="Q314" s="48" t="n">
        <f aca="false">IF(H314&lt;&gt;"Eligible","",IF(O314="Yes",IF(ISNUMBER(P314),ROUND(AVERAGE(L314,M314,P314),1),""),IF(O314="No",ROUND(AVERAGE(L314:M314),1),"")))</f>
        <v>76.5</v>
      </c>
      <c r="R314" s="37" t="str">
        <f aca="false">IF(H314&lt;&gt;"Eligible","Screened out",IF(COUNT(L314:M314)=0,"Not started",IF(COUNT(L314:M314)=1,"One read done",IF(O314="Yes",IF(ISNUMBER(P314),"Complete","Needs third read"),"Complete"))))</f>
        <v>Complete</v>
      </c>
      <c r="S314" s="37" t="n">
        <f aca="false">IF(Q314="","",COUNTIFS($C$5:$C$600,C314,$Q$5:$Q$600,"&gt;"&amp;Q314)+1)</f>
        <v>33</v>
      </c>
      <c r="T314" s="37" t="str">
        <f aca="false">IF(Q314="","",IF(Q314&gt;=Cutoff,"Yes","No"))</f>
        <v>No</v>
      </c>
      <c r="U314" s="49" t="n">
        <f aca="false">IF(T314="Yes",MIN(F314,INDEX(Settings!$G:$G,MATCH(C314,Settings!$E:$E,0))),0)</f>
        <v>0</v>
      </c>
      <c r="V314" s="49" t="str">
        <f aca="false">IF(T314="Yes",SUMIFS($U$5:$U$600,$C$5:$C$600,C314,$Q$5:$Q$600,"&gt;"&amp;Q314)+U314,"")</f>
        <v/>
      </c>
      <c r="W314" s="37" t="str">
        <f aca="false">IF(T314="Yes",IF(V314&lt;=INDEX(PoolList,MATCH(C314,ProgramList,0)),"Within pool","Over pool"),"")</f>
        <v/>
      </c>
      <c r="X314" s="37" t="str">
        <f aca="false">IF(O314="Yes",COUNTIF($O$5:O314,"Yes"),"")</f>
        <v/>
      </c>
    </row>
    <row r="315" customFormat="false" ht="15" hidden="false" customHeight="false" outlineLevel="0" collapsed="false">
      <c r="A315" s="35" t="s">
        <v>813</v>
      </c>
      <c r="B315" s="35" t="s">
        <v>814</v>
      </c>
      <c r="C315" s="35" t="s">
        <v>103</v>
      </c>
      <c r="D315" s="35" t="s">
        <v>239</v>
      </c>
      <c r="E315" s="35" t="s">
        <v>240</v>
      </c>
      <c r="F315" s="42" t="n">
        <v>48500</v>
      </c>
      <c r="G315" s="36" t="n">
        <v>45912</v>
      </c>
      <c r="H315" s="35" t="s">
        <v>54</v>
      </c>
      <c r="I315" s="35" t="s">
        <v>78</v>
      </c>
      <c r="J315" s="35" t="s">
        <v>88</v>
      </c>
      <c r="K315" s="35"/>
      <c r="L315" s="48" t="n">
        <f aca="false">IFERROR(AVERAGEIFS('Score Entry'!$M$5:$M$1276,'Score Entry'!$B$5:$B$1276,A315,'Score Entry'!$E$5:$E$1276,"Primary"),"")</f>
        <v>64</v>
      </c>
      <c r="M315" s="48" t="n">
        <f aca="false">IFERROR(AVERAGEIFS('Score Entry'!$M$5:$M$1276,'Score Entry'!$B$5:$B$1276,A315,'Score Entry'!$E$5:$E$1276,"Secondary"),"")</f>
        <v>62</v>
      </c>
      <c r="N315" s="48" t="n">
        <f aca="false">IF(COUNT(L315:M315)=2,ABS(L315-M315),"")</f>
        <v>2</v>
      </c>
      <c r="O315" s="37" t="str">
        <f aca="false">IF(N315="","",IF(N315&gt;=Threshold,"Yes","No"))</f>
        <v>No</v>
      </c>
      <c r="P315" s="48" t="str">
        <f aca="false">IFERROR(AVERAGEIFS('Score Entry'!$M$5:$M$1276,'Score Entry'!$B$5:$B$1276,A315,'Score Entry'!$E$5:$E$1276,"Third"),"")</f>
        <v/>
      </c>
      <c r="Q315" s="48" t="n">
        <f aca="false">IF(H315&lt;&gt;"Eligible","",IF(O315="Yes",IF(ISNUMBER(P315),ROUND(AVERAGE(L315,M315,P315),1),""),IF(O315="No",ROUND(AVERAGE(L315:M315),1),"")))</f>
        <v>63</v>
      </c>
      <c r="R315" s="37" t="str">
        <f aca="false">IF(H315&lt;&gt;"Eligible","Screened out",IF(COUNT(L315:M315)=0,"Not started",IF(COUNT(L315:M315)=1,"One read done",IF(O315="Yes",IF(ISNUMBER(P315),"Complete","Needs third read"),"Complete"))))</f>
        <v>Complete</v>
      </c>
      <c r="S315" s="37" t="n">
        <f aca="false">IF(Q315="","",COUNTIFS($C$5:$C$600,C315,$Q$5:$Q$600,"&gt;"&amp;Q315)+1)</f>
        <v>100</v>
      </c>
      <c r="T315" s="37" t="str">
        <f aca="false">IF(Q315="","",IF(Q315&gt;=Cutoff,"Yes","No"))</f>
        <v>No</v>
      </c>
      <c r="U315" s="49" t="n">
        <f aca="false">IF(T315="Yes",MIN(F315,INDEX(Settings!$G:$G,MATCH(C315,Settings!$E:$E,0))),0)</f>
        <v>0</v>
      </c>
      <c r="V315" s="49" t="str">
        <f aca="false">IF(T315="Yes",SUMIFS($U$5:$U$600,$C$5:$C$600,C315,$Q$5:$Q$600,"&gt;"&amp;Q315)+U315,"")</f>
        <v/>
      </c>
      <c r="W315" s="37" t="str">
        <f aca="false">IF(T315="Yes",IF(V315&lt;=INDEX(PoolList,MATCH(C315,ProgramList,0)),"Within pool","Over pool"),"")</f>
        <v/>
      </c>
      <c r="X315" s="37" t="str">
        <f aca="false">IF(O315="Yes",COUNTIF($O$5:O315,"Yes"),"")</f>
        <v/>
      </c>
    </row>
    <row r="316" customFormat="false" ht="15" hidden="false" customHeight="false" outlineLevel="0" collapsed="false">
      <c r="A316" s="35" t="s">
        <v>815</v>
      </c>
      <c r="B316" s="35" t="s">
        <v>816</v>
      </c>
      <c r="C316" s="35" t="s">
        <v>104</v>
      </c>
      <c r="D316" s="35" t="s">
        <v>174</v>
      </c>
      <c r="E316" s="35" t="s">
        <v>175</v>
      </c>
      <c r="F316" s="42" t="n">
        <v>52500</v>
      </c>
      <c r="G316" s="36" t="n">
        <v>45907</v>
      </c>
      <c r="H316" s="35" t="s">
        <v>54</v>
      </c>
      <c r="I316" s="35" t="s">
        <v>85</v>
      </c>
      <c r="J316" s="35" t="s">
        <v>82</v>
      </c>
      <c r="K316" s="35"/>
      <c r="L316" s="48" t="n">
        <f aca="false">IFERROR(AVERAGEIFS('Score Entry'!$M$5:$M$1276,'Score Entry'!$B$5:$B$1276,A316,'Score Entry'!$E$5:$E$1276,"Primary"),"")</f>
        <v>64</v>
      </c>
      <c r="M316" s="48" t="n">
        <f aca="false">IFERROR(AVERAGEIFS('Score Entry'!$M$5:$M$1276,'Score Entry'!$B$5:$B$1276,A316,'Score Entry'!$E$5:$E$1276,"Secondary"),"")</f>
        <v>57</v>
      </c>
      <c r="N316" s="48" t="n">
        <f aca="false">IF(COUNT(L316:M316)=2,ABS(L316-M316),"")</f>
        <v>7</v>
      </c>
      <c r="O316" s="37" t="str">
        <f aca="false">IF(N316="","",IF(N316&gt;=Threshold,"Yes","No"))</f>
        <v>No</v>
      </c>
      <c r="P316" s="48" t="str">
        <f aca="false">IFERROR(AVERAGEIFS('Score Entry'!$M$5:$M$1276,'Score Entry'!$B$5:$B$1276,A316,'Score Entry'!$E$5:$E$1276,"Third"),"")</f>
        <v/>
      </c>
      <c r="Q316" s="48" t="n">
        <f aca="false">IF(H316&lt;&gt;"Eligible","",IF(O316="Yes",IF(ISNUMBER(P316),ROUND(AVERAGE(L316,M316,P316),1),""),IF(O316="No",ROUND(AVERAGE(L316:M316),1),"")))</f>
        <v>60.5</v>
      </c>
      <c r="R316" s="37" t="str">
        <f aca="false">IF(H316&lt;&gt;"Eligible","Screened out",IF(COUNT(L316:M316)=0,"Not started",IF(COUNT(L316:M316)=1,"One read done",IF(O316="Yes",IF(ISNUMBER(P316),"Complete","Needs third read"),"Complete"))))</f>
        <v>Complete</v>
      </c>
      <c r="S316" s="37" t="n">
        <f aca="false">IF(Q316="","",COUNTIFS($C$5:$C$600,C316,$Q$5:$Q$600,"&gt;"&amp;Q316)+1)</f>
        <v>76</v>
      </c>
      <c r="T316" s="37" t="str">
        <f aca="false">IF(Q316="","",IF(Q316&gt;=Cutoff,"Yes","No"))</f>
        <v>No</v>
      </c>
      <c r="U316" s="49" t="n">
        <f aca="false">IF(T316="Yes",MIN(F316,INDEX(Settings!$G:$G,MATCH(C316,Settings!$E:$E,0))),0)</f>
        <v>0</v>
      </c>
      <c r="V316" s="49" t="str">
        <f aca="false">IF(T316="Yes",SUMIFS($U$5:$U$600,$C$5:$C$600,C316,$Q$5:$Q$600,"&gt;"&amp;Q316)+U316,"")</f>
        <v/>
      </c>
      <c r="W316" s="37" t="str">
        <f aca="false">IF(T316="Yes",IF(V316&lt;=INDEX(PoolList,MATCH(C316,ProgramList,0)),"Within pool","Over pool"),"")</f>
        <v/>
      </c>
      <c r="X316" s="37" t="str">
        <f aca="false">IF(O316="Yes",COUNTIF($O$5:O316,"Yes"),"")</f>
        <v/>
      </c>
    </row>
    <row r="317" customFormat="false" ht="15" hidden="false" customHeight="false" outlineLevel="0" collapsed="false">
      <c r="A317" s="35" t="s">
        <v>817</v>
      </c>
      <c r="B317" s="35" t="s">
        <v>818</v>
      </c>
      <c r="C317" s="35" t="s">
        <v>103</v>
      </c>
      <c r="D317" s="35" t="s">
        <v>239</v>
      </c>
      <c r="E317" s="35" t="s">
        <v>255</v>
      </c>
      <c r="F317" s="42" t="n">
        <v>94500</v>
      </c>
      <c r="G317" s="36" t="n">
        <v>45917</v>
      </c>
      <c r="H317" s="35" t="s">
        <v>54</v>
      </c>
      <c r="I317" s="35" t="s">
        <v>85</v>
      </c>
      <c r="J317" s="35" t="s">
        <v>88</v>
      </c>
      <c r="K317" s="35"/>
      <c r="L317" s="48" t="n">
        <f aca="false">IFERROR(AVERAGEIFS('Score Entry'!$M$5:$M$1276,'Score Entry'!$B$5:$B$1276,A317,'Score Entry'!$E$5:$E$1276,"Primary"),"")</f>
        <v>94</v>
      </c>
      <c r="M317" s="48" t="n">
        <f aca="false">IFERROR(AVERAGEIFS('Score Entry'!$M$5:$M$1276,'Score Entry'!$B$5:$B$1276,A317,'Score Entry'!$E$5:$E$1276,"Secondary"),"")</f>
        <v>90</v>
      </c>
      <c r="N317" s="48" t="n">
        <f aca="false">IF(COUNT(L317:M317)=2,ABS(L317-M317),"")</f>
        <v>4</v>
      </c>
      <c r="O317" s="37" t="str">
        <f aca="false">IF(N317="","",IF(N317&gt;=Threshold,"Yes","No"))</f>
        <v>No</v>
      </c>
      <c r="P317" s="48" t="str">
        <f aca="false">IFERROR(AVERAGEIFS('Score Entry'!$M$5:$M$1276,'Score Entry'!$B$5:$B$1276,A317,'Score Entry'!$E$5:$E$1276,"Third"),"")</f>
        <v/>
      </c>
      <c r="Q317" s="48" t="n">
        <f aca="false">IF(H317&lt;&gt;"Eligible","",IF(O317="Yes",IF(ISNUMBER(P317),ROUND(AVERAGE(L317,M317,P317),1),""),IF(O317="No",ROUND(AVERAGE(L317:M317),1),"")))</f>
        <v>92</v>
      </c>
      <c r="R317" s="37" t="str">
        <f aca="false">IF(H317&lt;&gt;"Eligible","Screened out",IF(COUNT(L317:M317)=0,"Not started",IF(COUNT(L317:M317)=1,"One read done",IF(O317="Yes",IF(ISNUMBER(P317),"Complete","Needs third read"),"Complete"))))</f>
        <v>Complete</v>
      </c>
      <c r="S317" s="37" t="n">
        <f aca="false">IF(Q317="","",COUNTIFS($C$5:$C$600,C317,$Q$5:$Q$600,"&gt;"&amp;Q317)+1)</f>
        <v>5</v>
      </c>
      <c r="T317" s="37" t="str">
        <f aca="false">IF(Q317="","",IF(Q317&gt;=Cutoff,"Yes","No"))</f>
        <v>Yes</v>
      </c>
      <c r="U317" s="49" t="n">
        <f aca="false">IF(T317="Yes",MIN(F317,INDEX(Settings!$G:$G,MATCH(C317,Settings!$E:$E,0))),0)</f>
        <v>94500</v>
      </c>
      <c r="V317" s="49" t="n">
        <f aca="false">IF(T317="Yes",SUMIFS($U$5:$U$600,$C$5:$C$600,C317,$Q$5:$Q$600,"&gt;"&amp;Q317)+U317,"")</f>
        <v>487000</v>
      </c>
      <c r="W317" s="37" t="str">
        <f aca="false">IF(T317="Yes",IF(V317&lt;=INDEX(PoolList,MATCH(C317,ProgramList,0)),"Within pool","Over pool"),"")</f>
        <v>Within pool</v>
      </c>
      <c r="X317" s="37" t="str">
        <f aca="false">IF(O317="Yes",COUNTIF($O$5:O317,"Yes"),"")</f>
        <v/>
      </c>
    </row>
    <row r="318" customFormat="false" ht="15" hidden="false" customHeight="false" outlineLevel="0" collapsed="false">
      <c r="A318" s="35" t="s">
        <v>819</v>
      </c>
      <c r="B318" s="35" t="s">
        <v>820</v>
      </c>
      <c r="C318" s="35" t="s">
        <v>103</v>
      </c>
      <c r="D318" s="35" t="s">
        <v>174</v>
      </c>
      <c r="E318" s="35" t="s">
        <v>175</v>
      </c>
      <c r="F318" s="42" t="n">
        <v>99500</v>
      </c>
      <c r="G318" s="36" t="n">
        <v>45907</v>
      </c>
      <c r="H318" s="35" t="s">
        <v>54</v>
      </c>
      <c r="I318" s="35" t="s">
        <v>91</v>
      </c>
      <c r="J318" s="35" t="s">
        <v>78</v>
      </c>
      <c r="K318" s="35"/>
      <c r="L318" s="48" t="n">
        <f aca="false">IFERROR(AVERAGEIFS('Score Entry'!$M$5:$M$1276,'Score Entry'!$B$5:$B$1276,A318,'Score Entry'!$E$5:$E$1276,"Primary"),"")</f>
        <v>89</v>
      </c>
      <c r="M318" s="48" t="n">
        <f aca="false">IFERROR(AVERAGEIFS('Score Entry'!$M$5:$M$1276,'Score Entry'!$B$5:$B$1276,A318,'Score Entry'!$E$5:$E$1276,"Secondary"),"")</f>
        <v>89</v>
      </c>
      <c r="N318" s="48" t="n">
        <f aca="false">IF(COUNT(L318:M318)=2,ABS(L318-M318),"")</f>
        <v>0</v>
      </c>
      <c r="O318" s="37" t="str">
        <f aca="false">IF(N318="","",IF(N318&gt;=Threshold,"Yes","No"))</f>
        <v>No</v>
      </c>
      <c r="P318" s="48" t="str">
        <f aca="false">IFERROR(AVERAGEIFS('Score Entry'!$M$5:$M$1276,'Score Entry'!$B$5:$B$1276,A318,'Score Entry'!$E$5:$E$1276,"Third"),"")</f>
        <v/>
      </c>
      <c r="Q318" s="48" t="n">
        <f aca="false">IF(H318&lt;&gt;"Eligible","",IF(O318="Yes",IF(ISNUMBER(P318),ROUND(AVERAGE(L318,M318,P318),1),""),IF(O318="No",ROUND(AVERAGE(L318:M318),1),"")))</f>
        <v>89</v>
      </c>
      <c r="R318" s="37" t="str">
        <f aca="false">IF(H318&lt;&gt;"Eligible","Screened out",IF(COUNT(L318:M318)=0,"Not started",IF(COUNT(L318:M318)=1,"One read done",IF(O318="Yes",IF(ISNUMBER(P318),"Complete","Needs third read"),"Complete"))))</f>
        <v>Complete</v>
      </c>
      <c r="S318" s="37" t="n">
        <f aca="false">IF(Q318="","",COUNTIFS($C$5:$C$600,C318,$Q$5:$Q$600,"&gt;"&amp;Q318)+1)</f>
        <v>8</v>
      </c>
      <c r="T318" s="37" t="str">
        <f aca="false">IF(Q318="","",IF(Q318&gt;=Cutoff,"Yes","No"))</f>
        <v>Yes</v>
      </c>
      <c r="U318" s="49" t="n">
        <f aca="false">IF(T318="Yes",MIN(F318,INDEX(Settings!$G:$G,MATCH(C318,Settings!$E:$E,0))),0)</f>
        <v>99500</v>
      </c>
      <c r="V318" s="49" t="n">
        <f aca="false">IF(T318="Yes",SUMIFS($U$5:$U$600,$C$5:$C$600,C318,$Q$5:$Q$600,"&gt;"&amp;Q318)+U318,"")</f>
        <v>818000</v>
      </c>
      <c r="W318" s="37" t="str">
        <f aca="false">IF(T318="Yes",IF(V318&lt;=INDEX(PoolList,MATCH(C318,ProgramList,0)),"Within pool","Over pool"),"")</f>
        <v>Within pool</v>
      </c>
      <c r="X318" s="37" t="str">
        <f aca="false">IF(O318="Yes",COUNTIF($O$5:O318,"Yes"),"")</f>
        <v/>
      </c>
    </row>
    <row r="319" customFormat="false" ht="15" hidden="false" customHeight="false" outlineLevel="0" collapsed="false">
      <c r="A319" s="35" t="s">
        <v>821</v>
      </c>
      <c r="B319" s="35" t="s">
        <v>822</v>
      </c>
      <c r="C319" s="35" t="s">
        <v>105</v>
      </c>
      <c r="D319" s="35" t="s">
        <v>174</v>
      </c>
      <c r="E319" s="35" t="s">
        <v>232</v>
      </c>
      <c r="F319" s="42" t="n">
        <v>48500</v>
      </c>
      <c r="G319" s="36" t="n">
        <v>45921</v>
      </c>
      <c r="H319" s="35" t="s">
        <v>54</v>
      </c>
      <c r="I319" s="35" t="s">
        <v>94</v>
      </c>
      <c r="J319" s="35" t="s">
        <v>82</v>
      </c>
      <c r="K319" s="35"/>
      <c r="L319" s="48" t="n">
        <f aca="false">IFERROR(AVERAGEIFS('Score Entry'!$M$5:$M$1276,'Score Entry'!$B$5:$B$1276,A319,'Score Entry'!$E$5:$E$1276,"Primary"),"")</f>
        <v>69</v>
      </c>
      <c r="M319" s="48" t="n">
        <f aca="false">IFERROR(AVERAGEIFS('Score Entry'!$M$5:$M$1276,'Score Entry'!$B$5:$B$1276,A319,'Score Entry'!$E$5:$E$1276,"Secondary"),"")</f>
        <v>73</v>
      </c>
      <c r="N319" s="48" t="n">
        <f aca="false">IF(COUNT(L319:M319)=2,ABS(L319-M319),"")</f>
        <v>4</v>
      </c>
      <c r="O319" s="37" t="str">
        <f aca="false">IF(N319="","",IF(N319&gt;=Threshold,"Yes","No"))</f>
        <v>No</v>
      </c>
      <c r="P319" s="48" t="str">
        <f aca="false">IFERROR(AVERAGEIFS('Score Entry'!$M$5:$M$1276,'Score Entry'!$B$5:$B$1276,A319,'Score Entry'!$E$5:$E$1276,"Third"),"")</f>
        <v/>
      </c>
      <c r="Q319" s="48" t="n">
        <f aca="false">IF(H319&lt;&gt;"Eligible","",IF(O319="Yes",IF(ISNUMBER(P319),ROUND(AVERAGE(L319,M319,P319),1),""),IF(O319="No",ROUND(AVERAGE(L319:M319),1),"")))</f>
        <v>71</v>
      </c>
      <c r="R319" s="37" t="str">
        <f aca="false">IF(H319&lt;&gt;"Eligible","Screened out",IF(COUNT(L319:M319)=0,"Not started",IF(COUNT(L319:M319)=1,"One read done",IF(O319="Yes",IF(ISNUMBER(P319),"Complete","Needs third read"),"Complete"))))</f>
        <v>Complete</v>
      </c>
      <c r="S319" s="37" t="n">
        <f aca="false">IF(Q319="","",COUNTIFS($C$5:$C$600,C319,$Q$5:$Q$600,"&gt;"&amp;Q319)+1)</f>
        <v>37</v>
      </c>
      <c r="T319" s="37" t="str">
        <f aca="false">IF(Q319="","",IF(Q319&gt;=Cutoff,"Yes","No"))</f>
        <v>No</v>
      </c>
      <c r="U319" s="49" t="n">
        <f aca="false">IF(T319="Yes",MIN(F319,INDEX(Settings!$G:$G,MATCH(C319,Settings!$E:$E,0))),0)</f>
        <v>0</v>
      </c>
      <c r="V319" s="49" t="str">
        <f aca="false">IF(T319="Yes",SUMIFS($U$5:$U$600,$C$5:$C$600,C319,$Q$5:$Q$600,"&gt;"&amp;Q319)+U319,"")</f>
        <v/>
      </c>
      <c r="W319" s="37" t="str">
        <f aca="false">IF(T319="Yes",IF(V319&lt;=INDEX(PoolList,MATCH(C319,ProgramList,0)),"Within pool","Over pool"),"")</f>
        <v/>
      </c>
      <c r="X319" s="37" t="str">
        <f aca="false">IF(O319="Yes",COUNTIF($O$5:O319,"Yes"),"")</f>
        <v/>
      </c>
    </row>
    <row r="320" customFormat="false" ht="15" hidden="false" customHeight="false" outlineLevel="0" collapsed="false">
      <c r="A320" s="35" t="s">
        <v>823</v>
      </c>
      <c r="B320" s="35" t="s">
        <v>824</v>
      </c>
      <c r="C320" s="35" t="s">
        <v>103</v>
      </c>
      <c r="D320" s="35" t="s">
        <v>174</v>
      </c>
      <c r="E320" s="35" t="s">
        <v>175</v>
      </c>
      <c r="F320" s="42" t="n">
        <v>86500</v>
      </c>
      <c r="G320" s="36" t="n">
        <v>45919</v>
      </c>
      <c r="H320" s="35" t="s">
        <v>54</v>
      </c>
      <c r="I320" s="35" t="s">
        <v>82</v>
      </c>
      <c r="J320" s="35" t="s">
        <v>94</v>
      </c>
      <c r="K320" s="35"/>
      <c r="L320" s="48" t="n">
        <f aca="false">IFERROR(AVERAGEIFS('Score Entry'!$M$5:$M$1276,'Score Entry'!$B$5:$B$1276,A320,'Score Entry'!$E$5:$E$1276,"Primary"),"")</f>
        <v>96</v>
      </c>
      <c r="M320" s="48" t="n">
        <f aca="false">IFERROR(AVERAGEIFS('Score Entry'!$M$5:$M$1276,'Score Entry'!$B$5:$B$1276,A320,'Score Entry'!$E$5:$E$1276,"Secondary"),"")</f>
        <v>96</v>
      </c>
      <c r="N320" s="48" t="n">
        <f aca="false">IF(COUNT(L320:M320)=2,ABS(L320-M320),"")</f>
        <v>0</v>
      </c>
      <c r="O320" s="37" t="str">
        <f aca="false">IF(N320="","",IF(N320&gt;=Threshold,"Yes","No"))</f>
        <v>No</v>
      </c>
      <c r="P320" s="48" t="str">
        <f aca="false">IFERROR(AVERAGEIFS('Score Entry'!$M$5:$M$1276,'Score Entry'!$B$5:$B$1276,A320,'Score Entry'!$E$5:$E$1276,"Third"),"")</f>
        <v/>
      </c>
      <c r="Q320" s="48" t="n">
        <f aca="false">IF(H320&lt;&gt;"Eligible","",IF(O320="Yes",IF(ISNUMBER(P320),ROUND(AVERAGE(L320,M320,P320),1),""),IF(O320="No",ROUND(AVERAGE(L320:M320),1),"")))</f>
        <v>96</v>
      </c>
      <c r="R320" s="37" t="str">
        <f aca="false">IF(H320&lt;&gt;"Eligible","Screened out",IF(COUNT(L320:M320)=0,"Not started",IF(COUNT(L320:M320)=1,"One read done",IF(O320="Yes",IF(ISNUMBER(P320),"Complete","Needs third read"),"Complete"))))</f>
        <v>Complete</v>
      </c>
      <c r="S320" s="37" t="n">
        <f aca="false">IF(Q320="","",COUNTIFS($C$5:$C$600,C320,$Q$5:$Q$600,"&gt;"&amp;Q320)+1)</f>
        <v>3</v>
      </c>
      <c r="T320" s="37" t="str">
        <f aca="false">IF(Q320="","",IF(Q320&gt;=Cutoff,"Yes","No"))</f>
        <v>Yes</v>
      </c>
      <c r="U320" s="49" t="n">
        <f aca="false">IF(T320="Yes",MIN(F320,INDEX(Settings!$G:$G,MATCH(C320,Settings!$E:$E,0))),0)</f>
        <v>86500</v>
      </c>
      <c r="V320" s="49" t="n">
        <f aca="false">IF(T320="Yes",SUMIFS($U$5:$U$600,$C$5:$C$600,C320,$Q$5:$Q$600,"&gt;"&amp;Q320)+U320,"")</f>
        <v>312000</v>
      </c>
      <c r="W320" s="37" t="str">
        <f aca="false">IF(T320="Yes",IF(V320&lt;=INDEX(PoolList,MATCH(C320,ProgramList,0)),"Within pool","Over pool"),"")</f>
        <v>Within pool</v>
      </c>
      <c r="X320" s="37" t="str">
        <f aca="false">IF(O320="Yes",COUNTIF($O$5:O320,"Yes"),"")</f>
        <v/>
      </c>
    </row>
    <row r="321" customFormat="false" ht="15" hidden="false" customHeight="false" outlineLevel="0" collapsed="false">
      <c r="A321" s="35" t="s">
        <v>825</v>
      </c>
      <c r="B321" s="35" t="s">
        <v>826</v>
      </c>
      <c r="C321" s="35" t="s">
        <v>103</v>
      </c>
      <c r="D321" s="35" t="s">
        <v>180</v>
      </c>
      <c r="E321" s="35" t="s">
        <v>269</v>
      </c>
      <c r="F321" s="42" t="n">
        <v>102000</v>
      </c>
      <c r="G321" s="36" t="n">
        <v>45910</v>
      </c>
      <c r="H321" s="35" t="s">
        <v>54</v>
      </c>
      <c r="I321" s="35" t="s">
        <v>85</v>
      </c>
      <c r="J321" s="35" t="s">
        <v>88</v>
      </c>
      <c r="K321" s="35"/>
      <c r="L321" s="48" t="n">
        <f aca="false">IFERROR(AVERAGEIFS('Score Entry'!$M$5:$M$1276,'Score Entry'!$B$5:$B$1276,A321,'Score Entry'!$E$5:$E$1276,"Primary"),"")</f>
        <v>71</v>
      </c>
      <c r="M321" s="48" t="n">
        <f aca="false">IFERROR(AVERAGEIFS('Score Entry'!$M$5:$M$1276,'Score Entry'!$B$5:$B$1276,A321,'Score Entry'!$E$5:$E$1276,"Secondary"),"")</f>
        <v>64</v>
      </c>
      <c r="N321" s="48" t="n">
        <f aca="false">IF(COUNT(L321:M321)=2,ABS(L321-M321),"")</f>
        <v>7</v>
      </c>
      <c r="O321" s="37" t="str">
        <f aca="false">IF(N321="","",IF(N321&gt;=Threshold,"Yes","No"))</f>
        <v>No</v>
      </c>
      <c r="P321" s="48" t="str">
        <f aca="false">IFERROR(AVERAGEIFS('Score Entry'!$M$5:$M$1276,'Score Entry'!$B$5:$B$1276,A321,'Score Entry'!$E$5:$E$1276,"Third"),"")</f>
        <v/>
      </c>
      <c r="Q321" s="48" t="n">
        <f aca="false">IF(H321&lt;&gt;"Eligible","",IF(O321="Yes",IF(ISNUMBER(P321),ROUND(AVERAGE(L321,M321,P321),1),""),IF(O321="No",ROUND(AVERAGE(L321:M321),1),"")))</f>
        <v>67.5</v>
      </c>
      <c r="R321" s="37" t="str">
        <f aca="false">IF(H321&lt;&gt;"Eligible","Screened out",IF(COUNT(L321:M321)=0,"Not started",IF(COUNT(L321:M321)=1,"One read done",IF(O321="Yes",IF(ISNUMBER(P321),"Complete","Needs third read"),"Complete"))))</f>
        <v>Complete</v>
      </c>
      <c r="S321" s="37" t="n">
        <f aca="false">IF(Q321="","",COUNTIFS($C$5:$C$600,C321,$Q$5:$Q$600,"&gt;"&amp;Q321)+1)</f>
        <v>78</v>
      </c>
      <c r="T321" s="37" t="str">
        <f aca="false">IF(Q321="","",IF(Q321&gt;=Cutoff,"Yes","No"))</f>
        <v>No</v>
      </c>
      <c r="U321" s="49" t="n">
        <f aca="false">IF(T321="Yes",MIN(F321,INDEX(Settings!$G:$G,MATCH(C321,Settings!$E:$E,0))),0)</f>
        <v>0</v>
      </c>
      <c r="V321" s="49" t="str">
        <f aca="false">IF(T321="Yes",SUMIFS($U$5:$U$600,$C$5:$C$600,C321,$Q$5:$Q$600,"&gt;"&amp;Q321)+U321,"")</f>
        <v/>
      </c>
      <c r="W321" s="37" t="str">
        <f aca="false">IF(T321="Yes",IF(V321&lt;=INDEX(PoolList,MATCH(C321,ProgramList,0)),"Within pool","Over pool"),"")</f>
        <v/>
      </c>
      <c r="X321" s="37" t="str">
        <f aca="false">IF(O321="Yes",COUNTIF($O$5:O321,"Yes"),"")</f>
        <v/>
      </c>
    </row>
    <row r="322" customFormat="false" ht="15" hidden="false" customHeight="false" outlineLevel="0" collapsed="false">
      <c r="A322" s="35" t="s">
        <v>827</v>
      </c>
      <c r="B322" s="35" t="s">
        <v>828</v>
      </c>
      <c r="C322" s="35" t="s">
        <v>104</v>
      </c>
      <c r="D322" s="35" t="s">
        <v>174</v>
      </c>
      <c r="E322" s="35" t="s">
        <v>232</v>
      </c>
      <c r="F322" s="42" t="n">
        <v>174500</v>
      </c>
      <c r="G322" s="36" t="n">
        <v>45914</v>
      </c>
      <c r="H322" s="35" t="s">
        <v>54</v>
      </c>
      <c r="I322" s="35" t="s">
        <v>78</v>
      </c>
      <c r="J322" s="35" t="s">
        <v>91</v>
      </c>
      <c r="K322" s="35" t="s">
        <v>85</v>
      </c>
      <c r="L322" s="48" t="n">
        <f aca="false">IFERROR(AVERAGEIFS('Score Entry'!$M$5:$M$1276,'Score Entry'!$B$5:$B$1276,A322,'Score Entry'!$E$5:$E$1276,"Primary"),"")</f>
        <v>87</v>
      </c>
      <c r="M322" s="48" t="n">
        <f aca="false">IFERROR(AVERAGEIFS('Score Entry'!$M$5:$M$1276,'Score Entry'!$B$5:$B$1276,A322,'Score Entry'!$E$5:$E$1276,"Secondary"),"")</f>
        <v>65</v>
      </c>
      <c r="N322" s="48" t="n">
        <f aca="false">IF(COUNT(L322:M322)=2,ABS(L322-M322),"")</f>
        <v>22</v>
      </c>
      <c r="O322" s="37" t="str">
        <f aca="false">IF(N322="","",IF(N322&gt;=Threshold,"Yes","No"))</f>
        <v>Yes</v>
      </c>
      <c r="P322" s="48" t="n">
        <f aca="false">IFERROR(AVERAGEIFS('Score Entry'!$M$5:$M$1276,'Score Entry'!$B$5:$B$1276,A322,'Score Entry'!$E$5:$E$1276,"Third"),"")</f>
        <v>71</v>
      </c>
      <c r="Q322" s="48" t="n">
        <f aca="false">IF(H322&lt;&gt;"Eligible","",IF(O322="Yes",IF(ISNUMBER(P322),ROUND(AVERAGE(L322,M322,P322),1),""),IF(O322="No",ROUND(AVERAGE(L322:M322),1),"")))</f>
        <v>74.3</v>
      </c>
      <c r="R322" s="37" t="str">
        <f aca="false">IF(H322&lt;&gt;"Eligible","Screened out",IF(COUNT(L322:M322)=0,"Not started",IF(COUNT(L322:M322)=1,"One read done",IF(O322="Yes",IF(ISNUMBER(P322),"Complete","Needs third read"),"Complete"))))</f>
        <v>Complete</v>
      </c>
      <c r="S322" s="37" t="n">
        <f aca="false">IF(Q322="","",COUNTIFS($C$5:$C$600,C322,$Q$5:$Q$600,"&gt;"&amp;Q322)+1)</f>
        <v>36</v>
      </c>
      <c r="T322" s="37" t="str">
        <f aca="false">IF(Q322="","",IF(Q322&gt;=Cutoff,"Yes","No"))</f>
        <v>No</v>
      </c>
      <c r="U322" s="49" t="n">
        <f aca="false">IF(T322="Yes",MIN(F322,INDEX(Settings!$G:$G,MATCH(C322,Settings!$E:$E,0))),0)</f>
        <v>0</v>
      </c>
      <c r="V322" s="49" t="str">
        <f aca="false">IF(T322="Yes",SUMIFS($U$5:$U$600,$C$5:$C$600,C322,$Q$5:$Q$600,"&gt;"&amp;Q322)+U322,"")</f>
        <v/>
      </c>
      <c r="W322" s="37" t="str">
        <f aca="false">IF(T322="Yes",IF(V322&lt;=INDEX(PoolList,MATCH(C322,ProgramList,0)),"Within pool","Over pool"),"")</f>
        <v/>
      </c>
      <c r="X322" s="37" t="n">
        <f aca="false">IF(O322="Yes",COUNTIF($O$5:O322,"Yes"),"")</f>
        <v>43</v>
      </c>
    </row>
    <row r="323" customFormat="false" ht="15" hidden="false" customHeight="false" outlineLevel="0" collapsed="false">
      <c r="A323" s="35" t="s">
        <v>829</v>
      </c>
      <c r="B323" s="35" t="s">
        <v>830</v>
      </c>
      <c r="C323" s="35" t="s">
        <v>104</v>
      </c>
      <c r="D323" s="35" t="s">
        <v>174</v>
      </c>
      <c r="E323" s="35" t="s">
        <v>175</v>
      </c>
      <c r="F323" s="42" t="n">
        <v>103500</v>
      </c>
      <c r="G323" s="36" t="n">
        <v>45913</v>
      </c>
      <c r="H323" s="35" t="s">
        <v>54</v>
      </c>
      <c r="I323" s="35" t="s">
        <v>82</v>
      </c>
      <c r="J323" s="35" t="s">
        <v>85</v>
      </c>
      <c r="K323" s="35"/>
      <c r="L323" s="48" t="n">
        <f aca="false">IFERROR(AVERAGEIFS('Score Entry'!$M$5:$M$1276,'Score Entry'!$B$5:$B$1276,A323,'Score Entry'!$E$5:$E$1276,"Primary"),"")</f>
        <v>93</v>
      </c>
      <c r="M323" s="48" t="n">
        <f aca="false">IFERROR(AVERAGEIFS('Score Entry'!$M$5:$M$1276,'Score Entry'!$B$5:$B$1276,A323,'Score Entry'!$E$5:$E$1276,"Secondary"),"")</f>
        <v>96</v>
      </c>
      <c r="N323" s="48" t="n">
        <f aca="false">IF(COUNT(L323:M323)=2,ABS(L323-M323),"")</f>
        <v>3</v>
      </c>
      <c r="O323" s="37" t="str">
        <f aca="false">IF(N323="","",IF(N323&gt;=Threshold,"Yes","No"))</f>
        <v>No</v>
      </c>
      <c r="P323" s="48" t="str">
        <f aca="false">IFERROR(AVERAGEIFS('Score Entry'!$M$5:$M$1276,'Score Entry'!$B$5:$B$1276,A323,'Score Entry'!$E$5:$E$1276,"Third"),"")</f>
        <v/>
      </c>
      <c r="Q323" s="48" t="n">
        <f aca="false">IF(H323&lt;&gt;"Eligible","",IF(O323="Yes",IF(ISNUMBER(P323),ROUND(AVERAGE(L323,M323,P323),1),""),IF(O323="No",ROUND(AVERAGE(L323:M323),1),"")))</f>
        <v>94.5</v>
      </c>
      <c r="R323" s="37" t="str">
        <f aca="false">IF(H323&lt;&gt;"Eligible","Screened out",IF(COUNT(L323:M323)=0,"Not started",IF(COUNT(L323:M323)=1,"One read done",IF(O323="Yes",IF(ISNUMBER(P323),"Complete","Needs third read"),"Complete"))))</f>
        <v>Complete</v>
      </c>
      <c r="S323" s="37" t="n">
        <f aca="false">IF(Q323="","",COUNTIFS($C$5:$C$600,C323,$Q$5:$Q$600,"&gt;"&amp;Q323)+1)</f>
        <v>4</v>
      </c>
      <c r="T323" s="37" t="str">
        <f aca="false">IF(Q323="","",IF(Q323&gt;=Cutoff,"Yes","No"))</f>
        <v>Yes</v>
      </c>
      <c r="U323" s="49" t="n">
        <f aca="false">IF(T323="Yes",MIN(F323,INDEX(Settings!$G:$G,MATCH(C323,Settings!$E:$E,0))),0)</f>
        <v>103500</v>
      </c>
      <c r="V323" s="49" t="n">
        <f aca="false">IF(T323="Yes",SUMIFS($U$5:$U$600,$C$5:$C$600,C323,$Q$5:$Q$600,"&gt;"&amp;Q323)+U323,"")</f>
        <v>255000</v>
      </c>
      <c r="W323" s="37" t="str">
        <f aca="false">IF(T323="Yes",IF(V323&lt;=INDEX(PoolList,MATCH(C323,ProgramList,0)),"Within pool","Over pool"),"")</f>
        <v>Within pool</v>
      </c>
      <c r="X323" s="37" t="str">
        <f aca="false">IF(O323="Yes",COUNTIF($O$5:O323,"Yes"),"")</f>
        <v/>
      </c>
    </row>
    <row r="324" customFormat="false" ht="15" hidden="false" customHeight="false" outlineLevel="0" collapsed="false">
      <c r="A324" s="35" t="s">
        <v>831</v>
      </c>
      <c r="B324" s="35" t="s">
        <v>832</v>
      </c>
      <c r="C324" s="35" t="s">
        <v>106</v>
      </c>
      <c r="D324" s="35" t="s">
        <v>180</v>
      </c>
      <c r="E324" s="35" t="s">
        <v>269</v>
      </c>
      <c r="F324" s="42" t="n">
        <v>67000</v>
      </c>
      <c r="G324" s="36" t="n">
        <v>45912</v>
      </c>
      <c r="H324" s="35" t="s">
        <v>54</v>
      </c>
      <c r="I324" s="35" t="s">
        <v>94</v>
      </c>
      <c r="J324" s="35" t="s">
        <v>88</v>
      </c>
      <c r="K324" s="35" t="s">
        <v>78</v>
      </c>
      <c r="L324" s="48" t="n">
        <f aca="false">IFERROR(AVERAGEIFS('Score Entry'!$M$5:$M$1276,'Score Entry'!$B$5:$B$1276,A324,'Score Entry'!$E$5:$E$1276,"Primary"),"")</f>
        <v>73</v>
      </c>
      <c r="M324" s="48" t="n">
        <f aca="false">IFERROR(AVERAGEIFS('Score Entry'!$M$5:$M$1276,'Score Entry'!$B$5:$B$1276,A324,'Score Entry'!$E$5:$E$1276,"Secondary"),"")</f>
        <v>100</v>
      </c>
      <c r="N324" s="48" t="n">
        <f aca="false">IF(COUNT(L324:M324)=2,ABS(L324-M324),"")</f>
        <v>27</v>
      </c>
      <c r="O324" s="37" t="str">
        <f aca="false">IF(N324="","",IF(N324&gt;=Threshold,"Yes","No"))</f>
        <v>Yes</v>
      </c>
      <c r="P324" s="48" t="str">
        <f aca="false">IFERROR(AVERAGEIFS('Score Entry'!$M$5:$M$1276,'Score Entry'!$B$5:$B$1276,A324,'Score Entry'!$E$5:$E$1276,"Third"),"")</f>
        <v/>
      </c>
      <c r="Q324" s="48" t="str">
        <f aca="false">IF(H324&lt;&gt;"Eligible","",IF(O324="Yes",IF(ISNUMBER(P324),ROUND(AVERAGE(L324,M324,P324),1),""),IF(O324="No",ROUND(AVERAGE(L324:M324),1),"")))</f>
        <v/>
      </c>
      <c r="R324" s="37" t="str">
        <f aca="false">IF(H324&lt;&gt;"Eligible","Screened out",IF(COUNT(L324:M324)=0,"Not started",IF(COUNT(L324:M324)=1,"One read done",IF(O324="Yes",IF(ISNUMBER(P324),"Complete","Needs third read"),"Complete"))))</f>
        <v>Needs third read</v>
      </c>
      <c r="S324" s="37" t="str">
        <f aca="false">IF(Q324="","",COUNTIFS($C$5:$C$600,C324,$Q$5:$Q$600,"&gt;"&amp;Q324)+1)</f>
        <v/>
      </c>
      <c r="T324" s="37" t="str">
        <f aca="false">IF(Q324="","",IF(Q324&gt;=Cutoff,"Yes","No"))</f>
        <v/>
      </c>
      <c r="U324" s="49" t="n">
        <f aca="false">IF(T324="Yes",MIN(F324,INDEX(Settings!$G:$G,MATCH(C324,Settings!$E:$E,0))),0)</f>
        <v>0</v>
      </c>
      <c r="V324" s="49" t="str">
        <f aca="false">IF(T324="Yes",SUMIFS($U$5:$U$600,$C$5:$C$600,C324,$Q$5:$Q$600,"&gt;"&amp;Q324)+U324,"")</f>
        <v/>
      </c>
      <c r="W324" s="37" t="str">
        <f aca="false">IF(T324="Yes",IF(V324&lt;=INDEX(PoolList,MATCH(C324,ProgramList,0)),"Within pool","Over pool"),"")</f>
        <v/>
      </c>
      <c r="X324" s="37" t="n">
        <f aca="false">IF(O324="Yes",COUNTIF($O$5:O324,"Yes"),"")</f>
        <v>44</v>
      </c>
    </row>
    <row r="325" customFormat="false" ht="15" hidden="false" customHeight="false" outlineLevel="0" collapsed="false">
      <c r="A325" s="35" t="s">
        <v>833</v>
      </c>
      <c r="B325" s="35" t="s">
        <v>834</v>
      </c>
      <c r="C325" s="35" t="s">
        <v>106</v>
      </c>
      <c r="D325" s="35" t="s">
        <v>174</v>
      </c>
      <c r="E325" s="35" t="s">
        <v>175</v>
      </c>
      <c r="F325" s="42" t="n">
        <v>98000</v>
      </c>
      <c r="G325" s="36" t="n">
        <v>45912</v>
      </c>
      <c r="H325" s="35" t="s">
        <v>54</v>
      </c>
      <c r="I325" s="35" t="s">
        <v>91</v>
      </c>
      <c r="J325" s="35" t="s">
        <v>78</v>
      </c>
      <c r="K325" s="35"/>
      <c r="L325" s="48" t="n">
        <f aca="false">IFERROR(AVERAGEIFS('Score Entry'!$M$5:$M$1276,'Score Entry'!$B$5:$B$1276,A325,'Score Entry'!$E$5:$E$1276,"Primary"),"")</f>
        <v>80</v>
      </c>
      <c r="M325" s="48" t="n">
        <f aca="false">IFERROR(AVERAGEIFS('Score Entry'!$M$5:$M$1276,'Score Entry'!$B$5:$B$1276,A325,'Score Entry'!$E$5:$E$1276,"Secondary"),"")</f>
        <v>95</v>
      </c>
      <c r="N325" s="48" t="n">
        <f aca="false">IF(COUNT(L325:M325)=2,ABS(L325-M325),"")</f>
        <v>15</v>
      </c>
      <c r="O325" s="37" t="str">
        <f aca="false">IF(N325="","",IF(N325&gt;=Threshold,"Yes","No"))</f>
        <v>No</v>
      </c>
      <c r="P325" s="48" t="str">
        <f aca="false">IFERROR(AVERAGEIFS('Score Entry'!$M$5:$M$1276,'Score Entry'!$B$5:$B$1276,A325,'Score Entry'!$E$5:$E$1276,"Third"),"")</f>
        <v/>
      </c>
      <c r="Q325" s="48" t="n">
        <f aca="false">IF(H325&lt;&gt;"Eligible","",IF(O325="Yes",IF(ISNUMBER(P325),ROUND(AVERAGE(L325,M325,P325),1),""),IF(O325="No",ROUND(AVERAGE(L325:M325),1),"")))</f>
        <v>87.5</v>
      </c>
      <c r="R325" s="37" t="str">
        <f aca="false">IF(H325&lt;&gt;"Eligible","Screened out",IF(COUNT(L325:M325)=0,"Not started",IF(COUNT(L325:M325)=1,"One read done",IF(O325="Yes",IF(ISNUMBER(P325),"Complete","Needs third read"),"Complete"))))</f>
        <v>Complete</v>
      </c>
      <c r="S325" s="37" t="n">
        <f aca="false">IF(Q325="","",COUNTIFS($C$5:$C$600,C325,$Q$5:$Q$600,"&gt;"&amp;Q325)+1)</f>
        <v>10</v>
      </c>
      <c r="T325" s="37" t="str">
        <f aca="false">IF(Q325="","",IF(Q325&gt;=Cutoff,"Yes","No"))</f>
        <v>Yes</v>
      </c>
      <c r="U325" s="49" t="n">
        <f aca="false">IF(T325="Yes",MIN(F325,INDEX(Settings!$G:$G,MATCH(C325,Settings!$E:$E,0))),0)</f>
        <v>98000</v>
      </c>
      <c r="V325" s="49" t="n">
        <f aca="false">IF(T325="Yes",SUMIFS($U$5:$U$600,$C$5:$C$600,C325,$Q$5:$Q$600,"&gt;"&amp;Q325)+U325,"")</f>
        <v>650500</v>
      </c>
      <c r="W325" s="37" t="str">
        <f aca="false">IF(T325="Yes",IF(V325&lt;=INDEX(PoolList,MATCH(C325,ProgramList,0)),"Within pool","Over pool"),"")</f>
        <v>Within pool</v>
      </c>
      <c r="X325" s="37" t="str">
        <f aca="false">IF(O325="Yes",COUNTIF($O$5:O325,"Yes"),"")</f>
        <v/>
      </c>
    </row>
    <row r="326" customFormat="false" ht="15" hidden="false" customHeight="false" outlineLevel="0" collapsed="false">
      <c r="A326" s="35" t="s">
        <v>835</v>
      </c>
      <c r="B326" s="35" t="s">
        <v>836</v>
      </c>
      <c r="C326" s="35" t="s">
        <v>104</v>
      </c>
      <c r="D326" s="35" t="s">
        <v>174</v>
      </c>
      <c r="E326" s="35" t="s">
        <v>175</v>
      </c>
      <c r="F326" s="42" t="n">
        <v>93500</v>
      </c>
      <c r="G326" s="36" t="n">
        <v>45925</v>
      </c>
      <c r="H326" s="35" t="s">
        <v>54</v>
      </c>
      <c r="I326" s="35" t="s">
        <v>91</v>
      </c>
      <c r="J326" s="35" t="s">
        <v>78</v>
      </c>
      <c r="K326" s="35"/>
      <c r="L326" s="48" t="n">
        <f aca="false">IFERROR(AVERAGEIFS('Score Entry'!$M$5:$M$1276,'Score Entry'!$B$5:$B$1276,A326,'Score Entry'!$E$5:$E$1276,"Primary"),"")</f>
        <v>67</v>
      </c>
      <c r="M326" s="48" t="n">
        <f aca="false">IFERROR(AVERAGEIFS('Score Entry'!$M$5:$M$1276,'Score Entry'!$B$5:$B$1276,A326,'Score Entry'!$E$5:$E$1276,"Secondary"),"")</f>
        <v>54</v>
      </c>
      <c r="N326" s="48" t="n">
        <f aca="false">IF(COUNT(L326:M326)=2,ABS(L326-M326),"")</f>
        <v>13</v>
      </c>
      <c r="O326" s="37" t="str">
        <f aca="false">IF(N326="","",IF(N326&gt;=Threshold,"Yes","No"))</f>
        <v>No</v>
      </c>
      <c r="P326" s="48" t="str">
        <f aca="false">IFERROR(AVERAGEIFS('Score Entry'!$M$5:$M$1276,'Score Entry'!$B$5:$B$1276,A326,'Score Entry'!$E$5:$E$1276,"Third"),"")</f>
        <v/>
      </c>
      <c r="Q326" s="48" t="n">
        <f aca="false">IF(H326&lt;&gt;"Eligible","",IF(O326="Yes",IF(ISNUMBER(P326),ROUND(AVERAGE(L326,M326,P326),1),""),IF(O326="No",ROUND(AVERAGE(L326:M326),1),"")))</f>
        <v>60.5</v>
      </c>
      <c r="R326" s="37" t="str">
        <f aca="false">IF(H326&lt;&gt;"Eligible","Screened out",IF(COUNT(L326:M326)=0,"Not started",IF(COUNT(L326:M326)=1,"One read done",IF(O326="Yes",IF(ISNUMBER(P326),"Complete","Needs third read"),"Complete"))))</f>
        <v>Complete</v>
      </c>
      <c r="S326" s="37" t="n">
        <f aca="false">IF(Q326="","",COUNTIFS($C$5:$C$600,C326,$Q$5:$Q$600,"&gt;"&amp;Q326)+1)</f>
        <v>76</v>
      </c>
      <c r="T326" s="37" t="str">
        <f aca="false">IF(Q326="","",IF(Q326&gt;=Cutoff,"Yes","No"))</f>
        <v>No</v>
      </c>
      <c r="U326" s="49" t="n">
        <f aca="false">IF(T326="Yes",MIN(F326,INDEX(Settings!$G:$G,MATCH(C326,Settings!$E:$E,0))),0)</f>
        <v>0</v>
      </c>
      <c r="V326" s="49" t="str">
        <f aca="false">IF(T326="Yes",SUMIFS($U$5:$U$600,$C$5:$C$600,C326,$Q$5:$Q$600,"&gt;"&amp;Q326)+U326,"")</f>
        <v/>
      </c>
      <c r="W326" s="37" t="str">
        <f aca="false">IF(T326="Yes",IF(V326&lt;=INDEX(PoolList,MATCH(C326,ProgramList,0)),"Within pool","Over pool"),"")</f>
        <v/>
      </c>
      <c r="X326" s="37" t="str">
        <f aca="false">IF(O326="Yes",COUNTIF($O$5:O326,"Yes"),"")</f>
        <v/>
      </c>
    </row>
    <row r="327" customFormat="false" ht="15" hidden="false" customHeight="false" outlineLevel="0" collapsed="false">
      <c r="A327" s="35" t="s">
        <v>837</v>
      </c>
      <c r="B327" s="35" t="s">
        <v>838</v>
      </c>
      <c r="C327" s="35" t="s">
        <v>106</v>
      </c>
      <c r="D327" s="35" t="s">
        <v>239</v>
      </c>
      <c r="E327" s="35" t="s">
        <v>247</v>
      </c>
      <c r="F327" s="42" t="n">
        <v>42000</v>
      </c>
      <c r="G327" s="36" t="n">
        <v>45918</v>
      </c>
      <c r="H327" s="35" t="s">
        <v>54</v>
      </c>
      <c r="I327" s="35" t="s">
        <v>85</v>
      </c>
      <c r="J327" s="35" t="s">
        <v>82</v>
      </c>
      <c r="K327" s="35"/>
      <c r="L327" s="48" t="n">
        <f aca="false">IFERROR(AVERAGEIFS('Score Entry'!$M$5:$M$1276,'Score Entry'!$B$5:$B$1276,A327,'Score Entry'!$E$5:$E$1276,"Primary"),"")</f>
        <v>68</v>
      </c>
      <c r="M327" s="48" t="n">
        <f aca="false">IFERROR(AVERAGEIFS('Score Entry'!$M$5:$M$1276,'Score Entry'!$B$5:$B$1276,A327,'Score Entry'!$E$5:$E$1276,"Secondary"),"")</f>
        <v>71</v>
      </c>
      <c r="N327" s="48" t="n">
        <f aca="false">IF(COUNT(L327:M327)=2,ABS(L327-M327),"")</f>
        <v>3</v>
      </c>
      <c r="O327" s="37" t="str">
        <f aca="false">IF(N327="","",IF(N327&gt;=Threshold,"Yes","No"))</f>
        <v>No</v>
      </c>
      <c r="P327" s="48" t="str">
        <f aca="false">IFERROR(AVERAGEIFS('Score Entry'!$M$5:$M$1276,'Score Entry'!$B$5:$B$1276,A327,'Score Entry'!$E$5:$E$1276,"Third"),"")</f>
        <v/>
      </c>
      <c r="Q327" s="48" t="n">
        <f aca="false">IF(H327&lt;&gt;"Eligible","",IF(O327="Yes",IF(ISNUMBER(P327),ROUND(AVERAGE(L327,M327,P327),1),""),IF(O327="No",ROUND(AVERAGE(L327:M327),1),"")))</f>
        <v>69.5</v>
      </c>
      <c r="R327" s="37" t="str">
        <f aca="false">IF(H327&lt;&gt;"Eligible","Screened out",IF(COUNT(L327:M327)=0,"Not started",IF(COUNT(L327:M327)=1,"One read done",IF(O327="Yes",IF(ISNUMBER(P327),"Complete","Needs third read"),"Complete"))))</f>
        <v>Complete</v>
      </c>
      <c r="S327" s="37" t="n">
        <f aca="false">IF(Q327="","",COUNTIFS($C$5:$C$600,C327,$Q$5:$Q$600,"&gt;"&amp;Q327)+1)</f>
        <v>54</v>
      </c>
      <c r="T327" s="37" t="str">
        <f aca="false">IF(Q327="","",IF(Q327&gt;=Cutoff,"Yes","No"))</f>
        <v>No</v>
      </c>
      <c r="U327" s="49" t="n">
        <f aca="false">IF(T327="Yes",MIN(F327,INDEX(Settings!$G:$G,MATCH(C327,Settings!$E:$E,0))),0)</f>
        <v>0</v>
      </c>
      <c r="V327" s="49" t="str">
        <f aca="false">IF(T327="Yes",SUMIFS($U$5:$U$600,$C$5:$C$600,C327,$Q$5:$Q$600,"&gt;"&amp;Q327)+U327,"")</f>
        <v/>
      </c>
      <c r="W327" s="37" t="str">
        <f aca="false">IF(T327="Yes",IF(V327&lt;=INDEX(PoolList,MATCH(C327,ProgramList,0)),"Within pool","Over pool"),"")</f>
        <v/>
      </c>
      <c r="X327" s="37" t="str">
        <f aca="false">IF(O327="Yes",COUNTIF($O$5:O327,"Yes"),"")</f>
        <v/>
      </c>
    </row>
    <row r="328" customFormat="false" ht="15" hidden="false" customHeight="false" outlineLevel="0" collapsed="false">
      <c r="A328" s="35" t="s">
        <v>839</v>
      </c>
      <c r="B328" s="35" t="s">
        <v>840</v>
      </c>
      <c r="C328" s="35" t="s">
        <v>103</v>
      </c>
      <c r="D328" s="35" t="s">
        <v>174</v>
      </c>
      <c r="E328" s="35" t="s">
        <v>232</v>
      </c>
      <c r="F328" s="42" t="n">
        <v>105500</v>
      </c>
      <c r="G328" s="36" t="n">
        <v>45927</v>
      </c>
      <c r="H328" s="35" t="s">
        <v>96</v>
      </c>
      <c r="I328" s="35"/>
      <c r="J328" s="35"/>
      <c r="K328" s="35"/>
      <c r="L328" s="48" t="str">
        <f aca="false">IFERROR(AVERAGEIFS('Score Entry'!$M$5:$M$1276,'Score Entry'!$B$5:$B$1276,A328,'Score Entry'!$E$5:$E$1276,"Primary"),"")</f>
        <v/>
      </c>
      <c r="M328" s="48" t="str">
        <f aca="false">IFERROR(AVERAGEIFS('Score Entry'!$M$5:$M$1276,'Score Entry'!$B$5:$B$1276,A328,'Score Entry'!$E$5:$E$1276,"Secondary"),"")</f>
        <v/>
      </c>
      <c r="N328" s="48" t="str">
        <f aca="false">IF(COUNT(L328:M328)=2,ABS(L328-M328),"")</f>
        <v/>
      </c>
      <c r="O328" s="37" t="str">
        <f aca="false">IF(N328="","",IF(N328&gt;=Threshold,"Yes","No"))</f>
        <v/>
      </c>
      <c r="P328" s="48" t="str">
        <f aca="false">IFERROR(AVERAGEIFS('Score Entry'!$M$5:$M$1276,'Score Entry'!$B$5:$B$1276,A328,'Score Entry'!$E$5:$E$1276,"Third"),"")</f>
        <v/>
      </c>
      <c r="Q328" s="48" t="str">
        <f aca="false">IF(H328&lt;&gt;"Eligible","",IF(O328="Yes",IF(ISNUMBER(P328),ROUND(AVERAGE(L328,M328,P328),1),""),IF(O328="No",ROUND(AVERAGE(L328:M328),1),"")))</f>
        <v/>
      </c>
      <c r="R328" s="37" t="str">
        <f aca="false">IF(H328&lt;&gt;"Eligible","Screened out",IF(COUNT(L328:M328)=0,"Not started",IF(COUNT(L328:M328)=1,"One read done",IF(O328="Yes",IF(ISNUMBER(P328),"Complete","Needs third read"),"Complete"))))</f>
        <v>Screened out</v>
      </c>
      <c r="S328" s="37" t="str">
        <f aca="false">IF(Q328="","",COUNTIFS($C$5:$C$600,C328,$Q$5:$Q$600,"&gt;"&amp;Q328)+1)</f>
        <v/>
      </c>
      <c r="T328" s="37" t="str">
        <f aca="false">IF(Q328="","",IF(Q328&gt;=Cutoff,"Yes","No"))</f>
        <v/>
      </c>
      <c r="U328" s="49" t="n">
        <f aca="false">IF(T328="Yes",MIN(F328,INDEX(Settings!$G:$G,MATCH(C328,Settings!$E:$E,0))),0)</f>
        <v>0</v>
      </c>
      <c r="V328" s="49" t="str">
        <f aca="false">IF(T328="Yes",SUMIFS($U$5:$U$600,$C$5:$C$600,C328,$Q$5:$Q$600,"&gt;"&amp;Q328)+U328,"")</f>
        <v/>
      </c>
      <c r="W328" s="37" t="str">
        <f aca="false">IF(T328="Yes",IF(V328&lt;=INDEX(PoolList,MATCH(C328,ProgramList,0)),"Within pool","Over pool"),"")</f>
        <v/>
      </c>
      <c r="X328" s="37" t="str">
        <f aca="false">IF(O328="Yes",COUNTIF($O$5:O328,"Yes"),"")</f>
        <v/>
      </c>
    </row>
    <row r="329" customFormat="false" ht="15" hidden="false" customHeight="false" outlineLevel="0" collapsed="false">
      <c r="A329" s="35" t="s">
        <v>841</v>
      </c>
      <c r="B329" s="35" t="s">
        <v>842</v>
      </c>
      <c r="C329" s="35" t="s">
        <v>106</v>
      </c>
      <c r="D329" s="35" t="s">
        <v>174</v>
      </c>
      <c r="E329" s="35" t="s">
        <v>175</v>
      </c>
      <c r="F329" s="42" t="n">
        <v>24000</v>
      </c>
      <c r="G329" s="36" t="n">
        <v>45908</v>
      </c>
      <c r="H329" s="35" t="s">
        <v>54</v>
      </c>
      <c r="I329" s="35" t="s">
        <v>88</v>
      </c>
      <c r="J329" s="35" t="s">
        <v>85</v>
      </c>
      <c r="K329" s="35"/>
      <c r="L329" s="48" t="n">
        <f aca="false">IFERROR(AVERAGEIFS('Score Entry'!$M$5:$M$1276,'Score Entry'!$B$5:$B$1276,A329,'Score Entry'!$E$5:$E$1276,"Primary"),"")</f>
        <v>71</v>
      </c>
      <c r="M329" s="48" t="n">
        <f aca="false">IFERROR(AVERAGEIFS('Score Entry'!$M$5:$M$1276,'Score Entry'!$B$5:$B$1276,A329,'Score Entry'!$E$5:$E$1276,"Secondary"),"")</f>
        <v>69</v>
      </c>
      <c r="N329" s="48" t="n">
        <f aca="false">IF(COUNT(L329:M329)=2,ABS(L329-M329),"")</f>
        <v>2</v>
      </c>
      <c r="O329" s="37" t="str">
        <f aca="false">IF(N329="","",IF(N329&gt;=Threshold,"Yes","No"))</f>
        <v>No</v>
      </c>
      <c r="P329" s="48" t="str">
        <f aca="false">IFERROR(AVERAGEIFS('Score Entry'!$M$5:$M$1276,'Score Entry'!$B$5:$B$1276,A329,'Score Entry'!$E$5:$E$1276,"Third"),"")</f>
        <v/>
      </c>
      <c r="Q329" s="48" t="n">
        <f aca="false">IF(H329&lt;&gt;"Eligible","",IF(O329="Yes",IF(ISNUMBER(P329),ROUND(AVERAGE(L329,M329,P329),1),""),IF(O329="No",ROUND(AVERAGE(L329:M329),1),"")))</f>
        <v>70</v>
      </c>
      <c r="R329" s="37" t="str">
        <f aca="false">IF(H329&lt;&gt;"Eligible","Screened out",IF(COUNT(L329:M329)=0,"Not started",IF(COUNT(L329:M329)=1,"One read done",IF(O329="Yes",IF(ISNUMBER(P329),"Complete","Needs third read"),"Complete"))))</f>
        <v>Complete</v>
      </c>
      <c r="S329" s="37" t="n">
        <f aca="false">IF(Q329="","",COUNTIFS($C$5:$C$600,C329,$Q$5:$Q$600,"&gt;"&amp;Q329)+1)</f>
        <v>53</v>
      </c>
      <c r="T329" s="37" t="str">
        <f aca="false">IF(Q329="","",IF(Q329&gt;=Cutoff,"Yes","No"))</f>
        <v>No</v>
      </c>
      <c r="U329" s="49" t="n">
        <f aca="false">IF(T329="Yes",MIN(F329,INDEX(Settings!$G:$G,MATCH(C329,Settings!$E:$E,0))),0)</f>
        <v>0</v>
      </c>
      <c r="V329" s="49" t="str">
        <f aca="false">IF(T329="Yes",SUMIFS($U$5:$U$600,$C$5:$C$600,C329,$Q$5:$Q$600,"&gt;"&amp;Q329)+U329,"")</f>
        <v/>
      </c>
      <c r="W329" s="37" t="str">
        <f aca="false">IF(T329="Yes",IF(V329&lt;=INDEX(PoolList,MATCH(C329,ProgramList,0)),"Within pool","Over pool"),"")</f>
        <v/>
      </c>
      <c r="X329" s="37" t="str">
        <f aca="false">IF(O329="Yes",COUNTIF($O$5:O329,"Yes"),"")</f>
        <v/>
      </c>
    </row>
    <row r="330" customFormat="false" ht="15" hidden="false" customHeight="false" outlineLevel="0" collapsed="false">
      <c r="A330" s="35" t="s">
        <v>843</v>
      </c>
      <c r="B330" s="35" t="s">
        <v>844</v>
      </c>
      <c r="C330" s="35" t="s">
        <v>103</v>
      </c>
      <c r="D330" s="35" t="s">
        <v>239</v>
      </c>
      <c r="E330" s="35" t="s">
        <v>247</v>
      </c>
      <c r="F330" s="42" t="n">
        <v>77500</v>
      </c>
      <c r="G330" s="36" t="n">
        <v>45918</v>
      </c>
      <c r="H330" s="35" t="s">
        <v>54</v>
      </c>
      <c r="I330" s="35" t="s">
        <v>78</v>
      </c>
      <c r="J330" s="35" t="s">
        <v>94</v>
      </c>
      <c r="K330" s="35"/>
      <c r="L330" s="48" t="n">
        <f aca="false">IFERROR(AVERAGEIFS('Score Entry'!$M$5:$M$1276,'Score Entry'!$B$5:$B$1276,A330,'Score Entry'!$E$5:$E$1276,"Primary"),"")</f>
        <v>67</v>
      </c>
      <c r="M330" s="48" t="n">
        <f aca="false">IFERROR(AVERAGEIFS('Score Entry'!$M$5:$M$1276,'Score Entry'!$B$5:$B$1276,A330,'Score Entry'!$E$5:$E$1276,"Secondary"),"")</f>
        <v>82</v>
      </c>
      <c r="N330" s="48" t="n">
        <f aca="false">IF(COUNT(L330:M330)=2,ABS(L330-M330),"")</f>
        <v>15</v>
      </c>
      <c r="O330" s="37" t="str">
        <f aca="false">IF(N330="","",IF(N330&gt;=Threshold,"Yes","No"))</f>
        <v>No</v>
      </c>
      <c r="P330" s="48" t="str">
        <f aca="false">IFERROR(AVERAGEIFS('Score Entry'!$M$5:$M$1276,'Score Entry'!$B$5:$B$1276,A330,'Score Entry'!$E$5:$E$1276,"Third"),"")</f>
        <v/>
      </c>
      <c r="Q330" s="48" t="n">
        <f aca="false">IF(H330&lt;&gt;"Eligible","",IF(O330="Yes",IF(ISNUMBER(P330),ROUND(AVERAGE(L330,M330,P330),1),""),IF(O330="No",ROUND(AVERAGE(L330:M330),1),"")))</f>
        <v>74.5</v>
      </c>
      <c r="R330" s="37" t="str">
        <f aca="false">IF(H330&lt;&gt;"Eligible","Screened out",IF(COUNT(L330:M330)=0,"Not started",IF(COUNT(L330:M330)=1,"One read done",IF(O330="Yes",IF(ISNUMBER(P330),"Complete","Needs third read"),"Complete"))))</f>
        <v>Complete</v>
      </c>
      <c r="S330" s="37" t="n">
        <f aca="false">IF(Q330="","",COUNTIFS($C$5:$C$600,C330,$Q$5:$Q$600,"&gt;"&amp;Q330)+1)</f>
        <v>46</v>
      </c>
      <c r="T330" s="37" t="str">
        <f aca="false">IF(Q330="","",IF(Q330&gt;=Cutoff,"Yes","No"))</f>
        <v>No</v>
      </c>
      <c r="U330" s="49" t="n">
        <f aca="false">IF(T330="Yes",MIN(F330,INDEX(Settings!$G:$G,MATCH(C330,Settings!$E:$E,0))),0)</f>
        <v>0</v>
      </c>
      <c r="V330" s="49" t="str">
        <f aca="false">IF(T330="Yes",SUMIFS($U$5:$U$600,$C$5:$C$600,C330,$Q$5:$Q$600,"&gt;"&amp;Q330)+U330,"")</f>
        <v/>
      </c>
      <c r="W330" s="37" t="str">
        <f aca="false">IF(T330="Yes",IF(V330&lt;=INDEX(PoolList,MATCH(C330,ProgramList,0)),"Within pool","Over pool"),"")</f>
        <v/>
      </c>
      <c r="X330" s="37" t="str">
        <f aca="false">IF(O330="Yes",COUNTIF($O$5:O330,"Yes"),"")</f>
        <v/>
      </c>
    </row>
    <row r="331" customFormat="false" ht="15" hidden="false" customHeight="false" outlineLevel="0" collapsed="false">
      <c r="A331" s="35" t="s">
        <v>845</v>
      </c>
      <c r="B331" s="35" t="s">
        <v>846</v>
      </c>
      <c r="C331" s="35" t="s">
        <v>105</v>
      </c>
      <c r="D331" s="35" t="s">
        <v>174</v>
      </c>
      <c r="E331" s="35" t="s">
        <v>232</v>
      </c>
      <c r="F331" s="42" t="n">
        <v>103500</v>
      </c>
      <c r="G331" s="36" t="n">
        <v>45919</v>
      </c>
      <c r="H331" s="35" t="s">
        <v>54</v>
      </c>
      <c r="I331" s="35" t="s">
        <v>82</v>
      </c>
      <c r="J331" s="35" t="s">
        <v>91</v>
      </c>
      <c r="K331" s="35" t="s">
        <v>88</v>
      </c>
      <c r="L331" s="48" t="n">
        <f aca="false">IFERROR(AVERAGEIFS('Score Entry'!$M$5:$M$1276,'Score Entry'!$B$5:$B$1276,A331,'Score Entry'!$E$5:$E$1276,"Primary"),"")</f>
        <v>56</v>
      </c>
      <c r="M331" s="48" t="n">
        <f aca="false">IFERROR(AVERAGEIFS('Score Entry'!$M$5:$M$1276,'Score Entry'!$B$5:$B$1276,A331,'Score Entry'!$E$5:$E$1276,"Secondary"),"")</f>
        <v>83</v>
      </c>
      <c r="N331" s="48" t="n">
        <f aca="false">IF(COUNT(L331:M331)=2,ABS(L331-M331),"")</f>
        <v>27</v>
      </c>
      <c r="O331" s="37" t="str">
        <f aca="false">IF(N331="","",IF(N331&gt;=Threshold,"Yes","No"))</f>
        <v>Yes</v>
      </c>
      <c r="P331" s="48" t="n">
        <f aca="false">IFERROR(AVERAGEIFS('Score Entry'!$M$5:$M$1276,'Score Entry'!$B$5:$B$1276,A331,'Score Entry'!$E$5:$E$1276,"Third"),"")</f>
        <v>68</v>
      </c>
      <c r="Q331" s="48" t="n">
        <f aca="false">IF(H331&lt;&gt;"Eligible","",IF(O331="Yes",IF(ISNUMBER(P331),ROUND(AVERAGE(L331,M331,P331),1),""),IF(O331="No",ROUND(AVERAGE(L331:M331),1),"")))</f>
        <v>69</v>
      </c>
      <c r="R331" s="37" t="str">
        <f aca="false">IF(H331&lt;&gt;"Eligible","Screened out",IF(COUNT(L331:M331)=0,"Not started",IF(COUNT(L331:M331)=1,"One read done",IF(O331="Yes",IF(ISNUMBER(P331),"Complete","Needs third read"),"Complete"))))</f>
        <v>Complete</v>
      </c>
      <c r="S331" s="37" t="n">
        <f aca="false">IF(Q331="","",COUNTIFS($C$5:$C$600,C331,$Q$5:$Q$600,"&gt;"&amp;Q331)+1)</f>
        <v>42</v>
      </c>
      <c r="T331" s="37" t="str">
        <f aca="false">IF(Q331="","",IF(Q331&gt;=Cutoff,"Yes","No"))</f>
        <v>No</v>
      </c>
      <c r="U331" s="49" t="n">
        <f aca="false">IF(T331="Yes",MIN(F331,INDEX(Settings!$G:$G,MATCH(C331,Settings!$E:$E,0))),0)</f>
        <v>0</v>
      </c>
      <c r="V331" s="49" t="str">
        <f aca="false">IF(T331="Yes",SUMIFS($U$5:$U$600,$C$5:$C$600,C331,$Q$5:$Q$600,"&gt;"&amp;Q331)+U331,"")</f>
        <v/>
      </c>
      <c r="W331" s="37" t="str">
        <f aca="false">IF(T331="Yes",IF(V331&lt;=INDEX(PoolList,MATCH(C331,ProgramList,0)),"Within pool","Over pool"),"")</f>
        <v/>
      </c>
      <c r="X331" s="37" t="n">
        <f aca="false">IF(O331="Yes",COUNTIF($O$5:O331,"Yes"),"")</f>
        <v>45</v>
      </c>
    </row>
    <row r="332" customFormat="false" ht="15" hidden="false" customHeight="false" outlineLevel="0" collapsed="false">
      <c r="A332" s="35" t="s">
        <v>847</v>
      </c>
      <c r="B332" s="35" t="s">
        <v>848</v>
      </c>
      <c r="C332" s="35" t="s">
        <v>104</v>
      </c>
      <c r="D332" s="35" t="s">
        <v>239</v>
      </c>
      <c r="E332" s="35" t="s">
        <v>255</v>
      </c>
      <c r="F332" s="42" t="n">
        <v>42500</v>
      </c>
      <c r="G332" s="36" t="n">
        <v>45916</v>
      </c>
      <c r="H332" s="35" t="s">
        <v>54</v>
      </c>
      <c r="I332" s="35" t="s">
        <v>88</v>
      </c>
      <c r="J332" s="35" t="s">
        <v>91</v>
      </c>
      <c r="K332" s="35"/>
      <c r="L332" s="48" t="n">
        <f aca="false">IFERROR(AVERAGEIFS('Score Entry'!$M$5:$M$1276,'Score Entry'!$B$5:$B$1276,A332,'Score Entry'!$E$5:$E$1276,"Primary"),"")</f>
        <v>82</v>
      </c>
      <c r="M332" s="48" t="n">
        <f aca="false">IFERROR(AVERAGEIFS('Score Entry'!$M$5:$M$1276,'Score Entry'!$B$5:$B$1276,A332,'Score Entry'!$E$5:$E$1276,"Secondary"),"")</f>
        <v>89</v>
      </c>
      <c r="N332" s="48" t="n">
        <f aca="false">IF(COUNT(L332:M332)=2,ABS(L332-M332),"")</f>
        <v>7</v>
      </c>
      <c r="O332" s="37" t="str">
        <f aca="false">IF(N332="","",IF(N332&gt;=Threshold,"Yes","No"))</f>
        <v>No</v>
      </c>
      <c r="P332" s="48" t="str">
        <f aca="false">IFERROR(AVERAGEIFS('Score Entry'!$M$5:$M$1276,'Score Entry'!$B$5:$B$1276,A332,'Score Entry'!$E$5:$E$1276,"Third"),"")</f>
        <v/>
      </c>
      <c r="Q332" s="48" t="n">
        <f aca="false">IF(H332&lt;&gt;"Eligible","",IF(O332="Yes",IF(ISNUMBER(P332),ROUND(AVERAGE(L332,M332,P332),1),""),IF(O332="No",ROUND(AVERAGE(L332:M332),1),"")))</f>
        <v>85.5</v>
      </c>
      <c r="R332" s="37" t="str">
        <f aca="false">IF(H332&lt;&gt;"Eligible","Screened out",IF(COUNT(L332:M332)=0,"Not started",IF(COUNT(L332:M332)=1,"One read done",IF(O332="Yes",IF(ISNUMBER(P332),"Complete","Needs third read"),"Complete"))))</f>
        <v>Complete</v>
      </c>
      <c r="S332" s="37" t="n">
        <f aca="false">IF(Q332="","",COUNTIFS($C$5:$C$600,C332,$Q$5:$Q$600,"&gt;"&amp;Q332)+1)</f>
        <v>14</v>
      </c>
      <c r="T332" s="37" t="str">
        <f aca="false">IF(Q332="","",IF(Q332&gt;=Cutoff,"Yes","No"))</f>
        <v>Yes</v>
      </c>
      <c r="U332" s="49" t="n">
        <f aca="false">IF(T332="Yes",MIN(F332,INDEX(Settings!$G:$G,MATCH(C332,Settings!$E:$E,0))),0)</f>
        <v>42500</v>
      </c>
      <c r="V332" s="49" t="n">
        <f aca="false">IF(T332="Yes",SUMIFS($U$5:$U$600,$C$5:$C$600,C332,$Q$5:$Q$600,"&gt;"&amp;Q332)+U332,"")</f>
        <v>1251500</v>
      </c>
      <c r="W332" s="37" t="str">
        <f aca="false">IF(T332="Yes",IF(V332&lt;=INDEX(PoolList,MATCH(C332,ProgramList,0)),"Within pool","Over pool"),"")</f>
        <v>Over pool</v>
      </c>
      <c r="X332" s="37" t="str">
        <f aca="false">IF(O332="Yes",COUNTIF($O$5:O332,"Yes"),"")</f>
        <v/>
      </c>
    </row>
    <row r="333" customFormat="false" ht="15" hidden="false" customHeight="false" outlineLevel="0" collapsed="false">
      <c r="A333" s="35" t="s">
        <v>849</v>
      </c>
      <c r="B333" s="35" t="s">
        <v>850</v>
      </c>
      <c r="C333" s="35" t="s">
        <v>104</v>
      </c>
      <c r="D333" s="35" t="s">
        <v>174</v>
      </c>
      <c r="E333" s="35" t="s">
        <v>175</v>
      </c>
      <c r="F333" s="42" t="n">
        <v>112000</v>
      </c>
      <c r="G333" s="36" t="n">
        <v>45915</v>
      </c>
      <c r="H333" s="35" t="s">
        <v>54</v>
      </c>
      <c r="I333" s="35" t="s">
        <v>85</v>
      </c>
      <c r="J333" s="35" t="s">
        <v>78</v>
      </c>
      <c r="K333" s="35" t="s">
        <v>94</v>
      </c>
      <c r="L333" s="48" t="n">
        <f aca="false">IFERROR(AVERAGEIFS('Score Entry'!$M$5:$M$1276,'Score Entry'!$B$5:$B$1276,A333,'Score Entry'!$E$5:$E$1276,"Primary"),"")</f>
        <v>60</v>
      </c>
      <c r="M333" s="48" t="n">
        <f aca="false">IFERROR(AVERAGEIFS('Score Entry'!$M$5:$M$1276,'Score Entry'!$B$5:$B$1276,A333,'Score Entry'!$E$5:$E$1276,"Secondary"),"")</f>
        <v>22</v>
      </c>
      <c r="N333" s="48" t="n">
        <f aca="false">IF(COUNT(L333:M333)=2,ABS(L333-M333),"")</f>
        <v>38</v>
      </c>
      <c r="O333" s="37" t="str">
        <f aca="false">IF(N333="","",IF(N333&gt;=Threshold,"Yes","No"))</f>
        <v>Yes</v>
      </c>
      <c r="P333" s="48" t="str">
        <f aca="false">IFERROR(AVERAGEIFS('Score Entry'!$M$5:$M$1276,'Score Entry'!$B$5:$B$1276,A333,'Score Entry'!$E$5:$E$1276,"Third"),"")</f>
        <v/>
      </c>
      <c r="Q333" s="48" t="str">
        <f aca="false">IF(H333&lt;&gt;"Eligible","",IF(O333="Yes",IF(ISNUMBER(P333),ROUND(AVERAGE(L333,M333,P333),1),""),IF(O333="No",ROUND(AVERAGE(L333:M333),1),"")))</f>
        <v/>
      </c>
      <c r="R333" s="37" t="str">
        <f aca="false">IF(H333&lt;&gt;"Eligible","Screened out",IF(COUNT(L333:M333)=0,"Not started",IF(COUNT(L333:M333)=1,"One read done",IF(O333="Yes",IF(ISNUMBER(P333),"Complete","Needs third read"),"Complete"))))</f>
        <v>Needs third read</v>
      </c>
      <c r="S333" s="37" t="str">
        <f aca="false">IF(Q333="","",COUNTIFS($C$5:$C$600,C333,$Q$5:$Q$600,"&gt;"&amp;Q333)+1)</f>
        <v/>
      </c>
      <c r="T333" s="37" t="str">
        <f aca="false">IF(Q333="","",IF(Q333&gt;=Cutoff,"Yes","No"))</f>
        <v/>
      </c>
      <c r="U333" s="49" t="n">
        <f aca="false">IF(T333="Yes",MIN(F333,INDEX(Settings!$G:$G,MATCH(C333,Settings!$E:$E,0))),0)</f>
        <v>0</v>
      </c>
      <c r="V333" s="49" t="str">
        <f aca="false">IF(T333="Yes",SUMIFS($U$5:$U$600,$C$5:$C$600,C333,$Q$5:$Q$600,"&gt;"&amp;Q333)+U333,"")</f>
        <v/>
      </c>
      <c r="W333" s="37" t="str">
        <f aca="false">IF(T333="Yes",IF(V333&lt;=INDEX(PoolList,MATCH(C333,ProgramList,0)),"Within pool","Over pool"),"")</f>
        <v/>
      </c>
      <c r="X333" s="37" t="n">
        <f aca="false">IF(O333="Yes",COUNTIF($O$5:O333,"Yes"),"")</f>
        <v>46</v>
      </c>
    </row>
    <row r="334" customFormat="false" ht="15" hidden="false" customHeight="false" outlineLevel="0" collapsed="false">
      <c r="A334" s="35" t="s">
        <v>851</v>
      </c>
      <c r="B334" s="35" t="s">
        <v>852</v>
      </c>
      <c r="C334" s="35" t="s">
        <v>104</v>
      </c>
      <c r="D334" s="35" t="s">
        <v>239</v>
      </c>
      <c r="E334" s="35" t="s">
        <v>247</v>
      </c>
      <c r="F334" s="42" t="n">
        <v>186500</v>
      </c>
      <c r="G334" s="36" t="n">
        <v>45927</v>
      </c>
      <c r="H334" s="35" t="s">
        <v>54</v>
      </c>
      <c r="I334" s="35" t="s">
        <v>94</v>
      </c>
      <c r="J334" s="35" t="s">
        <v>88</v>
      </c>
      <c r="K334" s="35"/>
      <c r="L334" s="48" t="n">
        <f aca="false">IFERROR(AVERAGEIFS('Score Entry'!$M$5:$M$1276,'Score Entry'!$B$5:$B$1276,A334,'Score Entry'!$E$5:$E$1276,"Primary"),"")</f>
        <v>51</v>
      </c>
      <c r="M334" s="48" t="n">
        <f aca="false">IFERROR(AVERAGEIFS('Score Entry'!$M$5:$M$1276,'Score Entry'!$B$5:$B$1276,A334,'Score Entry'!$E$5:$E$1276,"Secondary"),"")</f>
        <v>63</v>
      </c>
      <c r="N334" s="48" t="n">
        <f aca="false">IF(COUNT(L334:M334)=2,ABS(L334-M334),"")</f>
        <v>12</v>
      </c>
      <c r="O334" s="37" t="str">
        <f aca="false">IF(N334="","",IF(N334&gt;=Threshold,"Yes","No"))</f>
        <v>No</v>
      </c>
      <c r="P334" s="48" t="str">
        <f aca="false">IFERROR(AVERAGEIFS('Score Entry'!$M$5:$M$1276,'Score Entry'!$B$5:$B$1276,A334,'Score Entry'!$E$5:$E$1276,"Third"),"")</f>
        <v/>
      </c>
      <c r="Q334" s="48" t="n">
        <f aca="false">IF(H334&lt;&gt;"Eligible","",IF(O334="Yes",IF(ISNUMBER(P334),ROUND(AVERAGE(L334,M334,P334),1),""),IF(O334="No",ROUND(AVERAGE(L334:M334),1),"")))</f>
        <v>57</v>
      </c>
      <c r="R334" s="37" t="str">
        <f aca="false">IF(H334&lt;&gt;"Eligible","Screened out",IF(COUNT(L334:M334)=0,"Not started",IF(COUNT(L334:M334)=1,"One read done",IF(O334="Yes",IF(ISNUMBER(P334),"Complete","Needs third read"),"Complete"))))</f>
        <v>Complete</v>
      </c>
      <c r="S334" s="37" t="n">
        <f aca="false">IF(Q334="","",COUNTIFS($C$5:$C$600,C334,$Q$5:$Q$600,"&gt;"&amp;Q334)+1)</f>
        <v>84</v>
      </c>
      <c r="T334" s="37" t="str">
        <f aca="false">IF(Q334="","",IF(Q334&gt;=Cutoff,"Yes","No"))</f>
        <v>No</v>
      </c>
      <c r="U334" s="49" t="n">
        <f aca="false">IF(T334="Yes",MIN(F334,INDEX(Settings!$G:$G,MATCH(C334,Settings!$E:$E,0))),0)</f>
        <v>0</v>
      </c>
      <c r="V334" s="49" t="str">
        <f aca="false">IF(T334="Yes",SUMIFS($U$5:$U$600,$C$5:$C$600,C334,$Q$5:$Q$600,"&gt;"&amp;Q334)+U334,"")</f>
        <v/>
      </c>
      <c r="W334" s="37" t="str">
        <f aca="false">IF(T334="Yes",IF(V334&lt;=INDEX(PoolList,MATCH(C334,ProgramList,0)),"Within pool","Over pool"),"")</f>
        <v/>
      </c>
      <c r="X334" s="37" t="str">
        <f aca="false">IF(O334="Yes",COUNTIF($O$5:O334,"Yes"),"")</f>
        <v/>
      </c>
    </row>
    <row r="335" customFormat="false" ht="15" hidden="false" customHeight="false" outlineLevel="0" collapsed="false">
      <c r="A335" s="35" t="s">
        <v>853</v>
      </c>
      <c r="B335" s="35" t="s">
        <v>854</v>
      </c>
      <c r="C335" s="35" t="s">
        <v>104</v>
      </c>
      <c r="D335" s="35" t="s">
        <v>174</v>
      </c>
      <c r="E335" s="35" t="s">
        <v>175</v>
      </c>
      <c r="F335" s="42" t="n">
        <v>94500</v>
      </c>
      <c r="G335" s="36" t="n">
        <v>45911</v>
      </c>
      <c r="H335" s="35" t="s">
        <v>54</v>
      </c>
      <c r="I335" s="35" t="s">
        <v>85</v>
      </c>
      <c r="J335" s="35" t="s">
        <v>82</v>
      </c>
      <c r="K335" s="35"/>
      <c r="L335" s="48" t="n">
        <f aca="false">IFERROR(AVERAGEIFS('Score Entry'!$M$5:$M$1276,'Score Entry'!$B$5:$B$1276,A335,'Score Entry'!$E$5:$E$1276,"Primary"),"")</f>
        <v>59</v>
      </c>
      <c r="M335" s="48" t="n">
        <f aca="false">IFERROR(AVERAGEIFS('Score Entry'!$M$5:$M$1276,'Score Entry'!$B$5:$B$1276,A335,'Score Entry'!$E$5:$E$1276,"Secondary"),"")</f>
        <v>61</v>
      </c>
      <c r="N335" s="48" t="n">
        <f aca="false">IF(COUNT(L335:M335)=2,ABS(L335-M335),"")</f>
        <v>2</v>
      </c>
      <c r="O335" s="37" t="str">
        <f aca="false">IF(N335="","",IF(N335&gt;=Threshold,"Yes","No"))</f>
        <v>No</v>
      </c>
      <c r="P335" s="48" t="str">
        <f aca="false">IFERROR(AVERAGEIFS('Score Entry'!$M$5:$M$1276,'Score Entry'!$B$5:$B$1276,A335,'Score Entry'!$E$5:$E$1276,"Third"),"")</f>
        <v/>
      </c>
      <c r="Q335" s="48" t="n">
        <f aca="false">IF(H335&lt;&gt;"Eligible","",IF(O335="Yes",IF(ISNUMBER(P335),ROUND(AVERAGE(L335,M335,P335),1),""),IF(O335="No",ROUND(AVERAGE(L335:M335),1),"")))</f>
        <v>60</v>
      </c>
      <c r="R335" s="37" t="str">
        <f aca="false">IF(H335&lt;&gt;"Eligible","Screened out",IF(COUNT(L335:M335)=0,"Not started",IF(COUNT(L335:M335)=1,"One read done",IF(O335="Yes",IF(ISNUMBER(P335),"Complete","Needs third read"),"Complete"))))</f>
        <v>Complete</v>
      </c>
      <c r="S335" s="37" t="n">
        <f aca="false">IF(Q335="","",COUNTIFS($C$5:$C$600,C335,$Q$5:$Q$600,"&gt;"&amp;Q335)+1)</f>
        <v>79</v>
      </c>
      <c r="T335" s="37" t="str">
        <f aca="false">IF(Q335="","",IF(Q335&gt;=Cutoff,"Yes","No"))</f>
        <v>No</v>
      </c>
      <c r="U335" s="49" t="n">
        <f aca="false">IF(T335="Yes",MIN(F335,INDEX(Settings!$G:$G,MATCH(C335,Settings!$E:$E,0))),0)</f>
        <v>0</v>
      </c>
      <c r="V335" s="49" t="str">
        <f aca="false">IF(T335="Yes",SUMIFS($U$5:$U$600,$C$5:$C$600,C335,$Q$5:$Q$600,"&gt;"&amp;Q335)+U335,"")</f>
        <v/>
      </c>
      <c r="W335" s="37" t="str">
        <f aca="false">IF(T335="Yes",IF(V335&lt;=INDEX(PoolList,MATCH(C335,ProgramList,0)),"Within pool","Over pool"),"")</f>
        <v/>
      </c>
      <c r="X335" s="37" t="str">
        <f aca="false">IF(O335="Yes",COUNTIF($O$5:O335,"Yes"),"")</f>
        <v/>
      </c>
    </row>
    <row r="336" customFormat="false" ht="15" hidden="false" customHeight="false" outlineLevel="0" collapsed="false">
      <c r="A336" s="35" t="s">
        <v>855</v>
      </c>
      <c r="B336" s="35" t="s">
        <v>856</v>
      </c>
      <c r="C336" s="35" t="s">
        <v>105</v>
      </c>
      <c r="D336" s="35" t="s">
        <v>174</v>
      </c>
      <c r="E336" s="35" t="s">
        <v>232</v>
      </c>
      <c r="F336" s="42" t="n">
        <v>43500</v>
      </c>
      <c r="G336" s="36" t="n">
        <v>45927</v>
      </c>
      <c r="H336" s="35" t="s">
        <v>54</v>
      </c>
      <c r="I336" s="35" t="s">
        <v>85</v>
      </c>
      <c r="J336" s="35" t="s">
        <v>91</v>
      </c>
      <c r="K336" s="35"/>
      <c r="L336" s="48" t="n">
        <f aca="false">IFERROR(AVERAGEIFS('Score Entry'!$M$5:$M$1276,'Score Entry'!$B$5:$B$1276,A336,'Score Entry'!$E$5:$E$1276,"Primary"),"")</f>
        <v>73</v>
      </c>
      <c r="M336" s="48" t="n">
        <f aca="false">IFERROR(AVERAGEIFS('Score Entry'!$M$5:$M$1276,'Score Entry'!$B$5:$B$1276,A336,'Score Entry'!$E$5:$E$1276,"Secondary"),"")</f>
        <v>71</v>
      </c>
      <c r="N336" s="48" t="n">
        <f aca="false">IF(COUNT(L336:M336)=2,ABS(L336-M336),"")</f>
        <v>2</v>
      </c>
      <c r="O336" s="37" t="str">
        <f aca="false">IF(N336="","",IF(N336&gt;=Threshold,"Yes","No"))</f>
        <v>No</v>
      </c>
      <c r="P336" s="48" t="str">
        <f aca="false">IFERROR(AVERAGEIFS('Score Entry'!$M$5:$M$1276,'Score Entry'!$B$5:$B$1276,A336,'Score Entry'!$E$5:$E$1276,"Third"),"")</f>
        <v/>
      </c>
      <c r="Q336" s="48" t="n">
        <f aca="false">IF(H336&lt;&gt;"Eligible","",IF(O336="Yes",IF(ISNUMBER(P336),ROUND(AVERAGE(L336,M336,P336),1),""),IF(O336="No",ROUND(AVERAGE(L336:M336),1),"")))</f>
        <v>72</v>
      </c>
      <c r="R336" s="37" t="str">
        <f aca="false">IF(H336&lt;&gt;"Eligible","Screened out",IF(COUNT(L336:M336)=0,"Not started",IF(COUNT(L336:M336)=1,"One read done",IF(O336="Yes",IF(ISNUMBER(P336),"Complete","Needs third read"),"Complete"))))</f>
        <v>Complete</v>
      </c>
      <c r="S336" s="37" t="n">
        <f aca="false">IF(Q336="","",COUNTIFS($C$5:$C$600,C336,$Q$5:$Q$600,"&gt;"&amp;Q336)+1)</f>
        <v>33</v>
      </c>
      <c r="T336" s="37" t="str">
        <f aca="false">IF(Q336="","",IF(Q336&gt;=Cutoff,"Yes","No"))</f>
        <v>No</v>
      </c>
      <c r="U336" s="49" t="n">
        <f aca="false">IF(T336="Yes",MIN(F336,INDEX(Settings!$G:$G,MATCH(C336,Settings!$E:$E,0))),0)</f>
        <v>0</v>
      </c>
      <c r="V336" s="49" t="str">
        <f aca="false">IF(T336="Yes",SUMIFS($U$5:$U$600,$C$5:$C$600,C336,$Q$5:$Q$600,"&gt;"&amp;Q336)+U336,"")</f>
        <v/>
      </c>
      <c r="W336" s="37" t="str">
        <f aca="false">IF(T336="Yes",IF(V336&lt;=INDEX(PoolList,MATCH(C336,ProgramList,0)),"Within pool","Over pool"),"")</f>
        <v/>
      </c>
      <c r="X336" s="37" t="str">
        <f aca="false">IF(O336="Yes",COUNTIF($O$5:O336,"Yes"),"")</f>
        <v/>
      </c>
    </row>
    <row r="337" customFormat="false" ht="15" hidden="false" customHeight="false" outlineLevel="0" collapsed="false">
      <c r="A337" s="35" t="s">
        <v>857</v>
      </c>
      <c r="B337" s="35" t="s">
        <v>858</v>
      </c>
      <c r="C337" s="35" t="s">
        <v>103</v>
      </c>
      <c r="D337" s="35" t="s">
        <v>174</v>
      </c>
      <c r="E337" s="35" t="s">
        <v>175</v>
      </c>
      <c r="F337" s="42" t="n">
        <v>74500</v>
      </c>
      <c r="G337" s="36" t="n">
        <v>45926</v>
      </c>
      <c r="H337" s="35" t="s">
        <v>96</v>
      </c>
      <c r="I337" s="35"/>
      <c r="J337" s="35"/>
      <c r="K337" s="35"/>
      <c r="L337" s="48" t="str">
        <f aca="false">IFERROR(AVERAGEIFS('Score Entry'!$M$5:$M$1276,'Score Entry'!$B$5:$B$1276,A337,'Score Entry'!$E$5:$E$1276,"Primary"),"")</f>
        <v/>
      </c>
      <c r="M337" s="48" t="str">
        <f aca="false">IFERROR(AVERAGEIFS('Score Entry'!$M$5:$M$1276,'Score Entry'!$B$5:$B$1276,A337,'Score Entry'!$E$5:$E$1276,"Secondary"),"")</f>
        <v/>
      </c>
      <c r="N337" s="48" t="str">
        <f aca="false">IF(COUNT(L337:M337)=2,ABS(L337-M337),"")</f>
        <v/>
      </c>
      <c r="O337" s="37" t="str">
        <f aca="false">IF(N337="","",IF(N337&gt;=Threshold,"Yes","No"))</f>
        <v/>
      </c>
      <c r="P337" s="48" t="str">
        <f aca="false">IFERROR(AVERAGEIFS('Score Entry'!$M$5:$M$1276,'Score Entry'!$B$5:$B$1276,A337,'Score Entry'!$E$5:$E$1276,"Third"),"")</f>
        <v/>
      </c>
      <c r="Q337" s="48" t="str">
        <f aca="false">IF(H337&lt;&gt;"Eligible","",IF(O337="Yes",IF(ISNUMBER(P337),ROUND(AVERAGE(L337,M337,P337),1),""),IF(O337="No",ROUND(AVERAGE(L337:M337),1),"")))</f>
        <v/>
      </c>
      <c r="R337" s="37" t="str">
        <f aca="false">IF(H337&lt;&gt;"Eligible","Screened out",IF(COUNT(L337:M337)=0,"Not started",IF(COUNT(L337:M337)=1,"One read done",IF(O337="Yes",IF(ISNUMBER(P337),"Complete","Needs third read"),"Complete"))))</f>
        <v>Screened out</v>
      </c>
      <c r="S337" s="37" t="str">
        <f aca="false">IF(Q337="","",COUNTIFS($C$5:$C$600,C337,$Q$5:$Q$600,"&gt;"&amp;Q337)+1)</f>
        <v/>
      </c>
      <c r="T337" s="37" t="str">
        <f aca="false">IF(Q337="","",IF(Q337&gt;=Cutoff,"Yes","No"))</f>
        <v/>
      </c>
      <c r="U337" s="49" t="n">
        <f aca="false">IF(T337="Yes",MIN(F337,INDEX(Settings!$G:$G,MATCH(C337,Settings!$E:$E,0))),0)</f>
        <v>0</v>
      </c>
      <c r="V337" s="49" t="str">
        <f aca="false">IF(T337="Yes",SUMIFS($U$5:$U$600,$C$5:$C$600,C337,$Q$5:$Q$600,"&gt;"&amp;Q337)+U337,"")</f>
        <v/>
      </c>
      <c r="W337" s="37" t="str">
        <f aca="false">IF(T337="Yes",IF(V337&lt;=INDEX(PoolList,MATCH(C337,ProgramList,0)),"Within pool","Over pool"),"")</f>
        <v/>
      </c>
      <c r="X337" s="37" t="str">
        <f aca="false">IF(O337="Yes",COUNTIF($O$5:O337,"Yes"),"")</f>
        <v/>
      </c>
    </row>
    <row r="338" customFormat="false" ht="15" hidden="false" customHeight="false" outlineLevel="0" collapsed="false">
      <c r="A338" s="35" t="s">
        <v>859</v>
      </c>
      <c r="B338" s="35" t="s">
        <v>860</v>
      </c>
      <c r="C338" s="35" t="s">
        <v>104</v>
      </c>
      <c r="D338" s="35" t="s">
        <v>174</v>
      </c>
      <c r="E338" s="35" t="s">
        <v>175</v>
      </c>
      <c r="F338" s="42" t="n">
        <v>51500</v>
      </c>
      <c r="G338" s="36" t="n">
        <v>45916</v>
      </c>
      <c r="H338" s="35" t="s">
        <v>54</v>
      </c>
      <c r="I338" s="35" t="s">
        <v>94</v>
      </c>
      <c r="J338" s="35" t="s">
        <v>78</v>
      </c>
      <c r="K338" s="35"/>
      <c r="L338" s="48" t="n">
        <f aca="false">IFERROR(AVERAGEIFS('Score Entry'!$M$5:$M$1276,'Score Entry'!$B$5:$B$1276,A338,'Score Entry'!$E$5:$E$1276,"Primary"),"")</f>
        <v>69</v>
      </c>
      <c r="M338" s="48" t="n">
        <f aca="false">IFERROR(AVERAGEIFS('Score Entry'!$M$5:$M$1276,'Score Entry'!$B$5:$B$1276,A338,'Score Entry'!$E$5:$E$1276,"Secondary"),"")</f>
        <v>74</v>
      </c>
      <c r="N338" s="48" t="n">
        <f aca="false">IF(COUNT(L338:M338)=2,ABS(L338-M338),"")</f>
        <v>5</v>
      </c>
      <c r="O338" s="37" t="str">
        <f aca="false">IF(N338="","",IF(N338&gt;=Threshold,"Yes","No"))</f>
        <v>No</v>
      </c>
      <c r="P338" s="48" t="str">
        <f aca="false">IFERROR(AVERAGEIFS('Score Entry'!$M$5:$M$1276,'Score Entry'!$B$5:$B$1276,A338,'Score Entry'!$E$5:$E$1276,"Third"),"")</f>
        <v/>
      </c>
      <c r="Q338" s="48" t="n">
        <f aca="false">IF(H338&lt;&gt;"Eligible","",IF(O338="Yes",IF(ISNUMBER(P338),ROUND(AVERAGE(L338,M338,P338),1),""),IF(O338="No",ROUND(AVERAGE(L338:M338),1),"")))</f>
        <v>71.5</v>
      </c>
      <c r="R338" s="37" t="str">
        <f aca="false">IF(H338&lt;&gt;"Eligible","Screened out",IF(COUNT(L338:M338)=0,"Not started",IF(COUNT(L338:M338)=1,"One read done",IF(O338="Yes",IF(ISNUMBER(P338),"Complete","Needs third read"),"Complete"))))</f>
        <v>Complete</v>
      </c>
      <c r="S338" s="37" t="n">
        <f aca="false">IF(Q338="","",COUNTIFS($C$5:$C$600,C338,$Q$5:$Q$600,"&gt;"&amp;Q338)+1)</f>
        <v>43</v>
      </c>
      <c r="T338" s="37" t="str">
        <f aca="false">IF(Q338="","",IF(Q338&gt;=Cutoff,"Yes","No"))</f>
        <v>No</v>
      </c>
      <c r="U338" s="49" t="n">
        <f aca="false">IF(T338="Yes",MIN(F338,INDEX(Settings!$G:$G,MATCH(C338,Settings!$E:$E,0))),0)</f>
        <v>0</v>
      </c>
      <c r="V338" s="49" t="str">
        <f aca="false">IF(T338="Yes",SUMIFS($U$5:$U$600,$C$5:$C$600,C338,$Q$5:$Q$600,"&gt;"&amp;Q338)+U338,"")</f>
        <v/>
      </c>
      <c r="W338" s="37" t="str">
        <f aca="false">IF(T338="Yes",IF(V338&lt;=INDEX(PoolList,MATCH(C338,ProgramList,0)),"Within pool","Over pool"),"")</f>
        <v/>
      </c>
      <c r="X338" s="37" t="str">
        <f aca="false">IF(O338="Yes",COUNTIF($O$5:O338,"Yes"),"")</f>
        <v/>
      </c>
    </row>
    <row r="339" customFormat="false" ht="15" hidden="false" customHeight="false" outlineLevel="0" collapsed="false">
      <c r="A339" s="35" t="s">
        <v>861</v>
      </c>
      <c r="B339" s="35" t="s">
        <v>862</v>
      </c>
      <c r="C339" s="35" t="s">
        <v>103</v>
      </c>
      <c r="D339" s="35" t="s">
        <v>180</v>
      </c>
      <c r="E339" s="35" t="s">
        <v>181</v>
      </c>
      <c r="F339" s="42" t="n">
        <v>160000</v>
      </c>
      <c r="G339" s="36" t="n">
        <v>45920</v>
      </c>
      <c r="H339" s="35" t="s">
        <v>54</v>
      </c>
      <c r="I339" s="35" t="s">
        <v>88</v>
      </c>
      <c r="J339" s="35" t="s">
        <v>82</v>
      </c>
      <c r="K339" s="35"/>
      <c r="L339" s="48" t="n">
        <f aca="false">IFERROR(AVERAGEIFS('Score Entry'!$M$5:$M$1276,'Score Entry'!$B$5:$B$1276,A339,'Score Entry'!$E$5:$E$1276,"Primary"),"")</f>
        <v>84</v>
      </c>
      <c r="M339" s="48" t="n">
        <f aca="false">IFERROR(AVERAGEIFS('Score Entry'!$M$5:$M$1276,'Score Entry'!$B$5:$B$1276,A339,'Score Entry'!$E$5:$E$1276,"Secondary"),"")</f>
        <v>78</v>
      </c>
      <c r="N339" s="48" t="n">
        <f aca="false">IF(COUNT(L339:M339)=2,ABS(L339-M339),"")</f>
        <v>6</v>
      </c>
      <c r="O339" s="37" t="str">
        <f aca="false">IF(N339="","",IF(N339&gt;=Threshold,"Yes","No"))</f>
        <v>No</v>
      </c>
      <c r="P339" s="48" t="str">
        <f aca="false">IFERROR(AVERAGEIFS('Score Entry'!$M$5:$M$1276,'Score Entry'!$B$5:$B$1276,A339,'Score Entry'!$E$5:$E$1276,"Third"),"")</f>
        <v/>
      </c>
      <c r="Q339" s="48" t="n">
        <f aca="false">IF(H339&lt;&gt;"Eligible","",IF(O339="Yes",IF(ISNUMBER(P339),ROUND(AVERAGE(L339,M339,P339),1),""),IF(O339="No",ROUND(AVERAGE(L339:M339),1),"")))</f>
        <v>81</v>
      </c>
      <c r="R339" s="37" t="str">
        <f aca="false">IF(H339&lt;&gt;"Eligible","Screened out",IF(COUNT(L339:M339)=0,"Not started",IF(COUNT(L339:M339)=1,"One read done",IF(O339="Yes",IF(ISNUMBER(P339),"Complete","Needs third read"),"Complete"))))</f>
        <v>Complete</v>
      </c>
      <c r="S339" s="37" t="n">
        <f aca="false">IF(Q339="","",COUNTIFS($C$5:$C$600,C339,$Q$5:$Q$600,"&gt;"&amp;Q339)+1)</f>
        <v>18</v>
      </c>
      <c r="T339" s="37" t="str">
        <f aca="false">IF(Q339="","",IF(Q339&gt;=Cutoff,"Yes","No"))</f>
        <v>No</v>
      </c>
      <c r="U339" s="49" t="n">
        <f aca="false">IF(T339="Yes",MIN(F339,INDEX(Settings!$G:$G,MATCH(C339,Settings!$E:$E,0))),0)</f>
        <v>0</v>
      </c>
      <c r="V339" s="49" t="str">
        <f aca="false">IF(T339="Yes",SUMIFS($U$5:$U$600,$C$5:$C$600,C339,$Q$5:$Q$600,"&gt;"&amp;Q339)+U339,"")</f>
        <v/>
      </c>
      <c r="W339" s="37" t="str">
        <f aca="false">IF(T339="Yes",IF(V339&lt;=INDEX(PoolList,MATCH(C339,ProgramList,0)),"Within pool","Over pool"),"")</f>
        <v/>
      </c>
      <c r="X339" s="37" t="str">
        <f aca="false">IF(O339="Yes",COUNTIF($O$5:O339,"Yes"),"")</f>
        <v/>
      </c>
    </row>
    <row r="340" customFormat="false" ht="15" hidden="false" customHeight="false" outlineLevel="0" collapsed="false">
      <c r="A340" s="35" t="s">
        <v>863</v>
      </c>
      <c r="B340" s="35" t="s">
        <v>864</v>
      </c>
      <c r="C340" s="35" t="s">
        <v>104</v>
      </c>
      <c r="D340" s="35" t="s">
        <v>239</v>
      </c>
      <c r="E340" s="35" t="s">
        <v>247</v>
      </c>
      <c r="F340" s="42" t="n">
        <v>100500</v>
      </c>
      <c r="G340" s="36" t="n">
        <v>45915</v>
      </c>
      <c r="H340" s="35" t="s">
        <v>54</v>
      </c>
      <c r="I340" s="35" t="s">
        <v>88</v>
      </c>
      <c r="J340" s="35" t="s">
        <v>82</v>
      </c>
      <c r="K340" s="35"/>
      <c r="L340" s="48" t="n">
        <f aca="false">IFERROR(AVERAGEIFS('Score Entry'!$M$5:$M$1276,'Score Entry'!$B$5:$B$1276,A340,'Score Entry'!$E$5:$E$1276,"Primary"),"")</f>
        <v>67</v>
      </c>
      <c r="M340" s="48" t="n">
        <f aca="false">IFERROR(AVERAGEIFS('Score Entry'!$M$5:$M$1276,'Score Entry'!$B$5:$B$1276,A340,'Score Entry'!$E$5:$E$1276,"Secondary"),"")</f>
        <v>65</v>
      </c>
      <c r="N340" s="48" t="n">
        <f aca="false">IF(COUNT(L340:M340)=2,ABS(L340-M340),"")</f>
        <v>2</v>
      </c>
      <c r="O340" s="37" t="str">
        <f aca="false">IF(N340="","",IF(N340&gt;=Threshold,"Yes","No"))</f>
        <v>No</v>
      </c>
      <c r="P340" s="48" t="str">
        <f aca="false">IFERROR(AVERAGEIFS('Score Entry'!$M$5:$M$1276,'Score Entry'!$B$5:$B$1276,A340,'Score Entry'!$E$5:$E$1276,"Third"),"")</f>
        <v/>
      </c>
      <c r="Q340" s="48" t="n">
        <f aca="false">IF(H340&lt;&gt;"Eligible","",IF(O340="Yes",IF(ISNUMBER(P340),ROUND(AVERAGE(L340,M340,P340),1),""),IF(O340="No",ROUND(AVERAGE(L340:M340),1),"")))</f>
        <v>66</v>
      </c>
      <c r="R340" s="37" t="str">
        <f aca="false">IF(H340&lt;&gt;"Eligible","Screened out",IF(COUNT(L340:M340)=0,"Not started",IF(COUNT(L340:M340)=1,"One read done",IF(O340="Yes",IF(ISNUMBER(P340),"Complete","Needs third read"),"Complete"))))</f>
        <v>Complete</v>
      </c>
      <c r="S340" s="37" t="n">
        <f aca="false">IF(Q340="","",COUNTIFS($C$5:$C$600,C340,$Q$5:$Q$600,"&gt;"&amp;Q340)+1)</f>
        <v>54</v>
      </c>
      <c r="T340" s="37" t="str">
        <f aca="false">IF(Q340="","",IF(Q340&gt;=Cutoff,"Yes","No"))</f>
        <v>No</v>
      </c>
      <c r="U340" s="49" t="n">
        <f aca="false">IF(T340="Yes",MIN(F340,INDEX(Settings!$G:$G,MATCH(C340,Settings!$E:$E,0))),0)</f>
        <v>0</v>
      </c>
      <c r="V340" s="49" t="str">
        <f aca="false">IF(T340="Yes",SUMIFS($U$5:$U$600,$C$5:$C$600,C340,$Q$5:$Q$600,"&gt;"&amp;Q340)+U340,"")</f>
        <v/>
      </c>
      <c r="W340" s="37" t="str">
        <f aca="false">IF(T340="Yes",IF(V340&lt;=INDEX(PoolList,MATCH(C340,ProgramList,0)),"Within pool","Over pool"),"")</f>
        <v/>
      </c>
      <c r="X340" s="37" t="str">
        <f aca="false">IF(O340="Yes",COUNTIF($O$5:O340,"Yes"),"")</f>
        <v/>
      </c>
    </row>
    <row r="341" customFormat="false" ht="15" hidden="false" customHeight="false" outlineLevel="0" collapsed="false">
      <c r="A341" s="35" t="s">
        <v>865</v>
      </c>
      <c r="B341" s="35" t="s">
        <v>866</v>
      </c>
      <c r="C341" s="35" t="s">
        <v>103</v>
      </c>
      <c r="D341" s="35" t="s">
        <v>174</v>
      </c>
      <c r="E341" s="35" t="s">
        <v>232</v>
      </c>
      <c r="F341" s="42" t="n">
        <v>178000</v>
      </c>
      <c r="G341" s="36" t="n">
        <v>45910</v>
      </c>
      <c r="H341" s="35" t="s">
        <v>54</v>
      </c>
      <c r="I341" s="35" t="s">
        <v>85</v>
      </c>
      <c r="J341" s="35" t="s">
        <v>78</v>
      </c>
      <c r="K341" s="35"/>
      <c r="L341" s="48" t="n">
        <f aca="false">IFERROR(AVERAGEIFS('Score Entry'!$M$5:$M$1276,'Score Entry'!$B$5:$B$1276,A341,'Score Entry'!$E$5:$E$1276,"Primary"),"")</f>
        <v>36</v>
      </c>
      <c r="M341" s="48" t="n">
        <f aca="false">IFERROR(AVERAGEIFS('Score Entry'!$M$5:$M$1276,'Score Entry'!$B$5:$B$1276,A341,'Score Entry'!$E$5:$E$1276,"Secondary"),"")</f>
        <v>40</v>
      </c>
      <c r="N341" s="48" t="n">
        <f aca="false">IF(COUNT(L341:M341)=2,ABS(L341-M341),"")</f>
        <v>4</v>
      </c>
      <c r="O341" s="37" t="str">
        <f aca="false">IF(N341="","",IF(N341&gt;=Threshold,"Yes","No"))</f>
        <v>No</v>
      </c>
      <c r="P341" s="48" t="str">
        <f aca="false">IFERROR(AVERAGEIFS('Score Entry'!$M$5:$M$1276,'Score Entry'!$B$5:$B$1276,A341,'Score Entry'!$E$5:$E$1276,"Third"),"")</f>
        <v/>
      </c>
      <c r="Q341" s="48" t="n">
        <f aca="false">IF(H341&lt;&gt;"Eligible","",IF(O341="Yes",IF(ISNUMBER(P341),ROUND(AVERAGE(L341,M341,P341),1),""),IF(O341="No",ROUND(AVERAGE(L341:M341),1),"")))</f>
        <v>38</v>
      </c>
      <c r="R341" s="37" t="str">
        <f aca="false">IF(H341&lt;&gt;"Eligible","Screened out",IF(COUNT(L341:M341)=0,"Not started",IF(COUNT(L341:M341)=1,"One read done",IF(O341="Yes",IF(ISNUMBER(P341),"Complete","Needs third read"),"Complete"))))</f>
        <v>Complete</v>
      </c>
      <c r="S341" s="37" t="n">
        <f aca="false">IF(Q341="","",COUNTIFS($C$5:$C$600,C341,$Q$5:$Q$600,"&gt;"&amp;Q341)+1)</f>
        <v>162</v>
      </c>
      <c r="T341" s="37" t="str">
        <f aca="false">IF(Q341="","",IF(Q341&gt;=Cutoff,"Yes","No"))</f>
        <v>No</v>
      </c>
      <c r="U341" s="49" t="n">
        <f aca="false">IF(T341="Yes",MIN(F341,INDEX(Settings!$G:$G,MATCH(C341,Settings!$E:$E,0))),0)</f>
        <v>0</v>
      </c>
      <c r="V341" s="49" t="str">
        <f aca="false">IF(T341="Yes",SUMIFS($U$5:$U$600,$C$5:$C$600,C341,$Q$5:$Q$600,"&gt;"&amp;Q341)+U341,"")</f>
        <v/>
      </c>
      <c r="W341" s="37" t="str">
        <f aca="false">IF(T341="Yes",IF(V341&lt;=INDEX(PoolList,MATCH(C341,ProgramList,0)),"Within pool","Over pool"),"")</f>
        <v/>
      </c>
      <c r="X341" s="37" t="str">
        <f aca="false">IF(O341="Yes",COUNTIF($O$5:O341,"Yes"),"")</f>
        <v/>
      </c>
    </row>
    <row r="342" customFormat="false" ht="15" hidden="false" customHeight="false" outlineLevel="0" collapsed="false">
      <c r="A342" s="35" t="s">
        <v>867</v>
      </c>
      <c r="B342" s="35" t="s">
        <v>868</v>
      </c>
      <c r="C342" s="35" t="s">
        <v>106</v>
      </c>
      <c r="D342" s="35" t="s">
        <v>180</v>
      </c>
      <c r="E342" s="35" t="s">
        <v>252</v>
      </c>
      <c r="F342" s="42" t="n">
        <v>41500</v>
      </c>
      <c r="G342" s="36" t="n">
        <v>45918</v>
      </c>
      <c r="H342" s="35" t="s">
        <v>54</v>
      </c>
      <c r="I342" s="35" t="s">
        <v>85</v>
      </c>
      <c r="J342" s="35" t="s">
        <v>91</v>
      </c>
      <c r="K342" s="35"/>
      <c r="L342" s="48" t="n">
        <f aca="false">IFERROR(AVERAGEIFS('Score Entry'!$M$5:$M$1276,'Score Entry'!$B$5:$B$1276,A342,'Score Entry'!$E$5:$E$1276,"Primary"),"")</f>
        <v>58</v>
      </c>
      <c r="M342" s="48" t="n">
        <f aca="false">IFERROR(AVERAGEIFS('Score Entry'!$M$5:$M$1276,'Score Entry'!$B$5:$B$1276,A342,'Score Entry'!$E$5:$E$1276,"Secondary"),"")</f>
        <v>56</v>
      </c>
      <c r="N342" s="48" t="n">
        <f aca="false">IF(COUNT(L342:M342)=2,ABS(L342-M342),"")</f>
        <v>2</v>
      </c>
      <c r="O342" s="37" t="str">
        <f aca="false">IF(N342="","",IF(N342&gt;=Threshold,"Yes","No"))</f>
        <v>No</v>
      </c>
      <c r="P342" s="48" t="str">
        <f aca="false">IFERROR(AVERAGEIFS('Score Entry'!$M$5:$M$1276,'Score Entry'!$B$5:$B$1276,A342,'Score Entry'!$E$5:$E$1276,"Third"),"")</f>
        <v/>
      </c>
      <c r="Q342" s="48" t="n">
        <f aca="false">IF(H342&lt;&gt;"Eligible","",IF(O342="Yes",IF(ISNUMBER(P342),ROUND(AVERAGE(L342,M342,P342),1),""),IF(O342="No",ROUND(AVERAGE(L342:M342),1),"")))</f>
        <v>57</v>
      </c>
      <c r="R342" s="37" t="str">
        <f aca="false">IF(H342&lt;&gt;"Eligible","Screened out",IF(COUNT(L342:M342)=0,"Not started",IF(COUNT(L342:M342)=1,"One read done",IF(O342="Yes",IF(ISNUMBER(P342),"Complete","Needs third read"),"Complete"))))</f>
        <v>Complete</v>
      </c>
      <c r="S342" s="37" t="n">
        <f aca="false">IF(Q342="","",COUNTIFS($C$5:$C$600,C342,$Q$5:$Q$600,"&gt;"&amp;Q342)+1)</f>
        <v>94</v>
      </c>
      <c r="T342" s="37" t="str">
        <f aca="false">IF(Q342="","",IF(Q342&gt;=Cutoff,"Yes","No"))</f>
        <v>No</v>
      </c>
      <c r="U342" s="49" t="n">
        <f aca="false">IF(T342="Yes",MIN(F342,INDEX(Settings!$G:$G,MATCH(C342,Settings!$E:$E,0))),0)</f>
        <v>0</v>
      </c>
      <c r="V342" s="49" t="str">
        <f aca="false">IF(T342="Yes",SUMIFS($U$5:$U$600,$C$5:$C$600,C342,$Q$5:$Q$600,"&gt;"&amp;Q342)+U342,"")</f>
        <v/>
      </c>
      <c r="W342" s="37" t="str">
        <f aca="false">IF(T342="Yes",IF(V342&lt;=INDEX(PoolList,MATCH(C342,ProgramList,0)),"Within pool","Over pool"),"")</f>
        <v/>
      </c>
      <c r="X342" s="37" t="str">
        <f aca="false">IF(O342="Yes",COUNTIF($O$5:O342,"Yes"),"")</f>
        <v/>
      </c>
    </row>
    <row r="343" customFormat="false" ht="15" hidden="false" customHeight="false" outlineLevel="0" collapsed="false">
      <c r="A343" s="35" t="s">
        <v>869</v>
      </c>
      <c r="B343" s="35" t="s">
        <v>870</v>
      </c>
      <c r="C343" s="35" t="s">
        <v>103</v>
      </c>
      <c r="D343" s="35" t="s">
        <v>174</v>
      </c>
      <c r="E343" s="35" t="s">
        <v>175</v>
      </c>
      <c r="F343" s="42" t="n">
        <v>94000</v>
      </c>
      <c r="G343" s="36" t="n">
        <v>45927</v>
      </c>
      <c r="H343" s="35" t="s">
        <v>96</v>
      </c>
      <c r="I343" s="35"/>
      <c r="J343" s="35"/>
      <c r="K343" s="35"/>
      <c r="L343" s="48" t="str">
        <f aca="false">IFERROR(AVERAGEIFS('Score Entry'!$M$5:$M$1276,'Score Entry'!$B$5:$B$1276,A343,'Score Entry'!$E$5:$E$1276,"Primary"),"")</f>
        <v/>
      </c>
      <c r="M343" s="48" t="str">
        <f aca="false">IFERROR(AVERAGEIFS('Score Entry'!$M$5:$M$1276,'Score Entry'!$B$5:$B$1276,A343,'Score Entry'!$E$5:$E$1276,"Secondary"),"")</f>
        <v/>
      </c>
      <c r="N343" s="48" t="str">
        <f aca="false">IF(COUNT(L343:M343)=2,ABS(L343-M343),"")</f>
        <v/>
      </c>
      <c r="O343" s="37" t="str">
        <f aca="false">IF(N343="","",IF(N343&gt;=Threshold,"Yes","No"))</f>
        <v/>
      </c>
      <c r="P343" s="48" t="str">
        <f aca="false">IFERROR(AVERAGEIFS('Score Entry'!$M$5:$M$1276,'Score Entry'!$B$5:$B$1276,A343,'Score Entry'!$E$5:$E$1276,"Third"),"")</f>
        <v/>
      </c>
      <c r="Q343" s="48" t="str">
        <f aca="false">IF(H343&lt;&gt;"Eligible","",IF(O343="Yes",IF(ISNUMBER(P343),ROUND(AVERAGE(L343,M343,P343),1),""),IF(O343="No",ROUND(AVERAGE(L343:M343),1),"")))</f>
        <v/>
      </c>
      <c r="R343" s="37" t="str">
        <f aca="false">IF(H343&lt;&gt;"Eligible","Screened out",IF(COUNT(L343:M343)=0,"Not started",IF(COUNT(L343:M343)=1,"One read done",IF(O343="Yes",IF(ISNUMBER(P343),"Complete","Needs third read"),"Complete"))))</f>
        <v>Screened out</v>
      </c>
      <c r="S343" s="37" t="str">
        <f aca="false">IF(Q343="","",COUNTIFS($C$5:$C$600,C343,$Q$5:$Q$600,"&gt;"&amp;Q343)+1)</f>
        <v/>
      </c>
      <c r="T343" s="37" t="str">
        <f aca="false">IF(Q343="","",IF(Q343&gt;=Cutoff,"Yes","No"))</f>
        <v/>
      </c>
      <c r="U343" s="49" t="n">
        <f aca="false">IF(T343="Yes",MIN(F343,INDEX(Settings!$G:$G,MATCH(C343,Settings!$E:$E,0))),0)</f>
        <v>0</v>
      </c>
      <c r="V343" s="49" t="str">
        <f aca="false">IF(T343="Yes",SUMIFS($U$5:$U$600,$C$5:$C$600,C343,$Q$5:$Q$600,"&gt;"&amp;Q343)+U343,"")</f>
        <v/>
      </c>
      <c r="W343" s="37" t="str">
        <f aca="false">IF(T343="Yes",IF(V343&lt;=INDEX(PoolList,MATCH(C343,ProgramList,0)),"Within pool","Over pool"),"")</f>
        <v/>
      </c>
      <c r="X343" s="37" t="str">
        <f aca="false">IF(O343="Yes",COUNTIF($O$5:O343,"Yes"),"")</f>
        <v/>
      </c>
    </row>
    <row r="344" customFormat="false" ht="15" hidden="false" customHeight="false" outlineLevel="0" collapsed="false">
      <c r="A344" s="35" t="s">
        <v>871</v>
      </c>
      <c r="B344" s="35" t="s">
        <v>872</v>
      </c>
      <c r="C344" s="35" t="s">
        <v>106</v>
      </c>
      <c r="D344" s="35" t="s">
        <v>174</v>
      </c>
      <c r="E344" s="35" t="s">
        <v>175</v>
      </c>
      <c r="F344" s="42" t="n">
        <v>62000</v>
      </c>
      <c r="G344" s="36" t="n">
        <v>45910</v>
      </c>
      <c r="H344" s="35" t="s">
        <v>54</v>
      </c>
      <c r="I344" s="35" t="s">
        <v>82</v>
      </c>
      <c r="J344" s="35" t="s">
        <v>85</v>
      </c>
      <c r="K344" s="35"/>
      <c r="L344" s="48" t="n">
        <f aca="false">IFERROR(AVERAGEIFS('Score Entry'!$M$5:$M$1276,'Score Entry'!$B$5:$B$1276,A344,'Score Entry'!$E$5:$E$1276,"Primary"),"")</f>
        <v>89</v>
      </c>
      <c r="M344" s="48" t="n">
        <f aca="false">IFERROR(AVERAGEIFS('Score Entry'!$M$5:$M$1276,'Score Entry'!$B$5:$B$1276,A344,'Score Entry'!$E$5:$E$1276,"Secondary"),"")</f>
        <v>100</v>
      </c>
      <c r="N344" s="48" t="n">
        <f aca="false">IF(COUNT(L344:M344)=2,ABS(L344-M344),"")</f>
        <v>11</v>
      </c>
      <c r="O344" s="37" t="str">
        <f aca="false">IF(N344="","",IF(N344&gt;=Threshold,"Yes","No"))</f>
        <v>No</v>
      </c>
      <c r="P344" s="48" t="str">
        <f aca="false">IFERROR(AVERAGEIFS('Score Entry'!$M$5:$M$1276,'Score Entry'!$B$5:$B$1276,A344,'Score Entry'!$E$5:$E$1276,"Third"),"")</f>
        <v/>
      </c>
      <c r="Q344" s="48" t="n">
        <f aca="false">IF(H344&lt;&gt;"Eligible","",IF(O344="Yes",IF(ISNUMBER(P344),ROUND(AVERAGE(L344,M344,P344),1),""),IF(O344="No",ROUND(AVERAGE(L344:M344),1),"")))</f>
        <v>94.5</v>
      </c>
      <c r="R344" s="37" t="str">
        <f aca="false">IF(H344&lt;&gt;"Eligible","Screened out",IF(COUNT(L344:M344)=0,"Not started",IF(COUNT(L344:M344)=1,"One read done",IF(O344="Yes",IF(ISNUMBER(P344),"Complete","Needs third read"),"Complete"))))</f>
        <v>Complete</v>
      </c>
      <c r="S344" s="37" t="n">
        <f aca="false">IF(Q344="","",COUNTIFS($C$5:$C$600,C344,$Q$5:$Q$600,"&gt;"&amp;Q344)+1)</f>
        <v>2</v>
      </c>
      <c r="T344" s="37" t="str">
        <f aca="false">IF(Q344="","",IF(Q344&gt;=Cutoff,"Yes","No"))</f>
        <v>Yes</v>
      </c>
      <c r="U344" s="49" t="n">
        <f aca="false">IF(T344="Yes",MIN(F344,INDEX(Settings!$G:$G,MATCH(C344,Settings!$E:$E,0))),0)</f>
        <v>62000</v>
      </c>
      <c r="V344" s="49" t="n">
        <f aca="false">IF(T344="Yes",SUMIFS($U$5:$U$600,$C$5:$C$600,C344,$Q$5:$Q$600,"&gt;"&amp;Q344)+U344,"")</f>
        <v>96500</v>
      </c>
      <c r="W344" s="37" t="str">
        <f aca="false">IF(T344="Yes",IF(V344&lt;=INDEX(PoolList,MATCH(C344,ProgramList,0)),"Within pool","Over pool"),"")</f>
        <v>Within pool</v>
      </c>
      <c r="X344" s="37" t="str">
        <f aca="false">IF(O344="Yes",COUNTIF($O$5:O344,"Yes"),"")</f>
        <v/>
      </c>
    </row>
    <row r="345" customFormat="false" ht="15" hidden="false" customHeight="false" outlineLevel="0" collapsed="false">
      <c r="A345" s="35" t="s">
        <v>873</v>
      </c>
      <c r="B345" s="35" t="s">
        <v>874</v>
      </c>
      <c r="C345" s="35" t="s">
        <v>105</v>
      </c>
      <c r="D345" s="35" t="s">
        <v>174</v>
      </c>
      <c r="E345" s="35" t="s">
        <v>232</v>
      </c>
      <c r="F345" s="42" t="n">
        <v>116500</v>
      </c>
      <c r="G345" s="36" t="n">
        <v>45913</v>
      </c>
      <c r="H345" s="35" t="s">
        <v>54</v>
      </c>
      <c r="I345" s="35" t="s">
        <v>78</v>
      </c>
      <c r="J345" s="35" t="s">
        <v>91</v>
      </c>
      <c r="K345" s="35"/>
      <c r="L345" s="48" t="n">
        <f aca="false">IFERROR(AVERAGEIFS('Score Entry'!$M$5:$M$1276,'Score Entry'!$B$5:$B$1276,A345,'Score Entry'!$E$5:$E$1276,"Primary"),"")</f>
        <v>66</v>
      </c>
      <c r="M345" s="48" t="n">
        <f aca="false">IFERROR(AVERAGEIFS('Score Entry'!$M$5:$M$1276,'Score Entry'!$B$5:$B$1276,A345,'Score Entry'!$E$5:$E$1276,"Secondary"),"")</f>
        <v>80</v>
      </c>
      <c r="N345" s="48" t="n">
        <f aca="false">IF(COUNT(L345:M345)=2,ABS(L345-M345),"")</f>
        <v>14</v>
      </c>
      <c r="O345" s="37" t="str">
        <f aca="false">IF(N345="","",IF(N345&gt;=Threshold,"Yes","No"))</f>
        <v>No</v>
      </c>
      <c r="P345" s="48" t="str">
        <f aca="false">IFERROR(AVERAGEIFS('Score Entry'!$M$5:$M$1276,'Score Entry'!$B$5:$B$1276,A345,'Score Entry'!$E$5:$E$1276,"Third"),"")</f>
        <v/>
      </c>
      <c r="Q345" s="48" t="n">
        <f aca="false">IF(H345&lt;&gt;"Eligible","",IF(O345="Yes",IF(ISNUMBER(P345),ROUND(AVERAGE(L345,M345,P345),1),""),IF(O345="No",ROUND(AVERAGE(L345:M345),1),"")))</f>
        <v>73</v>
      </c>
      <c r="R345" s="37" t="str">
        <f aca="false">IF(H345&lt;&gt;"Eligible","Screened out",IF(COUNT(L345:M345)=0,"Not started",IF(COUNT(L345:M345)=1,"One read done",IF(O345="Yes",IF(ISNUMBER(P345),"Complete","Needs third read"),"Complete"))))</f>
        <v>Complete</v>
      </c>
      <c r="S345" s="37" t="n">
        <f aca="false">IF(Q345="","",COUNTIFS($C$5:$C$600,C345,$Q$5:$Q$600,"&gt;"&amp;Q345)+1)</f>
        <v>31</v>
      </c>
      <c r="T345" s="37" t="str">
        <f aca="false">IF(Q345="","",IF(Q345&gt;=Cutoff,"Yes","No"))</f>
        <v>No</v>
      </c>
      <c r="U345" s="49" t="n">
        <f aca="false">IF(T345="Yes",MIN(F345,INDEX(Settings!$G:$G,MATCH(C345,Settings!$E:$E,0))),0)</f>
        <v>0</v>
      </c>
      <c r="V345" s="49" t="str">
        <f aca="false">IF(T345="Yes",SUMIFS($U$5:$U$600,$C$5:$C$600,C345,$Q$5:$Q$600,"&gt;"&amp;Q345)+U345,"")</f>
        <v/>
      </c>
      <c r="W345" s="37" t="str">
        <f aca="false">IF(T345="Yes",IF(V345&lt;=INDEX(PoolList,MATCH(C345,ProgramList,0)),"Within pool","Over pool"),"")</f>
        <v/>
      </c>
      <c r="X345" s="37" t="str">
        <f aca="false">IF(O345="Yes",COUNTIF($O$5:O345,"Yes"),"")</f>
        <v/>
      </c>
    </row>
    <row r="346" customFormat="false" ht="15" hidden="false" customHeight="false" outlineLevel="0" collapsed="false">
      <c r="A346" s="35" t="s">
        <v>875</v>
      </c>
      <c r="B346" s="35" t="s">
        <v>876</v>
      </c>
      <c r="C346" s="35" t="s">
        <v>106</v>
      </c>
      <c r="D346" s="35" t="s">
        <v>239</v>
      </c>
      <c r="E346" s="35" t="s">
        <v>240</v>
      </c>
      <c r="F346" s="42" t="n">
        <v>65500</v>
      </c>
      <c r="G346" s="36" t="n">
        <v>45914</v>
      </c>
      <c r="H346" s="35" t="s">
        <v>54</v>
      </c>
      <c r="I346" s="35" t="s">
        <v>88</v>
      </c>
      <c r="J346" s="35" t="s">
        <v>94</v>
      </c>
      <c r="K346" s="35"/>
      <c r="L346" s="48" t="n">
        <f aca="false">IFERROR(AVERAGEIFS('Score Entry'!$M$5:$M$1276,'Score Entry'!$B$5:$B$1276,A346,'Score Entry'!$E$5:$E$1276,"Primary"),"")</f>
        <v>84</v>
      </c>
      <c r="M346" s="48" t="n">
        <f aca="false">IFERROR(AVERAGEIFS('Score Entry'!$M$5:$M$1276,'Score Entry'!$B$5:$B$1276,A346,'Score Entry'!$E$5:$E$1276,"Secondary"),"")</f>
        <v>92</v>
      </c>
      <c r="N346" s="48" t="n">
        <f aca="false">IF(COUNT(L346:M346)=2,ABS(L346-M346),"")</f>
        <v>8</v>
      </c>
      <c r="O346" s="37" t="str">
        <f aca="false">IF(N346="","",IF(N346&gt;=Threshold,"Yes","No"))</f>
        <v>No</v>
      </c>
      <c r="P346" s="48" t="str">
        <f aca="false">IFERROR(AVERAGEIFS('Score Entry'!$M$5:$M$1276,'Score Entry'!$B$5:$B$1276,A346,'Score Entry'!$E$5:$E$1276,"Third"),"")</f>
        <v/>
      </c>
      <c r="Q346" s="48" t="n">
        <f aca="false">IF(H346&lt;&gt;"Eligible","",IF(O346="Yes",IF(ISNUMBER(P346),ROUND(AVERAGE(L346,M346,P346),1),""),IF(O346="No",ROUND(AVERAGE(L346:M346),1),"")))</f>
        <v>88</v>
      </c>
      <c r="R346" s="37" t="str">
        <f aca="false">IF(H346&lt;&gt;"Eligible","Screened out",IF(COUNT(L346:M346)=0,"Not started",IF(COUNT(L346:M346)=1,"One read done",IF(O346="Yes",IF(ISNUMBER(P346),"Complete","Needs third read"),"Complete"))))</f>
        <v>Complete</v>
      </c>
      <c r="S346" s="37" t="n">
        <f aca="false">IF(Q346="","",COUNTIFS($C$5:$C$600,C346,$Q$5:$Q$600,"&gt;"&amp;Q346)+1)</f>
        <v>9</v>
      </c>
      <c r="T346" s="37" t="str">
        <f aca="false">IF(Q346="","",IF(Q346&gt;=Cutoff,"Yes","No"))</f>
        <v>Yes</v>
      </c>
      <c r="U346" s="49" t="n">
        <f aca="false">IF(T346="Yes",MIN(F346,INDEX(Settings!$G:$G,MATCH(C346,Settings!$E:$E,0))),0)</f>
        <v>65500</v>
      </c>
      <c r="V346" s="49" t="n">
        <f aca="false">IF(T346="Yes",SUMIFS($U$5:$U$600,$C$5:$C$600,C346,$Q$5:$Q$600,"&gt;"&amp;Q346)+U346,"")</f>
        <v>552500</v>
      </c>
      <c r="W346" s="37" t="str">
        <f aca="false">IF(T346="Yes",IF(V346&lt;=INDEX(PoolList,MATCH(C346,ProgramList,0)),"Within pool","Over pool"),"")</f>
        <v>Within pool</v>
      </c>
      <c r="X346" s="37" t="str">
        <f aca="false">IF(O346="Yes",COUNTIF($O$5:O346,"Yes"),"")</f>
        <v/>
      </c>
    </row>
    <row r="347" customFormat="false" ht="15" hidden="false" customHeight="false" outlineLevel="0" collapsed="false">
      <c r="A347" s="35" t="s">
        <v>877</v>
      </c>
      <c r="B347" s="35" t="s">
        <v>878</v>
      </c>
      <c r="C347" s="35" t="s">
        <v>105</v>
      </c>
      <c r="D347" s="35" t="s">
        <v>180</v>
      </c>
      <c r="E347" s="35" t="s">
        <v>252</v>
      </c>
      <c r="F347" s="42" t="n">
        <v>106000</v>
      </c>
      <c r="G347" s="36" t="n">
        <v>45905</v>
      </c>
      <c r="H347" s="35" t="s">
        <v>54</v>
      </c>
      <c r="I347" s="35" t="s">
        <v>78</v>
      </c>
      <c r="J347" s="35" t="s">
        <v>88</v>
      </c>
      <c r="K347" s="35"/>
      <c r="L347" s="48" t="n">
        <f aca="false">IFERROR(AVERAGEIFS('Score Entry'!$M$5:$M$1276,'Score Entry'!$B$5:$B$1276,A347,'Score Entry'!$E$5:$E$1276,"Primary"),"")</f>
        <v>69</v>
      </c>
      <c r="M347" s="48" t="n">
        <f aca="false">IFERROR(AVERAGEIFS('Score Entry'!$M$5:$M$1276,'Score Entry'!$B$5:$B$1276,A347,'Score Entry'!$E$5:$E$1276,"Secondary"),"")</f>
        <v>71</v>
      </c>
      <c r="N347" s="48" t="n">
        <f aca="false">IF(COUNT(L347:M347)=2,ABS(L347-M347),"")</f>
        <v>2</v>
      </c>
      <c r="O347" s="37" t="str">
        <f aca="false">IF(N347="","",IF(N347&gt;=Threshold,"Yes","No"))</f>
        <v>No</v>
      </c>
      <c r="P347" s="48" t="str">
        <f aca="false">IFERROR(AVERAGEIFS('Score Entry'!$M$5:$M$1276,'Score Entry'!$B$5:$B$1276,A347,'Score Entry'!$E$5:$E$1276,"Third"),"")</f>
        <v/>
      </c>
      <c r="Q347" s="48" t="n">
        <f aca="false">IF(H347&lt;&gt;"Eligible","",IF(O347="Yes",IF(ISNUMBER(P347),ROUND(AVERAGE(L347,M347,P347),1),""),IF(O347="No",ROUND(AVERAGE(L347:M347),1),"")))</f>
        <v>70</v>
      </c>
      <c r="R347" s="37" t="str">
        <f aca="false">IF(H347&lt;&gt;"Eligible","Screened out",IF(COUNT(L347:M347)=0,"Not started",IF(COUNT(L347:M347)=1,"One read done",IF(O347="Yes",IF(ISNUMBER(P347),"Complete","Needs third read"),"Complete"))))</f>
        <v>Complete</v>
      </c>
      <c r="S347" s="37" t="n">
        <f aca="false">IF(Q347="","",COUNTIFS($C$5:$C$600,C347,$Q$5:$Q$600,"&gt;"&amp;Q347)+1)</f>
        <v>39</v>
      </c>
      <c r="T347" s="37" t="str">
        <f aca="false">IF(Q347="","",IF(Q347&gt;=Cutoff,"Yes","No"))</f>
        <v>No</v>
      </c>
      <c r="U347" s="49" t="n">
        <f aca="false">IF(T347="Yes",MIN(F347,INDEX(Settings!$G:$G,MATCH(C347,Settings!$E:$E,0))),0)</f>
        <v>0</v>
      </c>
      <c r="V347" s="49" t="str">
        <f aca="false">IF(T347="Yes",SUMIFS($U$5:$U$600,$C$5:$C$600,C347,$Q$5:$Q$600,"&gt;"&amp;Q347)+U347,"")</f>
        <v/>
      </c>
      <c r="W347" s="37" t="str">
        <f aca="false">IF(T347="Yes",IF(V347&lt;=INDEX(PoolList,MATCH(C347,ProgramList,0)),"Within pool","Over pool"),"")</f>
        <v/>
      </c>
      <c r="X347" s="37" t="str">
        <f aca="false">IF(O347="Yes",COUNTIF($O$5:O347,"Yes"),"")</f>
        <v/>
      </c>
    </row>
    <row r="348" customFormat="false" ht="15" hidden="false" customHeight="false" outlineLevel="0" collapsed="false">
      <c r="A348" s="35" t="s">
        <v>879</v>
      </c>
      <c r="B348" s="35" t="s">
        <v>880</v>
      </c>
      <c r="C348" s="35" t="s">
        <v>106</v>
      </c>
      <c r="D348" s="35" t="s">
        <v>174</v>
      </c>
      <c r="E348" s="35" t="s">
        <v>232</v>
      </c>
      <c r="F348" s="42" t="n">
        <v>74500</v>
      </c>
      <c r="G348" s="36" t="n">
        <v>45923</v>
      </c>
      <c r="H348" s="35" t="s">
        <v>54</v>
      </c>
      <c r="I348" s="35" t="s">
        <v>88</v>
      </c>
      <c r="J348" s="35" t="s">
        <v>94</v>
      </c>
      <c r="K348" s="35"/>
      <c r="L348" s="48" t="n">
        <f aca="false">IFERROR(AVERAGEIFS('Score Entry'!$M$5:$M$1276,'Score Entry'!$B$5:$B$1276,A348,'Score Entry'!$E$5:$E$1276,"Primary"),"")</f>
        <v>62</v>
      </c>
      <c r="M348" s="48" t="n">
        <f aca="false">IFERROR(AVERAGEIFS('Score Entry'!$M$5:$M$1276,'Score Entry'!$B$5:$B$1276,A348,'Score Entry'!$E$5:$E$1276,"Secondary"),"")</f>
        <v>56</v>
      </c>
      <c r="N348" s="48" t="n">
        <f aca="false">IF(COUNT(L348:M348)=2,ABS(L348-M348),"")</f>
        <v>6</v>
      </c>
      <c r="O348" s="37" t="str">
        <f aca="false">IF(N348="","",IF(N348&gt;=Threshold,"Yes","No"))</f>
        <v>No</v>
      </c>
      <c r="P348" s="48" t="str">
        <f aca="false">IFERROR(AVERAGEIFS('Score Entry'!$M$5:$M$1276,'Score Entry'!$B$5:$B$1276,A348,'Score Entry'!$E$5:$E$1276,"Third"),"")</f>
        <v/>
      </c>
      <c r="Q348" s="48" t="n">
        <f aca="false">IF(H348&lt;&gt;"Eligible","",IF(O348="Yes",IF(ISNUMBER(P348),ROUND(AVERAGE(L348,M348,P348),1),""),IF(O348="No",ROUND(AVERAGE(L348:M348),1),"")))</f>
        <v>59</v>
      </c>
      <c r="R348" s="37" t="str">
        <f aca="false">IF(H348&lt;&gt;"Eligible","Screened out",IF(COUNT(L348:M348)=0,"Not started",IF(COUNT(L348:M348)=1,"One read done",IF(O348="Yes",IF(ISNUMBER(P348),"Complete","Needs third read"),"Complete"))))</f>
        <v>Complete</v>
      </c>
      <c r="S348" s="37" t="n">
        <f aca="false">IF(Q348="","",COUNTIFS($C$5:$C$600,C348,$Q$5:$Q$600,"&gt;"&amp;Q348)+1)</f>
        <v>89</v>
      </c>
      <c r="T348" s="37" t="str">
        <f aca="false">IF(Q348="","",IF(Q348&gt;=Cutoff,"Yes","No"))</f>
        <v>No</v>
      </c>
      <c r="U348" s="49" t="n">
        <f aca="false">IF(T348="Yes",MIN(F348,INDEX(Settings!$G:$G,MATCH(C348,Settings!$E:$E,0))),0)</f>
        <v>0</v>
      </c>
      <c r="V348" s="49" t="str">
        <f aca="false">IF(T348="Yes",SUMIFS($U$5:$U$600,$C$5:$C$600,C348,$Q$5:$Q$600,"&gt;"&amp;Q348)+U348,"")</f>
        <v/>
      </c>
      <c r="W348" s="37" t="str">
        <f aca="false">IF(T348="Yes",IF(V348&lt;=INDEX(PoolList,MATCH(C348,ProgramList,0)),"Within pool","Over pool"),"")</f>
        <v/>
      </c>
      <c r="X348" s="37" t="str">
        <f aca="false">IF(O348="Yes",COUNTIF($O$5:O348,"Yes"),"")</f>
        <v/>
      </c>
    </row>
    <row r="349" customFormat="false" ht="15" hidden="false" customHeight="false" outlineLevel="0" collapsed="false">
      <c r="A349" s="35" t="s">
        <v>881</v>
      </c>
      <c r="B349" s="35" t="s">
        <v>882</v>
      </c>
      <c r="C349" s="35" t="s">
        <v>106</v>
      </c>
      <c r="D349" s="35" t="s">
        <v>174</v>
      </c>
      <c r="E349" s="35" t="s">
        <v>175</v>
      </c>
      <c r="F349" s="42" t="n">
        <v>29000</v>
      </c>
      <c r="G349" s="36" t="n">
        <v>45926</v>
      </c>
      <c r="H349" s="35" t="s">
        <v>54</v>
      </c>
      <c r="I349" s="35" t="s">
        <v>91</v>
      </c>
      <c r="J349" s="35" t="s">
        <v>82</v>
      </c>
      <c r="K349" s="35"/>
      <c r="L349" s="48" t="n">
        <f aca="false">IFERROR(AVERAGEIFS('Score Entry'!$M$5:$M$1276,'Score Entry'!$B$5:$B$1276,A349,'Score Entry'!$E$5:$E$1276,"Primary"),"")</f>
        <v>62</v>
      </c>
      <c r="M349" s="48" t="n">
        <f aca="false">IFERROR(AVERAGEIFS('Score Entry'!$M$5:$M$1276,'Score Entry'!$B$5:$B$1276,A349,'Score Entry'!$E$5:$E$1276,"Secondary"),"")</f>
        <v>53</v>
      </c>
      <c r="N349" s="48" t="n">
        <f aca="false">IF(COUNT(L349:M349)=2,ABS(L349-M349),"")</f>
        <v>9</v>
      </c>
      <c r="O349" s="37" t="str">
        <f aca="false">IF(N349="","",IF(N349&gt;=Threshold,"Yes","No"))</f>
        <v>No</v>
      </c>
      <c r="P349" s="48" t="str">
        <f aca="false">IFERROR(AVERAGEIFS('Score Entry'!$M$5:$M$1276,'Score Entry'!$B$5:$B$1276,A349,'Score Entry'!$E$5:$E$1276,"Third"),"")</f>
        <v/>
      </c>
      <c r="Q349" s="48" t="n">
        <f aca="false">IF(H349&lt;&gt;"Eligible","",IF(O349="Yes",IF(ISNUMBER(P349),ROUND(AVERAGE(L349,M349,P349),1),""),IF(O349="No",ROUND(AVERAGE(L349:M349),1),"")))</f>
        <v>57.5</v>
      </c>
      <c r="R349" s="37" t="str">
        <f aca="false">IF(H349&lt;&gt;"Eligible","Screened out",IF(COUNT(L349:M349)=0,"Not started",IF(COUNT(L349:M349)=1,"One read done",IF(O349="Yes",IF(ISNUMBER(P349),"Complete","Needs third read"),"Complete"))))</f>
        <v>Complete</v>
      </c>
      <c r="S349" s="37" t="n">
        <f aca="false">IF(Q349="","",COUNTIFS($C$5:$C$600,C349,$Q$5:$Q$600,"&gt;"&amp;Q349)+1)</f>
        <v>93</v>
      </c>
      <c r="T349" s="37" t="str">
        <f aca="false">IF(Q349="","",IF(Q349&gt;=Cutoff,"Yes","No"))</f>
        <v>No</v>
      </c>
      <c r="U349" s="49" t="n">
        <f aca="false">IF(T349="Yes",MIN(F349,INDEX(Settings!$G:$G,MATCH(C349,Settings!$E:$E,0))),0)</f>
        <v>0</v>
      </c>
      <c r="V349" s="49" t="str">
        <f aca="false">IF(T349="Yes",SUMIFS($U$5:$U$600,$C$5:$C$600,C349,$Q$5:$Q$600,"&gt;"&amp;Q349)+U349,"")</f>
        <v/>
      </c>
      <c r="W349" s="37" t="str">
        <f aca="false">IF(T349="Yes",IF(V349&lt;=INDEX(PoolList,MATCH(C349,ProgramList,0)),"Within pool","Over pool"),"")</f>
        <v/>
      </c>
      <c r="X349" s="37" t="str">
        <f aca="false">IF(O349="Yes",COUNTIF($O$5:O349,"Yes"),"")</f>
        <v/>
      </c>
    </row>
    <row r="350" customFormat="false" ht="15" hidden="false" customHeight="false" outlineLevel="0" collapsed="false">
      <c r="A350" s="35" t="s">
        <v>883</v>
      </c>
      <c r="B350" s="35" t="s">
        <v>884</v>
      </c>
      <c r="C350" s="35" t="s">
        <v>106</v>
      </c>
      <c r="D350" s="35" t="s">
        <v>180</v>
      </c>
      <c r="E350" s="35" t="s">
        <v>181</v>
      </c>
      <c r="F350" s="42" t="n">
        <v>132000</v>
      </c>
      <c r="G350" s="36" t="n">
        <v>45917</v>
      </c>
      <c r="H350" s="35" t="s">
        <v>54</v>
      </c>
      <c r="I350" s="35" t="s">
        <v>85</v>
      </c>
      <c r="J350" s="35" t="s">
        <v>78</v>
      </c>
      <c r="K350" s="35"/>
      <c r="L350" s="48" t="n">
        <f aca="false">IFERROR(AVERAGEIFS('Score Entry'!$M$5:$M$1276,'Score Entry'!$B$5:$B$1276,A350,'Score Entry'!$E$5:$E$1276,"Primary"),"")</f>
        <v>85</v>
      </c>
      <c r="M350" s="48" t="n">
        <f aca="false">IFERROR(AVERAGEIFS('Score Entry'!$M$5:$M$1276,'Score Entry'!$B$5:$B$1276,A350,'Score Entry'!$E$5:$E$1276,"Secondary"),"")</f>
        <v>75</v>
      </c>
      <c r="N350" s="48" t="n">
        <f aca="false">IF(COUNT(L350:M350)=2,ABS(L350-M350),"")</f>
        <v>10</v>
      </c>
      <c r="O350" s="37" t="str">
        <f aca="false">IF(N350="","",IF(N350&gt;=Threshold,"Yes","No"))</f>
        <v>No</v>
      </c>
      <c r="P350" s="48" t="str">
        <f aca="false">IFERROR(AVERAGEIFS('Score Entry'!$M$5:$M$1276,'Score Entry'!$B$5:$B$1276,A350,'Score Entry'!$E$5:$E$1276,"Third"),"")</f>
        <v/>
      </c>
      <c r="Q350" s="48" t="n">
        <f aca="false">IF(H350&lt;&gt;"Eligible","",IF(O350="Yes",IF(ISNUMBER(P350),ROUND(AVERAGE(L350,M350,P350),1),""),IF(O350="No",ROUND(AVERAGE(L350:M350),1),"")))</f>
        <v>80</v>
      </c>
      <c r="R350" s="37" t="str">
        <f aca="false">IF(H350&lt;&gt;"Eligible","Screened out",IF(COUNT(L350:M350)=0,"Not started",IF(COUNT(L350:M350)=1,"One read done",IF(O350="Yes",IF(ISNUMBER(P350),"Complete","Needs third read"),"Complete"))))</f>
        <v>Complete</v>
      </c>
      <c r="S350" s="37" t="n">
        <f aca="false">IF(Q350="","",COUNTIFS($C$5:$C$600,C350,$Q$5:$Q$600,"&gt;"&amp;Q350)+1)</f>
        <v>22</v>
      </c>
      <c r="T350" s="37" t="str">
        <f aca="false">IF(Q350="","",IF(Q350&gt;=Cutoff,"Yes","No"))</f>
        <v>No</v>
      </c>
      <c r="U350" s="49" t="n">
        <f aca="false">IF(T350="Yes",MIN(F350,INDEX(Settings!$G:$G,MATCH(C350,Settings!$E:$E,0))),0)</f>
        <v>0</v>
      </c>
      <c r="V350" s="49" t="str">
        <f aca="false">IF(T350="Yes",SUMIFS($U$5:$U$600,$C$5:$C$600,C350,$Q$5:$Q$600,"&gt;"&amp;Q350)+U350,"")</f>
        <v/>
      </c>
      <c r="W350" s="37" t="str">
        <f aca="false">IF(T350="Yes",IF(V350&lt;=INDEX(PoolList,MATCH(C350,ProgramList,0)),"Within pool","Over pool"),"")</f>
        <v/>
      </c>
      <c r="X350" s="37" t="str">
        <f aca="false">IF(O350="Yes",COUNTIF($O$5:O350,"Yes"),"")</f>
        <v/>
      </c>
    </row>
    <row r="351" customFormat="false" ht="15" hidden="false" customHeight="false" outlineLevel="0" collapsed="false">
      <c r="A351" s="35" t="s">
        <v>885</v>
      </c>
      <c r="B351" s="35" t="s">
        <v>886</v>
      </c>
      <c r="C351" s="35" t="s">
        <v>103</v>
      </c>
      <c r="D351" s="35" t="s">
        <v>174</v>
      </c>
      <c r="E351" s="35" t="s">
        <v>175</v>
      </c>
      <c r="F351" s="42" t="n">
        <v>77000</v>
      </c>
      <c r="G351" s="36" t="n">
        <v>45926</v>
      </c>
      <c r="H351" s="35" t="s">
        <v>54</v>
      </c>
      <c r="I351" s="35" t="s">
        <v>85</v>
      </c>
      <c r="J351" s="35" t="s">
        <v>91</v>
      </c>
      <c r="K351" s="35"/>
      <c r="L351" s="48" t="n">
        <f aca="false">IFERROR(AVERAGEIFS('Score Entry'!$M$5:$M$1276,'Score Entry'!$B$5:$B$1276,A351,'Score Entry'!$E$5:$E$1276,"Primary"),"")</f>
        <v>55</v>
      </c>
      <c r="M351" s="48" t="n">
        <f aca="false">IFERROR(AVERAGEIFS('Score Entry'!$M$5:$M$1276,'Score Entry'!$B$5:$B$1276,A351,'Score Entry'!$E$5:$E$1276,"Secondary"),"")</f>
        <v>64</v>
      </c>
      <c r="N351" s="48" t="n">
        <f aca="false">IF(COUNT(L351:M351)=2,ABS(L351-M351),"")</f>
        <v>9</v>
      </c>
      <c r="O351" s="37" t="str">
        <f aca="false">IF(N351="","",IF(N351&gt;=Threshold,"Yes","No"))</f>
        <v>No</v>
      </c>
      <c r="P351" s="48" t="str">
        <f aca="false">IFERROR(AVERAGEIFS('Score Entry'!$M$5:$M$1276,'Score Entry'!$B$5:$B$1276,A351,'Score Entry'!$E$5:$E$1276,"Third"),"")</f>
        <v/>
      </c>
      <c r="Q351" s="48" t="n">
        <f aca="false">IF(H351&lt;&gt;"Eligible","",IF(O351="Yes",IF(ISNUMBER(P351),ROUND(AVERAGE(L351,M351,P351),1),""),IF(O351="No",ROUND(AVERAGE(L351:M351),1),"")))</f>
        <v>59.5</v>
      </c>
      <c r="R351" s="37" t="str">
        <f aca="false">IF(H351&lt;&gt;"Eligible","Screened out",IF(COUNT(L351:M351)=0,"Not started",IF(COUNT(L351:M351)=1,"One read done",IF(O351="Yes",IF(ISNUMBER(P351),"Complete","Needs third read"),"Complete"))))</f>
        <v>Complete</v>
      </c>
      <c r="S351" s="37" t="n">
        <f aca="false">IF(Q351="","",COUNTIFS($C$5:$C$600,C351,$Q$5:$Q$600,"&gt;"&amp;Q351)+1)</f>
        <v>114</v>
      </c>
      <c r="T351" s="37" t="str">
        <f aca="false">IF(Q351="","",IF(Q351&gt;=Cutoff,"Yes","No"))</f>
        <v>No</v>
      </c>
      <c r="U351" s="49" t="n">
        <f aca="false">IF(T351="Yes",MIN(F351,INDEX(Settings!$G:$G,MATCH(C351,Settings!$E:$E,0))),0)</f>
        <v>0</v>
      </c>
      <c r="V351" s="49" t="str">
        <f aca="false">IF(T351="Yes",SUMIFS($U$5:$U$600,$C$5:$C$600,C351,$Q$5:$Q$600,"&gt;"&amp;Q351)+U351,"")</f>
        <v/>
      </c>
      <c r="W351" s="37" t="str">
        <f aca="false">IF(T351="Yes",IF(V351&lt;=INDEX(PoolList,MATCH(C351,ProgramList,0)),"Within pool","Over pool"),"")</f>
        <v/>
      </c>
      <c r="X351" s="37" t="str">
        <f aca="false">IF(O351="Yes",COUNTIF($O$5:O351,"Yes"),"")</f>
        <v/>
      </c>
    </row>
    <row r="352" customFormat="false" ht="15" hidden="false" customHeight="false" outlineLevel="0" collapsed="false">
      <c r="A352" s="35" t="s">
        <v>887</v>
      </c>
      <c r="B352" s="35" t="s">
        <v>888</v>
      </c>
      <c r="C352" s="35" t="s">
        <v>104</v>
      </c>
      <c r="D352" s="35" t="s">
        <v>239</v>
      </c>
      <c r="E352" s="35" t="s">
        <v>255</v>
      </c>
      <c r="F352" s="42" t="n">
        <v>74000</v>
      </c>
      <c r="G352" s="36" t="n">
        <v>45918</v>
      </c>
      <c r="H352" s="35" t="s">
        <v>54</v>
      </c>
      <c r="I352" s="35" t="s">
        <v>82</v>
      </c>
      <c r="J352" s="35" t="s">
        <v>91</v>
      </c>
      <c r="K352" s="35"/>
      <c r="L352" s="48" t="n">
        <f aca="false">IFERROR(AVERAGEIFS('Score Entry'!$M$5:$M$1276,'Score Entry'!$B$5:$B$1276,A352,'Score Entry'!$E$5:$E$1276,"Primary"),"")</f>
        <v>71</v>
      </c>
      <c r="M352" s="48" t="n">
        <f aca="false">IFERROR(AVERAGEIFS('Score Entry'!$M$5:$M$1276,'Score Entry'!$B$5:$B$1276,A352,'Score Entry'!$E$5:$E$1276,"Secondary"),"")</f>
        <v>85</v>
      </c>
      <c r="N352" s="48" t="n">
        <f aca="false">IF(COUNT(L352:M352)=2,ABS(L352-M352),"")</f>
        <v>14</v>
      </c>
      <c r="O352" s="37" t="str">
        <f aca="false">IF(N352="","",IF(N352&gt;=Threshold,"Yes","No"))</f>
        <v>No</v>
      </c>
      <c r="P352" s="48" t="str">
        <f aca="false">IFERROR(AVERAGEIFS('Score Entry'!$M$5:$M$1276,'Score Entry'!$B$5:$B$1276,A352,'Score Entry'!$E$5:$E$1276,"Third"),"")</f>
        <v/>
      </c>
      <c r="Q352" s="48" t="n">
        <f aca="false">IF(H352&lt;&gt;"Eligible","",IF(O352="Yes",IF(ISNUMBER(P352),ROUND(AVERAGE(L352,M352,P352),1),""),IF(O352="No",ROUND(AVERAGE(L352:M352),1),"")))</f>
        <v>78</v>
      </c>
      <c r="R352" s="37" t="str">
        <f aca="false">IF(H352&lt;&gt;"Eligible","Screened out",IF(COUNT(L352:M352)=0,"Not started",IF(COUNT(L352:M352)=1,"One read done",IF(O352="Yes",IF(ISNUMBER(P352),"Complete","Needs third read"),"Complete"))))</f>
        <v>Complete</v>
      </c>
      <c r="S352" s="37" t="n">
        <f aca="false">IF(Q352="","",COUNTIFS($C$5:$C$600,C352,$Q$5:$Q$600,"&gt;"&amp;Q352)+1)</f>
        <v>27</v>
      </c>
      <c r="T352" s="37" t="str">
        <f aca="false">IF(Q352="","",IF(Q352&gt;=Cutoff,"Yes","No"))</f>
        <v>No</v>
      </c>
      <c r="U352" s="49" t="n">
        <f aca="false">IF(T352="Yes",MIN(F352,INDEX(Settings!$G:$G,MATCH(C352,Settings!$E:$E,0))),0)</f>
        <v>0</v>
      </c>
      <c r="V352" s="49" t="str">
        <f aca="false">IF(T352="Yes",SUMIFS($U$5:$U$600,$C$5:$C$600,C352,$Q$5:$Q$600,"&gt;"&amp;Q352)+U352,"")</f>
        <v/>
      </c>
      <c r="W352" s="37" t="str">
        <f aca="false">IF(T352="Yes",IF(V352&lt;=INDEX(PoolList,MATCH(C352,ProgramList,0)),"Within pool","Over pool"),"")</f>
        <v/>
      </c>
      <c r="X352" s="37" t="str">
        <f aca="false">IF(O352="Yes",COUNTIF($O$5:O352,"Yes"),"")</f>
        <v/>
      </c>
    </row>
    <row r="353" customFormat="false" ht="15" hidden="false" customHeight="false" outlineLevel="0" collapsed="false">
      <c r="A353" s="35" t="s">
        <v>889</v>
      </c>
      <c r="B353" s="35" t="s">
        <v>890</v>
      </c>
      <c r="C353" s="35" t="s">
        <v>103</v>
      </c>
      <c r="D353" s="35" t="s">
        <v>180</v>
      </c>
      <c r="E353" s="35" t="s">
        <v>181</v>
      </c>
      <c r="F353" s="42" t="n">
        <v>119500</v>
      </c>
      <c r="G353" s="36" t="n">
        <v>45904</v>
      </c>
      <c r="H353" s="35" t="s">
        <v>54</v>
      </c>
      <c r="I353" s="35" t="s">
        <v>85</v>
      </c>
      <c r="J353" s="35" t="s">
        <v>78</v>
      </c>
      <c r="K353" s="35"/>
      <c r="L353" s="48" t="n">
        <f aca="false">IFERROR(AVERAGEIFS('Score Entry'!$M$5:$M$1276,'Score Entry'!$B$5:$B$1276,A353,'Score Entry'!$E$5:$E$1276,"Primary"),"")</f>
        <v>64</v>
      </c>
      <c r="M353" s="48" t="n">
        <f aca="false">IFERROR(AVERAGEIFS('Score Entry'!$M$5:$M$1276,'Score Entry'!$B$5:$B$1276,A353,'Score Entry'!$E$5:$E$1276,"Secondary"),"")</f>
        <v>74</v>
      </c>
      <c r="N353" s="48" t="n">
        <f aca="false">IF(COUNT(L353:M353)=2,ABS(L353-M353),"")</f>
        <v>10</v>
      </c>
      <c r="O353" s="37" t="str">
        <f aca="false">IF(N353="","",IF(N353&gt;=Threshold,"Yes","No"))</f>
        <v>No</v>
      </c>
      <c r="P353" s="48" t="str">
        <f aca="false">IFERROR(AVERAGEIFS('Score Entry'!$M$5:$M$1276,'Score Entry'!$B$5:$B$1276,A353,'Score Entry'!$E$5:$E$1276,"Third"),"")</f>
        <v/>
      </c>
      <c r="Q353" s="48" t="n">
        <f aca="false">IF(H353&lt;&gt;"Eligible","",IF(O353="Yes",IF(ISNUMBER(P353),ROUND(AVERAGE(L353,M353,P353),1),""),IF(O353="No",ROUND(AVERAGE(L353:M353),1),"")))</f>
        <v>69</v>
      </c>
      <c r="R353" s="37" t="str">
        <f aca="false">IF(H353&lt;&gt;"Eligible","Screened out",IF(COUNT(L353:M353)=0,"Not started",IF(COUNT(L353:M353)=1,"One read done",IF(O353="Yes",IF(ISNUMBER(P353),"Complete","Needs third read"),"Complete"))))</f>
        <v>Complete</v>
      </c>
      <c r="S353" s="37" t="n">
        <f aca="false">IF(Q353="","",COUNTIFS($C$5:$C$600,C353,$Q$5:$Q$600,"&gt;"&amp;Q353)+1)</f>
        <v>69</v>
      </c>
      <c r="T353" s="37" t="str">
        <f aca="false">IF(Q353="","",IF(Q353&gt;=Cutoff,"Yes","No"))</f>
        <v>No</v>
      </c>
      <c r="U353" s="49" t="n">
        <f aca="false">IF(T353="Yes",MIN(F353,INDEX(Settings!$G:$G,MATCH(C353,Settings!$E:$E,0))),0)</f>
        <v>0</v>
      </c>
      <c r="V353" s="49" t="str">
        <f aca="false">IF(T353="Yes",SUMIFS($U$5:$U$600,$C$5:$C$600,C353,$Q$5:$Q$600,"&gt;"&amp;Q353)+U353,"")</f>
        <v/>
      </c>
      <c r="W353" s="37" t="str">
        <f aca="false">IF(T353="Yes",IF(V353&lt;=INDEX(PoolList,MATCH(C353,ProgramList,0)),"Within pool","Over pool"),"")</f>
        <v/>
      </c>
      <c r="X353" s="37" t="str">
        <f aca="false">IF(O353="Yes",COUNTIF($O$5:O353,"Yes"),"")</f>
        <v/>
      </c>
    </row>
    <row r="354" customFormat="false" ht="15" hidden="false" customHeight="false" outlineLevel="0" collapsed="false">
      <c r="A354" s="35" t="s">
        <v>891</v>
      </c>
      <c r="B354" s="35" t="s">
        <v>892</v>
      </c>
      <c r="C354" s="35" t="s">
        <v>105</v>
      </c>
      <c r="D354" s="35" t="s">
        <v>239</v>
      </c>
      <c r="E354" s="35" t="s">
        <v>240</v>
      </c>
      <c r="F354" s="42" t="n">
        <v>111500</v>
      </c>
      <c r="G354" s="36" t="n">
        <v>45909</v>
      </c>
      <c r="H354" s="35" t="s">
        <v>54</v>
      </c>
      <c r="I354" s="35" t="s">
        <v>82</v>
      </c>
      <c r="J354" s="35" t="s">
        <v>88</v>
      </c>
      <c r="K354" s="35"/>
      <c r="L354" s="48" t="n">
        <f aca="false">IFERROR(AVERAGEIFS('Score Entry'!$M$5:$M$1276,'Score Entry'!$B$5:$B$1276,A354,'Score Entry'!$E$5:$E$1276,"Primary"),"")</f>
        <v>45</v>
      </c>
      <c r="M354" s="48" t="n">
        <f aca="false">IFERROR(AVERAGEIFS('Score Entry'!$M$5:$M$1276,'Score Entry'!$B$5:$B$1276,A354,'Score Entry'!$E$5:$E$1276,"Secondary"),"")</f>
        <v>59</v>
      </c>
      <c r="N354" s="48" t="n">
        <f aca="false">IF(COUNT(L354:M354)=2,ABS(L354-M354),"")</f>
        <v>14</v>
      </c>
      <c r="O354" s="37" t="str">
        <f aca="false">IF(N354="","",IF(N354&gt;=Threshold,"Yes","No"))</f>
        <v>No</v>
      </c>
      <c r="P354" s="48" t="str">
        <f aca="false">IFERROR(AVERAGEIFS('Score Entry'!$M$5:$M$1276,'Score Entry'!$B$5:$B$1276,A354,'Score Entry'!$E$5:$E$1276,"Third"),"")</f>
        <v/>
      </c>
      <c r="Q354" s="48" t="n">
        <f aca="false">IF(H354&lt;&gt;"Eligible","",IF(O354="Yes",IF(ISNUMBER(P354),ROUND(AVERAGE(L354,M354,P354),1),""),IF(O354="No",ROUND(AVERAGE(L354:M354),1),"")))</f>
        <v>52</v>
      </c>
      <c r="R354" s="37" t="str">
        <f aca="false">IF(H354&lt;&gt;"Eligible","Screened out",IF(COUNT(L354:M354)=0,"Not started",IF(COUNT(L354:M354)=1,"One read done",IF(O354="Yes",IF(ISNUMBER(P354),"Complete","Needs third read"),"Complete"))))</f>
        <v>Complete</v>
      </c>
      <c r="S354" s="37" t="n">
        <f aca="false">IF(Q354="","",COUNTIFS($C$5:$C$600,C354,$Q$5:$Q$600,"&gt;"&amp;Q354)+1)</f>
        <v>88</v>
      </c>
      <c r="T354" s="37" t="str">
        <f aca="false">IF(Q354="","",IF(Q354&gt;=Cutoff,"Yes","No"))</f>
        <v>No</v>
      </c>
      <c r="U354" s="49" t="n">
        <f aca="false">IF(T354="Yes",MIN(F354,INDEX(Settings!$G:$G,MATCH(C354,Settings!$E:$E,0))),0)</f>
        <v>0</v>
      </c>
      <c r="V354" s="49" t="str">
        <f aca="false">IF(T354="Yes",SUMIFS($U$5:$U$600,$C$5:$C$600,C354,$Q$5:$Q$600,"&gt;"&amp;Q354)+U354,"")</f>
        <v/>
      </c>
      <c r="W354" s="37" t="str">
        <f aca="false">IF(T354="Yes",IF(V354&lt;=INDEX(PoolList,MATCH(C354,ProgramList,0)),"Within pool","Over pool"),"")</f>
        <v/>
      </c>
      <c r="X354" s="37" t="str">
        <f aca="false">IF(O354="Yes",COUNTIF($O$5:O354,"Yes"),"")</f>
        <v/>
      </c>
    </row>
    <row r="355" customFormat="false" ht="15" hidden="false" customHeight="false" outlineLevel="0" collapsed="false">
      <c r="A355" s="35" t="s">
        <v>893</v>
      </c>
      <c r="B355" s="35" t="s">
        <v>894</v>
      </c>
      <c r="C355" s="35" t="s">
        <v>106</v>
      </c>
      <c r="D355" s="35" t="s">
        <v>174</v>
      </c>
      <c r="E355" s="35" t="s">
        <v>175</v>
      </c>
      <c r="F355" s="42" t="n">
        <v>65000</v>
      </c>
      <c r="G355" s="36" t="n">
        <v>45920</v>
      </c>
      <c r="H355" s="35" t="s">
        <v>54</v>
      </c>
      <c r="I355" s="35" t="s">
        <v>94</v>
      </c>
      <c r="J355" s="35" t="s">
        <v>85</v>
      </c>
      <c r="K355" s="35"/>
      <c r="L355" s="48" t="n">
        <f aca="false">IFERROR(AVERAGEIFS('Score Entry'!$M$5:$M$1276,'Score Entry'!$B$5:$B$1276,A355,'Score Entry'!$E$5:$E$1276,"Primary"),"")</f>
        <v>58</v>
      </c>
      <c r="M355" s="48" t="n">
        <f aca="false">IFERROR(AVERAGEIFS('Score Entry'!$M$5:$M$1276,'Score Entry'!$B$5:$B$1276,A355,'Score Entry'!$E$5:$E$1276,"Secondary"),"")</f>
        <v>60</v>
      </c>
      <c r="N355" s="48" t="n">
        <f aca="false">IF(COUNT(L355:M355)=2,ABS(L355-M355),"")</f>
        <v>2</v>
      </c>
      <c r="O355" s="37" t="str">
        <f aca="false">IF(N355="","",IF(N355&gt;=Threshold,"Yes","No"))</f>
        <v>No</v>
      </c>
      <c r="P355" s="48" t="str">
        <f aca="false">IFERROR(AVERAGEIFS('Score Entry'!$M$5:$M$1276,'Score Entry'!$B$5:$B$1276,A355,'Score Entry'!$E$5:$E$1276,"Third"),"")</f>
        <v/>
      </c>
      <c r="Q355" s="48" t="n">
        <f aca="false">IF(H355&lt;&gt;"Eligible","",IF(O355="Yes",IF(ISNUMBER(P355),ROUND(AVERAGE(L355,M355,P355),1),""),IF(O355="No",ROUND(AVERAGE(L355:M355),1),"")))</f>
        <v>59</v>
      </c>
      <c r="R355" s="37" t="str">
        <f aca="false">IF(H355&lt;&gt;"Eligible","Screened out",IF(COUNT(L355:M355)=0,"Not started",IF(COUNT(L355:M355)=1,"One read done",IF(O355="Yes",IF(ISNUMBER(P355),"Complete","Needs third read"),"Complete"))))</f>
        <v>Complete</v>
      </c>
      <c r="S355" s="37" t="n">
        <f aca="false">IF(Q355="","",COUNTIFS($C$5:$C$600,C355,$Q$5:$Q$600,"&gt;"&amp;Q355)+1)</f>
        <v>89</v>
      </c>
      <c r="T355" s="37" t="str">
        <f aca="false">IF(Q355="","",IF(Q355&gt;=Cutoff,"Yes","No"))</f>
        <v>No</v>
      </c>
      <c r="U355" s="49" t="n">
        <f aca="false">IF(T355="Yes",MIN(F355,INDEX(Settings!$G:$G,MATCH(C355,Settings!$E:$E,0))),0)</f>
        <v>0</v>
      </c>
      <c r="V355" s="49" t="str">
        <f aca="false">IF(T355="Yes",SUMIFS($U$5:$U$600,$C$5:$C$600,C355,$Q$5:$Q$600,"&gt;"&amp;Q355)+U355,"")</f>
        <v/>
      </c>
      <c r="W355" s="37" t="str">
        <f aca="false">IF(T355="Yes",IF(V355&lt;=INDEX(PoolList,MATCH(C355,ProgramList,0)),"Within pool","Over pool"),"")</f>
        <v/>
      </c>
      <c r="X355" s="37" t="str">
        <f aca="false">IF(O355="Yes",COUNTIF($O$5:O355,"Yes"),"")</f>
        <v/>
      </c>
    </row>
    <row r="356" customFormat="false" ht="15" hidden="false" customHeight="false" outlineLevel="0" collapsed="false">
      <c r="A356" s="35" t="s">
        <v>895</v>
      </c>
      <c r="B356" s="35" t="s">
        <v>896</v>
      </c>
      <c r="C356" s="35" t="s">
        <v>105</v>
      </c>
      <c r="D356" s="35" t="s">
        <v>239</v>
      </c>
      <c r="E356" s="35" t="s">
        <v>255</v>
      </c>
      <c r="F356" s="42" t="n">
        <v>214500</v>
      </c>
      <c r="G356" s="36" t="n">
        <v>45923</v>
      </c>
      <c r="H356" s="35" t="s">
        <v>54</v>
      </c>
      <c r="I356" s="35" t="s">
        <v>78</v>
      </c>
      <c r="J356" s="35" t="s">
        <v>82</v>
      </c>
      <c r="K356" s="35"/>
      <c r="L356" s="48" t="n">
        <f aca="false">IFERROR(AVERAGEIFS('Score Entry'!$M$5:$M$1276,'Score Entry'!$B$5:$B$1276,A356,'Score Entry'!$E$5:$E$1276,"Primary"),"")</f>
        <v>77</v>
      </c>
      <c r="M356" s="48" t="n">
        <f aca="false">IFERROR(AVERAGEIFS('Score Entry'!$M$5:$M$1276,'Score Entry'!$B$5:$B$1276,A356,'Score Entry'!$E$5:$E$1276,"Secondary"),"")</f>
        <v>91</v>
      </c>
      <c r="N356" s="48" t="n">
        <f aca="false">IF(COUNT(L356:M356)=2,ABS(L356-M356),"")</f>
        <v>14</v>
      </c>
      <c r="O356" s="37" t="str">
        <f aca="false">IF(N356="","",IF(N356&gt;=Threshold,"Yes","No"))</f>
        <v>No</v>
      </c>
      <c r="P356" s="48" t="str">
        <f aca="false">IFERROR(AVERAGEIFS('Score Entry'!$M$5:$M$1276,'Score Entry'!$B$5:$B$1276,A356,'Score Entry'!$E$5:$E$1276,"Third"),"")</f>
        <v/>
      </c>
      <c r="Q356" s="48" t="n">
        <f aca="false">IF(H356&lt;&gt;"Eligible","",IF(O356="Yes",IF(ISNUMBER(P356),ROUND(AVERAGE(L356,M356,P356),1),""),IF(O356="No",ROUND(AVERAGE(L356:M356),1),"")))</f>
        <v>84</v>
      </c>
      <c r="R356" s="37" t="str">
        <f aca="false">IF(H356&lt;&gt;"Eligible","Screened out",IF(COUNT(L356:M356)=0,"Not started",IF(COUNT(L356:M356)=1,"One read done",IF(O356="Yes",IF(ISNUMBER(P356),"Complete","Needs third read"),"Complete"))))</f>
        <v>Complete</v>
      </c>
      <c r="S356" s="37" t="n">
        <f aca="false">IF(Q356="","",COUNTIFS($C$5:$C$600,C356,$Q$5:$Q$600,"&gt;"&amp;Q356)+1)</f>
        <v>12</v>
      </c>
      <c r="T356" s="37" t="str">
        <f aca="false">IF(Q356="","",IF(Q356&gt;=Cutoff,"Yes","No"))</f>
        <v>No</v>
      </c>
      <c r="U356" s="49" t="n">
        <f aca="false">IF(T356="Yes",MIN(F356,INDEX(Settings!$G:$G,MATCH(C356,Settings!$E:$E,0))),0)</f>
        <v>0</v>
      </c>
      <c r="V356" s="49" t="str">
        <f aca="false">IF(T356="Yes",SUMIFS($U$5:$U$600,$C$5:$C$600,C356,$Q$5:$Q$600,"&gt;"&amp;Q356)+U356,"")</f>
        <v/>
      </c>
      <c r="W356" s="37" t="str">
        <f aca="false">IF(T356="Yes",IF(V356&lt;=INDEX(PoolList,MATCH(C356,ProgramList,0)),"Within pool","Over pool"),"")</f>
        <v/>
      </c>
      <c r="X356" s="37" t="str">
        <f aca="false">IF(O356="Yes",COUNTIF($O$5:O356,"Yes"),"")</f>
        <v/>
      </c>
    </row>
    <row r="357" customFormat="false" ht="15" hidden="false" customHeight="false" outlineLevel="0" collapsed="false">
      <c r="A357" s="35" t="s">
        <v>897</v>
      </c>
      <c r="B357" s="35" t="s">
        <v>898</v>
      </c>
      <c r="C357" s="35" t="s">
        <v>103</v>
      </c>
      <c r="D357" s="35" t="s">
        <v>174</v>
      </c>
      <c r="E357" s="35" t="s">
        <v>232</v>
      </c>
      <c r="F357" s="42" t="n">
        <v>80500</v>
      </c>
      <c r="G357" s="36" t="n">
        <v>45915</v>
      </c>
      <c r="H357" s="35" t="s">
        <v>54</v>
      </c>
      <c r="I357" s="35" t="s">
        <v>88</v>
      </c>
      <c r="J357" s="35" t="s">
        <v>91</v>
      </c>
      <c r="K357" s="35"/>
      <c r="L357" s="48" t="n">
        <f aca="false">IFERROR(AVERAGEIFS('Score Entry'!$M$5:$M$1276,'Score Entry'!$B$5:$B$1276,A357,'Score Entry'!$E$5:$E$1276,"Primary"),"")</f>
        <v>94</v>
      </c>
      <c r="M357" s="48" t="n">
        <f aca="false">IFERROR(AVERAGEIFS('Score Entry'!$M$5:$M$1276,'Score Entry'!$B$5:$B$1276,A357,'Score Entry'!$E$5:$E$1276,"Secondary"),"")</f>
        <v>95</v>
      </c>
      <c r="N357" s="48" t="n">
        <f aca="false">IF(COUNT(L357:M357)=2,ABS(L357-M357),"")</f>
        <v>1</v>
      </c>
      <c r="O357" s="37" t="str">
        <f aca="false">IF(N357="","",IF(N357&gt;=Threshold,"Yes","No"))</f>
        <v>No</v>
      </c>
      <c r="P357" s="48" t="str">
        <f aca="false">IFERROR(AVERAGEIFS('Score Entry'!$M$5:$M$1276,'Score Entry'!$B$5:$B$1276,A357,'Score Entry'!$E$5:$E$1276,"Third"),"")</f>
        <v/>
      </c>
      <c r="Q357" s="48" t="n">
        <f aca="false">IF(H357&lt;&gt;"Eligible","",IF(O357="Yes",IF(ISNUMBER(P357),ROUND(AVERAGE(L357,M357,P357),1),""),IF(O357="No",ROUND(AVERAGE(L357:M357),1),"")))</f>
        <v>94.5</v>
      </c>
      <c r="R357" s="37" t="str">
        <f aca="false">IF(H357&lt;&gt;"Eligible","Screened out",IF(COUNT(L357:M357)=0,"Not started",IF(COUNT(L357:M357)=1,"One read done",IF(O357="Yes",IF(ISNUMBER(P357),"Complete","Needs third read"),"Complete"))))</f>
        <v>Complete</v>
      </c>
      <c r="S357" s="37" t="n">
        <f aca="false">IF(Q357="","",COUNTIFS($C$5:$C$600,C357,$Q$5:$Q$600,"&gt;"&amp;Q357)+1)</f>
        <v>4</v>
      </c>
      <c r="T357" s="37" t="str">
        <f aca="false">IF(Q357="","",IF(Q357&gt;=Cutoff,"Yes","No"))</f>
        <v>Yes</v>
      </c>
      <c r="U357" s="49" t="n">
        <f aca="false">IF(T357="Yes",MIN(F357,INDEX(Settings!$G:$G,MATCH(C357,Settings!$E:$E,0))),0)</f>
        <v>80500</v>
      </c>
      <c r="V357" s="49" t="n">
        <f aca="false">IF(T357="Yes",SUMIFS($U$5:$U$600,$C$5:$C$600,C357,$Q$5:$Q$600,"&gt;"&amp;Q357)+U357,"")</f>
        <v>392500</v>
      </c>
      <c r="W357" s="37" t="str">
        <f aca="false">IF(T357="Yes",IF(V357&lt;=INDEX(PoolList,MATCH(C357,ProgramList,0)),"Within pool","Over pool"),"")</f>
        <v>Within pool</v>
      </c>
      <c r="X357" s="37" t="str">
        <f aca="false">IF(O357="Yes",COUNTIF($O$5:O357,"Yes"),"")</f>
        <v/>
      </c>
    </row>
    <row r="358" customFormat="false" ht="15" hidden="false" customHeight="false" outlineLevel="0" collapsed="false">
      <c r="A358" s="35" t="s">
        <v>899</v>
      </c>
      <c r="B358" s="35" t="s">
        <v>900</v>
      </c>
      <c r="C358" s="35" t="s">
        <v>103</v>
      </c>
      <c r="D358" s="35" t="s">
        <v>180</v>
      </c>
      <c r="E358" s="35" t="s">
        <v>252</v>
      </c>
      <c r="F358" s="42" t="n">
        <v>164000</v>
      </c>
      <c r="G358" s="36" t="n">
        <v>45910</v>
      </c>
      <c r="H358" s="35" t="s">
        <v>96</v>
      </c>
      <c r="I358" s="35"/>
      <c r="J358" s="35"/>
      <c r="K358" s="35"/>
      <c r="L358" s="48" t="str">
        <f aca="false">IFERROR(AVERAGEIFS('Score Entry'!$M$5:$M$1276,'Score Entry'!$B$5:$B$1276,A358,'Score Entry'!$E$5:$E$1276,"Primary"),"")</f>
        <v/>
      </c>
      <c r="M358" s="48" t="str">
        <f aca="false">IFERROR(AVERAGEIFS('Score Entry'!$M$5:$M$1276,'Score Entry'!$B$5:$B$1276,A358,'Score Entry'!$E$5:$E$1276,"Secondary"),"")</f>
        <v/>
      </c>
      <c r="N358" s="48" t="str">
        <f aca="false">IF(COUNT(L358:M358)=2,ABS(L358-M358),"")</f>
        <v/>
      </c>
      <c r="O358" s="37" t="str">
        <f aca="false">IF(N358="","",IF(N358&gt;=Threshold,"Yes","No"))</f>
        <v/>
      </c>
      <c r="P358" s="48" t="str">
        <f aca="false">IFERROR(AVERAGEIFS('Score Entry'!$M$5:$M$1276,'Score Entry'!$B$5:$B$1276,A358,'Score Entry'!$E$5:$E$1276,"Third"),"")</f>
        <v/>
      </c>
      <c r="Q358" s="48" t="str">
        <f aca="false">IF(H358&lt;&gt;"Eligible","",IF(O358="Yes",IF(ISNUMBER(P358),ROUND(AVERAGE(L358,M358,P358),1),""),IF(O358="No",ROUND(AVERAGE(L358:M358),1),"")))</f>
        <v/>
      </c>
      <c r="R358" s="37" t="str">
        <f aca="false">IF(H358&lt;&gt;"Eligible","Screened out",IF(COUNT(L358:M358)=0,"Not started",IF(COUNT(L358:M358)=1,"One read done",IF(O358="Yes",IF(ISNUMBER(P358),"Complete","Needs third read"),"Complete"))))</f>
        <v>Screened out</v>
      </c>
      <c r="S358" s="37" t="str">
        <f aca="false">IF(Q358="","",COUNTIFS($C$5:$C$600,C358,$Q$5:$Q$600,"&gt;"&amp;Q358)+1)</f>
        <v/>
      </c>
      <c r="T358" s="37" t="str">
        <f aca="false">IF(Q358="","",IF(Q358&gt;=Cutoff,"Yes","No"))</f>
        <v/>
      </c>
      <c r="U358" s="49" t="n">
        <f aca="false">IF(T358="Yes",MIN(F358,INDEX(Settings!$G:$G,MATCH(C358,Settings!$E:$E,0))),0)</f>
        <v>0</v>
      </c>
      <c r="V358" s="49" t="str">
        <f aca="false">IF(T358="Yes",SUMIFS($U$5:$U$600,$C$5:$C$600,C358,$Q$5:$Q$600,"&gt;"&amp;Q358)+U358,"")</f>
        <v/>
      </c>
      <c r="W358" s="37" t="str">
        <f aca="false">IF(T358="Yes",IF(V358&lt;=INDEX(PoolList,MATCH(C358,ProgramList,0)),"Within pool","Over pool"),"")</f>
        <v/>
      </c>
      <c r="X358" s="37" t="str">
        <f aca="false">IF(O358="Yes",COUNTIF($O$5:O358,"Yes"),"")</f>
        <v/>
      </c>
    </row>
    <row r="359" customFormat="false" ht="15" hidden="false" customHeight="false" outlineLevel="0" collapsed="false">
      <c r="A359" s="35" t="s">
        <v>901</v>
      </c>
      <c r="B359" s="35" t="s">
        <v>902</v>
      </c>
      <c r="C359" s="35" t="s">
        <v>103</v>
      </c>
      <c r="D359" s="35" t="s">
        <v>174</v>
      </c>
      <c r="E359" s="35" t="s">
        <v>175</v>
      </c>
      <c r="F359" s="42" t="n">
        <v>81500</v>
      </c>
      <c r="G359" s="36" t="n">
        <v>45923</v>
      </c>
      <c r="H359" s="35" t="s">
        <v>54</v>
      </c>
      <c r="I359" s="35" t="s">
        <v>85</v>
      </c>
      <c r="J359" s="35" t="s">
        <v>94</v>
      </c>
      <c r="K359" s="35"/>
      <c r="L359" s="48" t="n">
        <f aca="false">IFERROR(AVERAGEIFS('Score Entry'!$M$5:$M$1276,'Score Entry'!$B$5:$B$1276,A359,'Score Entry'!$E$5:$E$1276,"Primary"),"")</f>
        <v>81</v>
      </c>
      <c r="M359" s="48" t="n">
        <f aca="false">IFERROR(AVERAGEIFS('Score Entry'!$M$5:$M$1276,'Score Entry'!$B$5:$B$1276,A359,'Score Entry'!$E$5:$E$1276,"Secondary"),"")</f>
        <v>80</v>
      </c>
      <c r="N359" s="48" t="n">
        <f aca="false">IF(COUNT(L359:M359)=2,ABS(L359-M359),"")</f>
        <v>1</v>
      </c>
      <c r="O359" s="37" t="str">
        <f aca="false">IF(N359="","",IF(N359&gt;=Threshold,"Yes","No"))</f>
        <v>No</v>
      </c>
      <c r="P359" s="48" t="str">
        <f aca="false">IFERROR(AVERAGEIFS('Score Entry'!$M$5:$M$1276,'Score Entry'!$B$5:$B$1276,A359,'Score Entry'!$E$5:$E$1276,"Third"),"")</f>
        <v/>
      </c>
      <c r="Q359" s="48" t="n">
        <f aca="false">IF(H359&lt;&gt;"Eligible","",IF(O359="Yes",IF(ISNUMBER(P359),ROUND(AVERAGE(L359,M359,P359),1),""),IF(O359="No",ROUND(AVERAGE(L359:M359),1),"")))</f>
        <v>80.5</v>
      </c>
      <c r="R359" s="37" t="str">
        <f aca="false">IF(H359&lt;&gt;"Eligible","Screened out",IF(COUNT(L359:M359)=0,"Not started",IF(COUNT(L359:M359)=1,"One read done",IF(O359="Yes",IF(ISNUMBER(P359),"Complete","Needs third read"),"Complete"))))</f>
        <v>Complete</v>
      </c>
      <c r="S359" s="37" t="n">
        <f aca="false">IF(Q359="","",COUNTIFS($C$5:$C$600,C359,$Q$5:$Q$600,"&gt;"&amp;Q359)+1)</f>
        <v>20</v>
      </c>
      <c r="T359" s="37" t="str">
        <f aca="false">IF(Q359="","",IF(Q359&gt;=Cutoff,"Yes","No"))</f>
        <v>No</v>
      </c>
      <c r="U359" s="49" t="n">
        <f aca="false">IF(T359="Yes",MIN(F359,INDEX(Settings!$G:$G,MATCH(C359,Settings!$E:$E,0))),0)</f>
        <v>0</v>
      </c>
      <c r="V359" s="49" t="str">
        <f aca="false">IF(T359="Yes",SUMIFS($U$5:$U$600,$C$5:$C$600,C359,$Q$5:$Q$600,"&gt;"&amp;Q359)+U359,"")</f>
        <v/>
      </c>
      <c r="W359" s="37" t="str">
        <f aca="false">IF(T359="Yes",IF(V359&lt;=INDEX(PoolList,MATCH(C359,ProgramList,0)),"Within pool","Over pool"),"")</f>
        <v/>
      </c>
      <c r="X359" s="37" t="str">
        <f aca="false">IF(O359="Yes",COUNTIF($O$5:O359,"Yes"),"")</f>
        <v/>
      </c>
    </row>
    <row r="360" customFormat="false" ht="15" hidden="false" customHeight="false" outlineLevel="0" collapsed="false">
      <c r="A360" s="35" t="s">
        <v>903</v>
      </c>
      <c r="B360" s="35" t="s">
        <v>904</v>
      </c>
      <c r="C360" s="35" t="s">
        <v>103</v>
      </c>
      <c r="D360" s="35" t="s">
        <v>221</v>
      </c>
      <c r="E360" s="35" t="s">
        <v>222</v>
      </c>
      <c r="F360" s="42" t="n">
        <v>115500</v>
      </c>
      <c r="G360" s="36" t="n">
        <v>45926</v>
      </c>
      <c r="H360" s="35" t="s">
        <v>54</v>
      </c>
      <c r="I360" s="35" t="s">
        <v>82</v>
      </c>
      <c r="J360" s="35" t="s">
        <v>88</v>
      </c>
      <c r="K360" s="35"/>
      <c r="L360" s="48" t="n">
        <f aca="false">IFERROR(AVERAGEIFS('Score Entry'!$M$5:$M$1276,'Score Entry'!$B$5:$B$1276,A360,'Score Entry'!$E$5:$E$1276,"Primary"),"")</f>
        <v>69</v>
      </c>
      <c r="M360" s="48" t="n">
        <f aca="false">IFERROR(AVERAGEIFS('Score Entry'!$M$5:$M$1276,'Score Entry'!$B$5:$B$1276,A360,'Score Entry'!$E$5:$E$1276,"Secondary"),"")</f>
        <v>56</v>
      </c>
      <c r="N360" s="48" t="n">
        <f aca="false">IF(COUNT(L360:M360)=2,ABS(L360-M360),"")</f>
        <v>13</v>
      </c>
      <c r="O360" s="37" t="str">
        <f aca="false">IF(N360="","",IF(N360&gt;=Threshold,"Yes","No"))</f>
        <v>No</v>
      </c>
      <c r="P360" s="48" t="str">
        <f aca="false">IFERROR(AVERAGEIFS('Score Entry'!$M$5:$M$1276,'Score Entry'!$B$5:$B$1276,A360,'Score Entry'!$E$5:$E$1276,"Third"),"")</f>
        <v/>
      </c>
      <c r="Q360" s="48" t="n">
        <f aca="false">IF(H360&lt;&gt;"Eligible","",IF(O360="Yes",IF(ISNUMBER(P360),ROUND(AVERAGE(L360,M360,P360),1),""),IF(O360="No",ROUND(AVERAGE(L360:M360),1),"")))</f>
        <v>62.5</v>
      </c>
      <c r="R360" s="37" t="str">
        <f aca="false">IF(H360&lt;&gt;"Eligible","Screened out",IF(COUNT(L360:M360)=0,"Not started",IF(COUNT(L360:M360)=1,"One read done",IF(O360="Yes",IF(ISNUMBER(P360),"Complete","Needs third read"),"Complete"))))</f>
        <v>Complete</v>
      </c>
      <c r="S360" s="37" t="n">
        <f aca="false">IF(Q360="","",COUNTIFS($C$5:$C$600,C360,$Q$5:$Q$600,"&gt;"&amp;Q360)+1)</f>
        <v>101</v>
      </c>
      <c r="T360" s="37" t="str">
        <f aca="false">IF(Q360="","",IF(Q360&gt;=Cutoff,"Yes","No"))</f>
        <v>No</v>
      </c>
      <c r="U360" s="49" t="n">
        <f aca="false">IF(T360="Yes",MIN(F360,INDEX(Settings!$G:$G,MATCH(C360,Settings!$E:$E,0))),0)</f>
        <v>0</v>
      </c>
      <c r="V360" s="49" t="str">
        <f aca="false">IF(T360="Yes",SUMIFS($U$5:$U$600,$C$5:$C$600,C360,$Q$5:$Q$600,"&gt;"&amp;Q360)+U360,"")</f>
        <v/>
      </c>
      <c r="W360" s="37" t="str">
        <f aca="false">IF(T360="Yes",IF(V360&lt;=INDEX(PoolList,MATCH(C360,ProgramList,0)),"Within pool","Over pool"),"")</f>
        <v/>
      </c>
      <c r="X360" s="37" t="str">
        <f aca="false">IF(O360="Yes",COUNTIF($O$5:O360,"Yes"),"")</f>
        <v/>
      </c>
    </row>
    <row r="361" customFormat="false" ht="15" hidden="false" customHeight="false" outlineLevel="0" collapsed="false">
      <c r="A361" s="35" t="s">
        <v>905</v>
      </c>
      <c r="B361" s="35" t="s">
        <v>906</v>
      </c>
      <c r="C361" s="35" t="s">
        <v>104</v>
      </c>
      <c r="D361" s="35" t="s">
        <v>180</v>
      </c>
      <c r="E361" s="35" t="s">
        <v>181</v>
      </c>
      <c r="F361" s="42" t="n">
        <v>70000</v>
      </c>
      <c r="G361" s="36" t="n">
        <v>45925</v>
      </c>
      <c r="H361" s="35" t="s">
        <v>54</v>
      </c>
      <c r="I361" s="35" t="s">
        <v>85</v>
      </c>
      <c r="J361" s="35" t="s">
        <v>91</v>
      </c>
      <c r="K361" s="35"/>
      <c r="L361" s="48" t="n">
        <f aca="false">IFERROR(AVERAGEIFS('Score Entry'!$M$5:$M$1276,'Score Entry'!$B$5:$B$1276,A361,'Score Entry'!$E$5:$E$1276,"Primary"),"")</f>
        <v>93</v>
      </c>
      <c r="M361" s="48" t="n">
        <f aca="false">IFERROR(AVERAGEIFS('Score Entry'!$M$5:$M$1276,'Score Entry'!$B$5:$B$1276,A361,'Score Entry'!$E$5:$E$1276,"Secondary"),"")</f>
        <v>97</v>
      </c>
      <c r="N361" s="48" t="n">
        <f aca="false">IF(COUNT(L361:M361)=2,ABS(L361-M361),"")</f>
        <v>4</v>
      </c>
      <c r="O361" s="37" t="str">
        <f aca="false">IF(N361="","",IF(N361&gt;=Threshold,"Yes","No"))</f>
        <v>No</v>
      </c>
      <c r="P361" s="48" t="str">
        <f aca="false">IFERROR(AVERAGEIFS('Score Entry'!$M$5:$M$1276,'Score Entry'!$B$5:$B$1276,A361,'Score Entry'!$E$5:$E$1276,"Third"),"")</f>
        <v/>
      </c>
      <c r="Q361" s="48" t="n">
        <f aca="false">IF(H361&lt;&gt;"Eligible","",IF(O361="Yes",IF(ISNUMBER(P361),ROUND(AVERAGE(L361,M361,P361),1),""),IF(O361="No",ROUND(AVERAGE(L361:M361),1),"")))</f>
        <v>95</v>
      </c>
      <c r="R361" s="37" t="str">
        <f aca="false">IF(H361&lt;&gt;"Eligible","Screened out",IF(COUNT(L361:M361)=0,"Not started",IF(COUNT(L361:M361)=1,"One read done",IF(O361="Yes",IF(ISNUMBER(P361),"Complete","Needs third read"),"Complete"))))</f>
        <v>Complete</v>
      </c>
      <c r="S361" s="37" t="n">
        <f aca="false">IF(Q361="","",COUNTIFS($C$5:$C$600,C361,$Q$5:$Q$600,"&gt;"&amp;Q361)+1)</f>
        <v>2</v>
      </c>
      <c r="T361" s="37" t="str">
        <f aca="false">IF(Q361="","",IF(Q361&gt;=Cutoff,"Yes","No"))</f>
        <v>Yes</v>
      </c>
      <c r="U361" s="49" t="n">
        <f aca="false">IF(T361="Yes",MIN(F361,INDEX(Settings!$G:$G,MATCH(C361,Settings!$E:$E,0))),0)</f>
        <v>70000</v>
      </c>
      <c r="V361" s="49" t="n">
        <f aca="false">IF(T361="Yes",SUMIFS($U$5:$U$600,$C$5:$C$600,C361,$Q$5:$Q$600,"&gt;"&amp;Q361)+U361,"")</f>
        <v>112000</v>
      </c>
      <c r="W361" s="37" t="str">
        <f aca="false">IF(T361="Yes",IF(V361&lt;=INDEX(PoolList,MATCH(C361,ProgramList,0)),"Within pool","Over pool"),"")</f>
        <v>Within pool</v>
      </c>
      <c r="X361" s="37" t="str">
        <f aca="false">IF(O361="Yes",COUNTIF($O$5:O361,"Yes"),"")</f>
        <v/>
      </c>
    </row>
    <row r="362" customFormat="false" ht="15" hidden="false" customHeight="false" outlineLevel="0" collapsed="false">
      <c r="A362" s="35" t="s">
        <v>907</v>
      </c>
      <c r="B362" s="35" t="s">
        <v>908</v>
      </c>
      <c r="C362" s="35" t="s">
        <v>104</v>
      </c>
      <c r="D362" s="35" t="s">
        <v>174</v>
      </c>
      <c r="E362" s="35" t="s">
        <v>175</v>
      </c>
      <c r="F362" s="42" t="n">
        <v>83000</v>
      </c>
      <c r="G362" s="36" t="n">
        <v>45917</v>
      </c>
      <c r="H362" s="35" t="s">
        <v>54</v>
      </c>
      <c r="I362" s="35" t="s">
        <v>78</v>
      </c>
      <c r="J362" s="35" t="s">
        <v>82</v>
      </c>
      <c r="K362" s="35"/>
      <c r="L362" s="48" t="n">
        <f aca="false">IFERROR(AVERAGEIFS('Score Entry'!$M$5:$M$1276,'Score Entry'!$B$5:$B$1276,A362,'Score Entry'!$E$5:$E$1276,"Primary"),"")</f>
        <v>82</v>
      </c>
      <c r="M362" s="48" t="n">
        <f aca="false">IFERROR(AVERAGEIFS('Score Entry'!$M$5:$M$1276,'Score Entry'!$B$5:$B$1276,A362,'Score Entry'!$E$5:$E$1276,"Secondary"),"")</f>
        <v>82</v>
      </c>
      <c r="N362" s="48" t="n">
        <f aca="false">IF(COUNT(L362:M362)=2,ABS(L362-M362),"")</f>
        <v>0</v>
      </c>
      <c r="O362" s="37" t="str">
        <f aca="false">IF(N362="","",IF(N362&gt;=Threshold,"Yes","No"))</f>
        <v>No</v>
      </c>
      <c r="P362" s="48" t="str">
        <f aca="false">IFERROR(AVERAGEIFS('Score Entry'!$M$5:$M$1276,'Score Entry'!$B$5:$B$1276,A362,'Score Entry'!$E$5:$E$1276,"Third"),"")</f>
        <v/>
      </c>
      <c r="Q362" s="48" t="n">
        <f aca="false">IF(H362&lt;&gt;"Eligible","",IF(O362="Yes",IF(ISNUMBER(P362),ROUND(AVERAGE(L362,M362,P362),1),""),IF(O362="No",ROUND(AVERAGE(L362:M362),1),"")))</f>
        <v>82</v>
      </c>
      <c r="R362" s="37" t="str">
        <f aca="false">IF(H362&lt;&gt;"Eligible","Screened out",IF(COUNT(L362:M362)=0,"Not started",IF(COUNT(L362:M362)=1,"One read done",IF(O362="Yes",IF(ISNUMBER(P362),"Complete","Needs third read"),"Complete"))))</f>
        <v>Complete</v>
      </c>
      <c r="S362" s="37" t="n">
        <f aca="false">IF(Q362="","",COUNTIFS($C$5:$C$600,C362,$Q$5:$Q$600,"&gt;"&amp;Q362)+1)</f>
        <v>18</v>
      </c>
      <c r="T362" s="37" t="str">
        <f aca="false">IF(Q362="","",IF(Q362&gt;=Cutoff,"Yes","No"))</f>
        <v>No</v>
      </c>
      <c r="U362" s="49" t="n">
        <f aca="false">IF(T362="Yes",MIN(F362,INDEX(Settings!$G:$G,MATCH(C362,Settings!$E:$E,0))),0)</f>
        <v>0</v>
      </c>
      <c r="V362" s="49" t="str">
        <f aca="false">IF(T362="Yes",SUMIFS($U$5:$U$600,$C$5:$C$600,C362,$Q$5:$Q$600,"&gt;"&amp;Q362)+U362,"")</f>
        <v/>
      </c>
      <c r="W362" s="37" t="str">
        <f aca="false">IF(T362="Yes",IF(V362&lt;=INDEX(PoolList,MATCH(C362,ProgramList,0)),"Within pool","Over pool"),"")</f>
        <v/>
      </c>
      <c r="X362" s="37" t="str">
        <f aca="false">IF(O362="Yes",COUNTIF($O$5:O362,"Yes"),"")</f>
        <v/>
      </c>
    </row>
    <row r="363" customFormat="false" ht="15" hidden="false" customHeight="false" outlineLevel="0" collapsed="false">
      <c r="A363" s="35" t="s">
        <v>909</v>
      </c>
      <c r="B363" s="35" t="s">
        <v>910</v>
      </c>
      <c r="C363" s="35" t="s">
        <v>104</v>
      </c>
      <c r="D363" s="35" t="s">
        <v>174</v>
      </c>
      <c r="E363" s="35" t="s">
        <v>175</v>
      </c>
      <c r="F363" s="42" t="n">
        <v>30000</v>
      </c>
      <c r="G363" s="36" t="n">
        <v>45914</v>
      </c>
      <c r="H363" s="35" t="s">
        <v>54</v>
      </c>
      <c r="I363" s="35" t="s">
        <v>91</v>
      </c>
      <c r="J363" s="35" t="s">
        <v>94</v>
      </c>
      <c r="K363" s="35"/>
      <c r="L363" s="48" t="str">
        <f aca="false">IFERROR(AVERAGEIFS('Score Entry'!$M$5:$M$1276,'Score Entry'!$B$5:$B$1276,A363,'Score Entry'!$E$5:$E$1276,"Primary"),"")</f>
        <v/>
      </c>
      <c r="M363" s="48" t="n">
        <f aca="false">IFERROR(AVERAGEIFS('Score Entry'!$M$5:$M$1276,'Score Entry'!$B$5:$B$1276,A363,'Score Entry'!$E$5:$E$1276,"Secondary"),"")</f>
        <v>66</v>
      </c>
      <c r="N363" s="48" t="str">
        <f aca="false">IF(COUNT(L363:M363)=2,ABS(L363-M363),"")</f>
        <v/>
      </c>
      <c r="O363" s="37" t="str">
        <f aca="false">IF(N363="","",IF(N363&gt;=Threshold,"Yes","No"))</f>
        <v/>
      </c>
      <c r="P363" s="48" t="str">
        <f aca="false">IFERROR(AVERAGEIFS('Score Entry'!$M$5:$M$1276,'Score Entry'!$B$5:$B$1276,A363,'Score Entry'!$E$5:$E$1276,"Third"),"")</f>
        <v/>
      </c>
      <c r="Q363" s="48" t="str">
        <f aca="false">IF(H363&lt;&gt;"Eligible","",IF(O363="Yes",IF(ISNUMBER(P363),ROUND(AVERAGE(L363,M363,P363),1),""),IF(O363="No",ROUND(AVERAGE(L363:M363),1),"")))</f>
        <v/>
      </c>
      <c r="R363" s="37" t="str">
        <f aca="false">IF(H363&lt;&gt;"Eligible","Screened out",IF(COUNT(L363:M363)=0,"Not started",IF(COUNT(L363:M363)=1,"One read done",IF(O363="Yes",IF(ISNUMBER(P363),"Complete","Needs third read"),"Complete"))))</f>
        <v>One read done</v>
      </c>
      <c r="S363" s="37" t="str">
        <f aca="false">IF(Q363="","",COUNTIFS($C$5:$C$600,C363,$Q$5:$Q$600,"&gt;"&amp;Q363)+1)</f>
        <v/>
      </c>
      <c r="T363" s="37" t="str">
        <f aca="false">IF(Q363="","",IF(Q363&gt;=Cutoff,"Yes","No"))</f>
        <v/>
      </c>
      <c r="U363" s="49" t="n">
        <f aca="false">IF(T363="Yes",MIN(F363,INDEX(Settings!$G:$G,MATCH(C363,Settings!$E:$E,0))),0)</f>
        <v>0</v>
      </c>
      <c r="V363" s="49" t="str">
        <f aca="false">IF(T363="Yes",SUMIFS($U$5:$U$600,$C$5:$C$600,C363,$Q$5:$Q$600,"&gt;"&amp;Q363)+U363,"")</f>
        <v/>
      </c>
      <c r="W363" s="37" t="str">
        <f aca="false">IF(T363="Yes",IF(V363&lt;=INDEX(PoolList,MATCH(C363,ProgramList,0)),"Within pool","Over pool"),"")</f>
        <v/>
      </c>
      <c r="X363" s="37" t="str">
        <f aca="false">IF(O363="Yes",COUNTIF($O$5:O363,"Yes"),"")</f>
        <v/>
      </c>
    </row>
    <row r="364" customFormat="false" ht="15" hidden="false" customHeight="false" outlineLevel="0" collapsed="false">
      <c r="A364" s="35" t="s">
        <v>911</v>
      </c>
      <c r="B364" s="35" t="s">
        <v>912</v>
      </c>
      <c r="C364" s="35" t="s">
        <v>105</v>
      </c>
      <c r="D364" s="35" t="s">
        <v>239</v>
      </c>
      <c r="E364" s="35" t="s">
        <v>247</v>
      </c>
      <c r="F364" s="42" t="n">
        <v>50000</v>
      </c>
      <c r="G364" s="36" t="n">
        <v>45913</v>
      </c>
      <c r="H364" s="35" t="s">
        <v>54</v>
      </c>
      <c r="I364" s="35" t="s">
        <v>78</v>
      </c>
      <c r="J364" s="35" t="s">
        <v>85</v>
      </c>
      <c r="K364" s="35"/>
      <c r="L364" s="48" t="n">
        <f aca="false">IFERROR(AVERAGEIFS('Score Entry'!$M$5:$M$1276,'Score Entry'!$B$5:$B$1276,A364,'Score Entry'!$E$5:$E$1276,"Primary"),"")</f>
        <v>65</v>
      </c>
      <c r="M364" s="48" t="n">
        <f aca="false">IFERROR(AVERAGEIFS('Score Entry'!$M$5:$M$1276,'Score Entry'!$B$5:$B$1276,A364,'Score Entry'!$E$5:$E$1276,"Secondary"),"")</f>
        <v>56</v>
      </c>
      <c r="N364" s="48" t="n">
        <f aca="false">IF(COUNT(L364:M364)=2,ABS(L364-M364),"")</f>
        <v>9</v>
      </c>
      <c r="O364" s="37" t="str">
        <f aca="false">IF(N364="","",IF(N364&gt;=Threshold,"Yes","No"))</f>
        <v>No</v>
      </c>
      <c r="P364" s="48" t="str">
        <f aca="false">IFERROR(AVERAGEIFS('Score Entry'!$M$5:$M$1276,'Score Entry'!$B$5:$B$1276,A364,'Score Entry'!$E$5:$E$1276,"Third"),"")</f>
        <v/>
      </c>
      <c r="Q364" s="48" t="n">
        <f aca="false">IF(H364&lt;&gt;"Eligible","",IF(O364="Yes",IF(ISNUMBER(P364),ROUND(AVERAGE(L364,M364,P364),1),""),IF(O364="No",ROUND(AVERAGE(L364:M364),1),"")))</f>
        <v>60.5</v>
      </c>
      <c r="R364" s="37" t="str">
        <f aca="false">IF(H364&lt;&gt;"Eligible","Screened out",IF(COUNT(L364:M364)=0,"Not started",IF(COUNT(L364:M364)=1,"One read done",IF(O364="Yes",IF(ISNUMBER(P364),"Complete","Needs third read"),"Complete"))))</f>
        <v>Complete</v>
      </c>
      <c r="S364" s="37" t="n">
        <f aca="false">IF(Q364="","",COUNTIFS($C$5:$C$600,C364,$Q$5:$Q$600,"&gt;"&amp;Q364)+1)</f>
        <v>69</v>
      </c>
      <c r="T364" s="37" t="str">
        <f aca="false">IF(Q364="","",IF(Q364&gt;=Cutoff,"Yes","No"))</f>
        <v>No</v>
      </c>
      <c r="U364" s="49" t="n">
        <f aca="false">IF(T364="Yes",MIN(F364,INDEX(Settings!$G:$G,MATCH(C364,Settings!$E:$E,0))),0)</f>
        <v>0</v>
      </c>
      <c r="V364" s="49" t="str">
        <f aca="false">IF(T364="Yes",SUMIFS($U$5:$U$600,$C$5:$C$600,C364,$Q$5:$Q$600,"&gt;"&amp;Q364)+U364,"")</f>
        <v/>
      </c>
      <c r="W364" s="37" t="str">
        <f aca="false">IF(T364="Yes",IF(V364&lt;=INDEX(PoolList,MATCH(C364,ProgramList,0)),"Within pool","Over pool"),"")</f>
        <v/>
      </c>
      <c r="X364" s="37" t="str">
        <f aca="false">IF(O364="Yes",COUNTIF($O$5:O364,"Yes"),"")</f>
        <v/>
      </c>
    </row>
    <row r="365" customFormat="false" ht="15" hidden="false" customHeight="false" outlineLevel="0" collapsed="false">
      <c r="A365" s="35" t="s">
        <v>913</v>
      </c>
      <c r="B365" s="35" t="s">
        <v>914</v>
      </c>
      <c r="C365" s="35" t="s">
        <v>104</v>
      </c>
      <c r="D365" s="35" t="s">
        <v>174</v>
      </c>
      <c r="E365" s="35" t="s">
        <v>175</v>
      </c>
      <c r="F365" s="42" t="n">
        <v>108000</v>
      </c>
      <c r="G365" s="36" t="n">
        <v>45921</v>
      </c>
      <c r="H365" s="35" t="s">
        <v>54</v>
      </c>
      <c r="I365" s="35" t="s">
        <v>88</v>
      </c>
      <c r="J365" s="35" t="s">
        <v>85</v>
      </c>
      <c r="K365" s="35"/>
      <c r="L365" s="48" t="n">
        <f aca="false">IFERROR(AVERAGEIFS('Score Entry'!$M$5:$M$1276,'Score Entry'!$B$5:$B$1276,A365,'Score Entry'!$E$5:$E$1276,"Primary"),"")</f>
        <v>68</v>
      </c>
      <c r="M365" s="48" t="n">
        <f aca="false">IFERROR(AVERAGEIFS('Score Entry'!$M$5:$M$1276,'Score Entry'!$B$5:$B$1276,A365,'Score Entry'!$E$5:$E$1276,"Secondary"),"")</f>
        <v>66</v>
      </c>
      <c r="N365" s="48" t="n">
        <f aca="false">IF(COUNT(L365:M365)=2,ABS(L365-M365),"")</f>
        <v>2</v>
      </c>
      <c r="O365" s="37" t="str">
        <f aca="false">IF(N365="","",IF(N365&gt;=Threshold,"Yes","No"))</f>
        <v>No</v>
      </c>
      <c r="P365" s="48" t="str">
        <f aca="false">IFERROR(AVERAGEIFS('Score Entry'!$M$5:$M$1276,'Score Entry'!$B$5:$B$1276,A365,'Score Entry'!$E$5:$E$1276,"Third"),"")</f>
        <v/>
      </c>
      <c r="Q365" s="48" t="n">
        <f aca="false">IF(H365&lt;&gt;"Eligible","",IF(O365="Yes",IF(ISNUMBER(P365),ROUND(AVERAGE(L365,M365,P365),1),""),IF(O365="No",ROUND(AVERAGE(L365:M365),1),"")))</f>
        <v>67</v>
      </c>
      <c r="R365" s="37" t="str">
        <f aca="false">IF(H365&lt;&gt;"Eligible","Screened out",IF(COUNT(L365:M365)=0,"Not started",IF(COUNT(L365:M365)=1,"One read done",IF(O365="Yes",IF(ISNUMBER(P365),"Complete","Needs third read"),"Complete"))))</f>
        <v>Complete</v>
      </c>
      <c r="S365" s="37" t="n">
        <f aca="false">IF(Q365="","",COUNTIFS($C$5:$C$600,C365,$Q$5:$Q$600,"&gt;"&amp;Q365)+1)</f>
        <v>51</v>
      </c>
      <c r="T365" s="37" t="str">
        <f aca="false">IF(Q365="","",IF(Q365&gt;=Cutoff,"Yes","No"))</f>
        <v>No</v>
      </c>
      <c r="U365" s="49" t="n">
        <f aca="false">IF(T365="Yes",MIN(F365,INDEX(Settings!$G:$G,MATCH(C365,Settings!$E:$E,0))),0)</f>
        <v>0</v>
      </c>
      <c r="V365" s="49" t="str">
        <f aca="false">IF(T365="Yes",SUMIFS($U$5:$U$600,$C$5:$C$600,C365,$Q$5:$Q$600,"&gt;"&amp;Q365)+U365,"")</f>
        <v/>
      </c>
      <c r="W365" s="37" t="str">
        <f aca="false">IF(T365="Yes",IF(V365&lt;=INDEX(PoolList,MATCH(C365,ProgramList,0)),"Within pool","Over pool"),"")</f>
        <v/>
      </c>
      <c r="X365" s="37" t="str">
        <f aca="false">IF(O365="Yes",COUNTIF($O$5:O365,"Yes"),"")</f>
        <v/>
      </c>
    </row>
    <row r="366" customFormat="false" ht="15" hidden="false" customHeight="false" outlineLevel="0" collapsed="false">
      <c r="A366" s="35" t="s">
        <v>915</v>
      </c>
      <c r="B366" s="35" t="s">
        <v>916</v>
      </c>
      <c r="C366" s="35" t="s">
        <v>104</v>
      </c>
      <c r="D366" s="35" t="s">
        <v>174</v>
      </c>
      <c r="E366" s="35" t="s">
        <v>175</v>
      </c>
      <c r="F366" s="42" t="n">
        <v>37500</v>
      </c>
      <c r="G366" s="36" t="n">
        <v>45921</v>
      </c>
      <c r="H366" s="35" t="s">
        <v>96</v>
      </c>
      <c r="I366" s="35"/>
      <c r="J366" s="35"/>
      <c r="K366" s="35"/>
      <c r="L366" s="48" t="str">
        <f aca="false">IFERROR(AVERAGEIFS('Score Entry'!$M$5:$M$1276,'Score Entry'!$B$5:$B$1276,A366,'Score Entry'!$E$5:$E$1276,"Primary"),"")</f>
        <v/>
      </c>
      <c r="M366" s="48" t="str">
        <f aca="false">IFERROR(AVERAGEIFS('Score Entry'!$M$5:$M$1276,'Score Entry'!$B$5:$B$1276,A366,'Score Entry'!$E$5:$E$1276,"Secondary"),"")</f>
        <v/>
      </c>
      <c r="N366" s="48" t="str">
        <f aca="false">IF(COUNT(L366:M366)=2,ABS(L366-M366),"")</f>
        <v/>
      </c>
      <c r="O366" s="37" t="str">
        <f aca="false">IF(N366="","",IF(N366&gt;=Threshold,"Yes","No"))</f>
        <v/>
      </c>
      <c r="P366" s="48" t="str">
        <f aca="false">IFERROR(AVERAGEIFS('Score Entry'!$M$5:$M$1276,'Score Entry'!$B$5:$B$1276,A366,'Score Entry'!$E$5:$E$1276,"Third"),"")</f>
        <v/>
      </c>
      <c r="Q366" s="48" t="str">
        <f aca="false">IF(H366&lt;&gt;"Eligible","",IF(O366="Yes",IF(ISNUMBER(P366),ROUND(AVERAGE(L366,M366,P366),1),""),IF(O366="No",ROUND(AVERAGE(L366:M366),1),"")))</f>
        <v/>
      </c>
      <c r="R366" s="37" t="str">
        <f aca="false">IF(H366&lt;&gt;"Eligible","Screened out",IF(COUNT(L366:M366)=0,"Not started",IF(COUNT(L366:M366)=1,"One read done",IF(O366="Yes",IF(ISNUMBER(P366),"Complete","Needs third read"),"Complete"))))</f>
        <v>Screened out</v>
      </c>
      <c r="S366" s="37" t="str">
        <f aca="false">IF(Q366="","",COUNTIFS($C$5:$C$600,C366,$Q$5:$Q$600,"&gt;"&amp;Q366)+1)</f>
        <v/>
      </c>
      <c r="T366" s="37" t="str">
        <f aca="false">IF(Q366="","",IF(Q366&gt;=Cutoff,"Yes","No"))</f>
        <v/>
      </c>
      <c r="U366" s="49" t="n">
        <f aca="false">IF(T366="Yes",MIN(F366,INDEX(Settings!$G:$G,MATCH(C366,Settings!$E:$E,0))),0)</f>
        <v>0</v>
      </c>
      <c r="V366" s="49" t="str">
        <f aca="false">IF(T366="Yes",SUMIFS($U$5:$U$600,$C$5:$C$600,C366,$Q$5:$Q$600,"&gt;"&amp;Q366)+U366,"")</f>
        <v/>
      </c>
      <c r="W366" s="37" t="str">
        <f aca="false">IF(T366="Yes",IF(V366&lt;=INDEX(PoolList,MATCH(C366,ProgramList,0)),"Within pool","Over pool"),"")</f>
        <v/>
      </c>
      <c r="X366" s="37" t="str">
        <f aca="false">IF(O366="Yes",COUNTIF($O$5:O366,"Yes"),"")</f>
        <v/>
      </c>
    </row>
    <row r="367" customFormat="false" ht="15" hidden="false" customHeight="false" outlineLevel="0" collapsed="false">
      <c r="A367" s="35" t="s">
        <v>917</v>
      </c>
      <c r="B367" s="35" t="s">
        <v>918</v>
      </c>
      <c r="C367" s="35" t="s">
        <v>103</v>
      </c>
      <c r="D367" s="35" t="s">
        <v>239</v>
      </c>
      <c r="E367" s="35" t="s">
        <v>554</v>
      </c>
      <c r="F367" s="42" t="n">
        <v>28500</v>
      </c>
      <c r="G367" s="36" t="n">
        <v>45917</v>
      </c>
      <c r="H367" s="35" t="s">
        <v>54</v>
      </c>
      <c r="I367" s="35" t="s">
        <v>88</v>
      </c>
      <c r="J367" s="35" t="s">
        <v>91</v>
      </c>
      <c r="K367" s="35"/>
      <c r="L367" s="48" t="n">
        <f aca="false">IFERROR(AVERAGEIFS('Score Entry'!$M$5:$M$1276,'Score Entry'!$B$5:$B$1276,A367,'Score Entry'!$E$5:$E$1276,"Primary"),"")</f>
        <v>49</v>
      </c>
      <c r="M367" s="48" t="n">
        <f aca="false">IFERROR(AVERAGEIFS('Score Entry'!$M$5:$M$1276,'Score Entry'!$B$5:$B$1276,A367,'Score Entry'!$E$5:$E$1276,"Secondary"),"")</f>
        <v>56</v>
      </c>
      <c r="N367" s="48" t="n">
        <f aca="false">IF(COUNT(L367:M367)=2,ABS(L367-M367),"")</f>
        <v>7</v>
      </c>
      <c r="O367" s="37" t="str">
        <f aca="false">IF(N367="","",IF(N367&gt;=Threshold,"Yes","No"))</f>
        <v>No</v>
      </c>
      <c r="P367" s="48" t="str">
        <f aca="false">IFERROR(AVERAGEIFS('Score Entry'!$M$5:$M$1276,'Score Entry'!$B$5:$B$1276,A367,'Score Entry'!$E$5:$E$1276,"Third"),"")</f>
        <v/>
      </c>
      <c r="Q367" s="48" t="n">
        <f aca="false">IF(H367&lt;&gt;"Eligible","",IF(O367="Yes",IF(ISNUMBER(P367),ROUND(AVERAGE(L367,M367,P367),1),""),IF(O367="No",ROUND(AVERAGE(L367:M367),1),"")))</f>
        <v>52.5</v>
      </c>
      <c r="R367" s="37" t="str">
        <f aca="false">IF(H367&lt;&gt;"Eligible","Screened out",IF(COUNT(L367:M367)=0,"Not started",IF(COUNT(L367:M367)=1,"One read done",IF(O367="Yes",IF(ISNUMBER(P367),"Complete","Needs third read"),"Complete"))))</f>
        <v>Complete</v>
      </c>
      <c r="S367" s="37" t="n">
        <f aca="false">IF(Q367="","",COUNTIFS($C$5:$C$600,C367,$Q$5:$Q$600,"&gt;"&amp;Q367)+1)</f>
        <v>145</v>
      </c>
      <c r="T367" s="37" t="str">
        <f aca="false">IF(Q367="","",IF(Q367&gt;=Cutoff,"Yes","No"))</f>
        <v>No</v>
      </c>
      <c r="U367" s="49" t="n">
        <f aca="false">IF(T367="Yes",MIN(F367,INDEX(Settings!$G:$G,MATCH(C367,Settings!$E:$E,0))),0)</f>
        <v>0</v>
      </c>
      <c r="V367" s="49" t="str">
        <f aca="false">IF(T367="Yes",SUMIFS($U$5:$U$600,$C$5:$C$600,C367,$Q$5:$Q$600,"&gt;"&amp;Q367)+U367,"")</f>
        <v/>
      </c>
      <c r="W367" s="37" t="str">
        <f aca="false">IF(T367="Yes",IF(V367&lt;=INDEX(PoolList,MATCH(C367,ProgramList,0)),"Within pool","Over pool"),"")</f>
        <v/>
      </c>
      <c r="X367" s="37" t="str">
        <f aca="false">IF(O367="Yes",COUNTIF($O$5:O367,"Yes"),"")</f>
        <v/>
      </c>
    </row>
    <row r="368" customFormat="false" ht="15" hidden="false" customHeight="false" outlineLevel="0" collapsed="false">
      <c r="A368" s="35" t="s">
        <v>919</v>
      </c>
      <c r="B368" s="35" t="s">
        <v>920</v>
      </c>
      <c r="C368" s="35" t="s">
        <v>103</v>
      </c>
      <c r="D368" s="35" t="s">
        <v>180</v>
      </c>
      <c r="E368" s="35" t="s">
        <v>218</v>
      </c>
      <c r="F368" s="42" t="n">
        <v>64000</v>
      </c>
      <c r="G368" s="36" t="n">
        <v>45919</v>
      </c>
      <c r="H368" s="35" t="s">
        <v>54</v>
      </c>
      <c r="I368" s="35" t="s">
        <v>82</v>
      </c>
      <c r="J368" s="35" t="s">
        <v>78</v>
      </c>
      <c r="K368" s="35" t="s">
        <v>85</v>
      </c>
      <c r="L368" s="48" t="n">
        <f aca="false">IFERROR(AVERAGEIFS('Score Entry'!$M$5:$M$1276,'Score Entry'!$B$5:$B$1276,A368,'Score Entry'!$E$5:$E$1276,"Primary"),"")</f>
        <v>56</v>
      </c>
      <c r="M368" s="48" t="n">
        <f aca="false">IFERROR(AVERAGEIFS('Score Entry'!$M$5:$M$1276,'Score Entry'!$B$5:$B$1276,A368,'Score Entry'!$E$5:$E$1276,"Secondary"),"")</f>
        <v>20</v>
      </c>
      <c r="N368" s="48" t="n">
        <f aca="false">IF(COUNT(L368:M368)=2,ABS(L368-M368),"")</f>
        <v>36</v>
      </c>
      <c r="O368" s="37" t="str">
        <f aca="false">IF(N368="","",IF(N368&gt;=Threshold,"Yes","No"))</f>
        <v>Yes</v>
      </c>
      <c r="P368" s="48" t="n">
        <f aca="false">IFERROR(AVERAGEIFS('Score Entry'!$M$5:$M$1276,'Score Entry'!$B$5:$B$1276,A368,'Score Entry'!$E$5:$E$1276,"Third"),"")</f>
        <v>60</v>
      </c>
      <c r="Q368" s="48" t="n">
        <f aca="false">IF(H368&lt;&gt;"Eligible","",IF(O368="Yes",IF(ISNUMBER(P368),ROUND(AVERAGE(L368,M368,P368),1),""),IF(O368="No",ROUND(AVERAGE(L368:M368),1),"")))</f>
        <v>45.3</v>
      </c>
      <c r="R368" s="37" t="str">
        <f aca="false">IF(H368&lt;&gt;"Eligible","Screened out",IF(COUNT(L368:M368)=0,"Not started",IF(COUNT(L368:M368)=1,"One read done",IF(O368="Yes",IF(ISNUMBER(P368),"Complete","Needs third read"),"Complete"))))</f>
        <v>Complete</v>
      </c>
      <c r="S368" s="37" t="n">
        <f aca="false">IF(Q368="","",COUNTIFS($C$5:$C$600,C368,$Q$5:$Q$600,"&gt;"&amp;Q368)+1)</f>
        <v>156</v>
      </c>
      <c r="T368" s="37" t="str">
        <f aca="false">IF(Q368="","",IF(Q368&gt;=Cutoff,"Yes","No"))</f>
        <v>No</v>
      </c>
      <c r="U368" s="49" t="n">
        <f aca="false">IF(T368="Yes",MIN(F368,INDEX(Settings!$G:$G,MATCH(C368,Settings!$E:$E,0))),0)</f>
        <v>0</v>
      </c>
      <c r="V368" s="49" t="str">
        <f aca="false">IF(T368="Yes",SUMIFS($U$5:$U$600,$C$5:$C$600,C368,$Q$5:$Q$600,"&gt;"&amp;Q368)+U368,"")</f>
        <v/>
      </c>
      <c r="W368" s="37" t="str">
        <f aca="false">IF(T368="Yes",IF(V368&lt;=INDEX(PoolList,MATCH(C368,ProgramList,0)),"Within pool","Over pool"),"")</f>
        <v/>
      </c>
      <c r="X368" s="37" t="n">
        <f aca="false">IF(O368="Yes",COUNTIF($O$5:O368,"Yes"),"")</f>
        <v>47</v>
      </c>
    </row>
    <row r="369" customFormat="false" ht="15" hidden="false" customHeight="false" outlineLevel="0" collapsed="false">
      <c r="A369" s="35" t="s">
        <v>921</v>
      </c>
      <c r="B369" s="35" t="s">
        <v>922</v>
      </c>
      <c r="C369" s="35" t="s">
        <v>104</v>
      </c>
      <c r="D369" s="35" t="s">
        <v>239</v>
      </c>
      <c r="E369" s="35" t="s">
        <v>554</v>
      </c>
      <c r="F369" s="42" t="n">
        <v>241000</v>
      </c>
      <c r="G369" s="36" t="n">
        <v>45907</v>
      </c>
      <c r="H369" s="35" t="s">
        <v>54</v>
      </c>
      <c r="I369" s="35" t="s">
        <v>88</v>
      </c>
      <c r="J369" s="35" t="s">
        <v>78</v>
      </c>
      <c r="K369" s="35"/>
      <c r="L369" s="48" t="n">
        <f aca="false">IFERROR(AVERAGEIFS('Score Entry'!$M$5:$M$1276,'Score Entry'!$B$5:$B$1276,A369,'Score Entry'!$E$5:$E$1276,"Primary"),"")</f>
        <v>91</v>
      </c>
      <c r="M369" s="48" t="n">
        <f aca="false">IFERROR(AVERAGEIFS('Score Entry'!$M$5:$M$1276,'Score Entry'!$B$5:$B$1276,A369,'Score Entry'!$E$5:$E$1276,"Secondary"),"")</f>
        <v>97</v>
      </c>
      <c r="N369" s="48" t="n">
        <f aca="false">IF(COUNT(L369:M369)=2,ABS(L369-M369),"")</f>
        <v>6</v>
      </c>
      <c r="O369" s="37" t="str">
        <f aca="false">IF(N369="","",IF(N369&gt;=Threshold,"Yes","No"))</f>
        <v>No</v>
      </c>
      <c r="P369" s="48" t="str">
        <f aca="false">IFERROR(AVERAGEIFS('Score Entry'!$M$5:$M$1276,'Score Entry'!$B$5:$B$1276,A369,'Score Entry'!$E$5:$E$1276,"Third"),"")</f>
        <v/>
      </c>
      <c r="Q369" s="48" t="n">
        <f aca="false">IF(H369&lt;&gt;"Eligible","",IF(O369="Yes",IF(ISNUMBER(P369),ROUND(AVERAGE(L369,M369,P369),1),""),IF(O369="No",ROUND(AVERAGE(L369:M369),1),"")))</f>
        <v>94</v>
      </c>
      <c r="R369" s="37" t="str">
        <f aca="false">IF(H369&lt;&gt;"Eligible","Screened out",IF(COUNT(L369:M369)=0,"Not started",IF(COUNT(L369:M369)=1,"One read done",IF(O369="Yes",IF(ISNUMBER(P369),"Complete","Needs third read"),"Complete"))))</f>
        <v>Complete</v>
      </c>
      <c r="S369" s="37" t="n">
        <f aca="false">IF(Q369="","",COUNTIFS($C$5:$C$600,C369,$Q$5:$Q$600,"&gt;"&amp;Q369)+1)</f>
        <v>6</v>
      </c>
      <c r="T369" s="37" t="str">
        <f aca="false">IF(Q369="","",IF(Q369&gt;=Cutoff,"Yes","No"))</f>
        <v>Yes</v>
      </c>
      <c r="U369" s="49" t="n">
        <f aca="false">IF(T369="Yes",MIN(F369,INDEX(Settings!$G:$G,MATCH(C369,Settings!$E:$E,0))),0)</f>
        <v>241000</v>
      </c>
      <c r="V369" s="49" t="n">
        <f aca="false">IF(T369="Yes",SUMIFS($U$5:$U$600,$C$5:$C$600,C369,$Q$5:$Q$600,"&gt;"&amp;Q369)+U369,"")</f>
        <v>663000</v>
      </c>
      <c r="W369" s="37" t="str">
        <f aca="false">IF(T369="Yes",IF(V369&lt;=INDEX(PoolList,MATCH(C369,ProgramList,0)),"Within pool","Over pool"),"")</f>
        <v>Within pool</v>
      </c>
      <c r="X369" s="37" t="str">
        <f aca="false">IF(O369="Yes",COUNTIF($O$5:O369,"Yes"),"")</f>
        <v/>
      </c>
    </row>
    <row r="370" customFormat="false" ht="15" hidden="false" customHeight="false" outlineLevel="0" collapsed="false">
      <c r="A370" s="35" t="s">
        <v>923</v>
      </c>
      <c r="B370" s="35" t="s">
        <v>924</v>
      </c>
      <c r="C370" s="35" t="s">
        <v>106</v>
      </c>
      <c r="D370" s="35" t="s">
        <v>174</v>
      </c>
      <c r="E370" s="35" t="s">
        <v>232</v>
      </c>
      <c r="F370" s="42" t="n">
        <v>76500</v>
      </c>
      <c r="G370" s="36" t="n">
        <v>45927</v>
      </c>
      <c r="H370" s="35" t="s">
        <v>54</v>
      </c>
      <c r="I370" s="35" t="s">
        <v>85</v>
      </c>
      <c r="J370" s="35" t="s">
        <v>91</v>
      </c>
      <c r="K370" s="35"/>
      <c r="L370" s="48" t="n">
        <f aca="false">IFERROR(AVERAGEIFS('Score Entry'!$M$5:$M$1276,'Score Entry'!$B$5:$B$1276,A370,'Score Entry'!$E$5:$E$1276,"Primary"),"")</f>
        <v>60</v>
      </c>
      <c r="M370" s="48" t="str">
        <f aca="false">IFERROR(AVERAGEIFS('Score Entry'!$M$5:$M$1276,'Score Entry'!$B$5:$B$1276,A370,'Score Entry'!$E$5:$E$1276,"Secondary"),"")</f>
        <v/>
      </c>
      <c r="N370" s="48" t="str">
        <f aca="false">IF(COUNT(L370:M370)=2,ABS(L370-M370),"")</f>
        <v/>
      </c>
      <c r="O370" s="37" t="str">
        <f aca="false">IF(N370="","",IF(N370&gt;=Threshold,"Yes","No"))</f>
        <v/>
      </c>
      <c r="P370" s="48" t="str">
        <f aca="false">IFERROR(AVERAGEIFS('Score Entry'!$M$5:$M$1276,'Score Entry'!$B$5:$B$1276,A370,'Score Entry'!$E$5:$E$1276,"Third"),"")</f>
        <v/>
      </c>
      <c r="Q370" s="48" t="str">
        <f aca="false">IF(H370&lt;&gt;"Eligible","",IF(O370="Yes",IF(ISNUMBER(P370),ROUND(AVERAGE(L370,M370,P370),1),""),IF(O370="No",ROUND(AVERAGE(L370:M370),1),"")))</f>
        <v/>
      </c>
      <c r="R370" s="37" t="str">
        <f aca="false">IF(H370&lt;&gt;"Eligible","Screened out",IF(COUNT(L370:M370)=0,"Not started",IF(COUNT(L370:M370)=1,"One read done",IF(O370="Yes",IF(ISNUMBER(P370),"Complete","Needs third read"),"Complete"))))</f>
        <v>One read done</v>
      </c>
      <c r="S370" s="37" t="str">
        <f aca="false">IF(Q370="","",COUNTIFS($C$5:$C$600,C370,$Q$5:$Q$600,"&gt;"&amp;Q370)+1)</f>
        <v/>
      </c>
      <c r="T370" s="37" t="str">
        <f aca="false">IF(Q370="","",IF(Q370&gt;=Cutoff,"Yes","No"))</f>
        <v/>
      </c>
      <c r="U370" s="49" t="n">
        <f aca="false">IF(T370="Yes",MIN(F370,INDEX(Settings!$G:$G,MATCH(C370,Settings!$E:$E,0))),0)</f>
        <v>0</v>
      </c>
      <c r="V370" s="49" t="str">
        <f aca="false">IF(T370="Yes",SUMIFS($U$5:$U$600,$C$5:$C$600,C370,$Q$5:$Q$600,"&gt;"&amp;Q370)+U370,"")</f>
        <v/>
      </c>
      <c r="W370" s="37" t="str">
        <f aca="false">IF(T370="Yes",IF(V370&lt;=INDEX(PoolList,MATCH(C370,ProgramList,0)),"Within pool","Over pool"),"")</f>
        <v/>
      </c>
      <c r="X370" s="37" t="str">
        <f aca="false">IF(O370="Yes",COUNTIF($O$5:O370,"Yes"),"")</f>
        <v/>
      </c>
    </row>
    <row r="371" customFormat="false" ht="15" hidden="false" customHeight="false" outlineLevel="0" collapsed="false">
      <c r="A371" s="35" t="s">
        <v>925</v>
      </c>
      <c r="B371" s="35" t="s">
        <v>926</v>
      </c>
      <c r="C371" s="35" t="s">
        <v>105</v>
      </c>
      <c r="D371" s="35" t="s">
        <v>174</v>
      </c>
      <c r="E371" s="35" t="s">
        <v>175</v>
      </c>
      <c r="F371" s="42" t="n">
        <v>190000</v>
      </c>
      <c r="G371" s="36" t="n">
        <v>45914</v>
      </c>
      <c r="H371" s="35" t="s">
        <v>54</v>
      </c>
      <c r="I371" s="35" t="s">
        <v>94</v>
      </c>
      <c r="J371" s="35" t="s">
        <v>85</v>
      </c>
      <c r="K371" s="35" t="s">
        <v>78</v>
      </c>
      <c r="L371" s="48" t="n">
        <f aca="false">IFERROR(AVERAGEIFS('Score Entry'!$M$5:$M$1276,'Score Entry'!$B$5:$B$1276,A371,'Score Entry'!$E$5:$E$1276,"Primary"),"")</f>
        <v>72</v>
      </c>
      <c r="M371" s="48" t="n">
        <f aca="false">IFERROR(AVERAGEIFS('Score Entry'!$M$5:$M$1276,'Score Entry'!$B$5:$B$1276,A371,'Score Entry'!$E$5:$E$1276,"Secondary"),"")</f>
        <v>91</v>
      </c>
      <c r="N371" s="48" t="n">
        <f aca="false">IF(COUNT(L371:M371)=2,ABS(L371-M371),"")</f>
        <v>19</v>
      </c>
      <c r="O371" s="37" t="str">
        <f aca="false">IF(N371="","",IF(N371&gt;=Threshold,"Yes","No"))</f>
        <v>Yes</v>
      </c>
      <c r="P371" s="48" t="n">
        <f aca="false">IFERROR(AVERAGEIFS('Score Entry'!$M$5:$M$1276,'Score Entry'!$B$5:$B$1276,A371,'Score Entry'!$E$5:$E$1276,"Third"),"")</f>
        <v>100</v>
      </c>
      <c r="Q371" s="48" t="n">
        <f aca="false">IF(H371&lt;&gt;"Eligible","",IF(O371="Yes",IF(ISNUMBER(P371),ROUND(AVERAGE(L371,M371,P371),1),""),IF(O371="No",ROUND(AVERAGE(L371:M371),1),"")))</f>
        <v>87.7</v>
      </c>
      <c r="R371" s="37" t="str">
        <f aca="false">IF(H371&lt;&gt;"Eligible","Screened out",IF(COUNT(L371:M371)=0,"Not started",IF(COUNT(L371:M371)=1,"One read done",IF(O371="Yes",IF(ISNUMBER(P371),"Complete","Needs third read"),"Complete"))))</f>
        <v>Complete</v>
      </c>
      <c r="S371" s="37" t="n">
        <f aca="false">IF(Q371="","",COUNTIFS($C$5:$C$600,C371,$Q$5:$Q$600,"&gt;"&amp;Q371)+1)</f>
        <v>7</v>
      </c>
      <c r="T371" s="37" t="str">
        <f aca="false">IF(Q371="","",IF(Q371&gt;=Cutoff,"Yes","No"))</f>
        <v>Yes</v>
      </c>
      <c r="U371" s="49" t="n">
        <f aca="false">IF(T371="Yes",MIN(F371,INDEX(Settings!$G:$G,MATCH(C371,Settings!$E:$E,0))),0)</f>
        <v>190000</v>
      </c>
      <c r="V371" s="49" t="n">
        <f aca="false">IF(T371="Yes",SUMIFS($U$5:$U$600,$C$5:$C$600,C371,$Q$5:$Q$600,"&gt;"&amp;Q371)+U371,"")</f>
        <v>584500</v>
      </c>
      <c r="W371" s="37" t="str">
        <f aca="false">IF(T371="Yes",IF(V371&lt;=INDEX(PoolList,MATCH(C371,ProgramList,0)),"Within pool","Over pool"),"")</f>
        <v>Within pool</v>
      </c>
      <c r="X371" s="37" t="n">
        <f aca="false">IF(O371="Yes",COUNTIF($O$5:O371,"Yes"),"")</f>
        <v>48</v>
      </c>
    </row>
    <row r="372" customFormat="false" ht="15" hidden="false" customHeight="false" outlineLevel="0" collapsed="false">
      <c r="A372" s="35" t="s">
        <v>927</v>
      </c>
      <c r="B372" s="35" t="s">
        <v>928</v>
      </c>
      <c r="C372" s="35" t="s">
        <v>103</v>
      </c>
      <c r="D372" s="35" t="s">
        <v>239</v>
      </c>
      <c r="E372" s="35" t="s">
        <v>554</v>
      </c>
      <c r="F372" s="42" t="n">
        <v>109500</v>
      </c>
      <c r="G372" s="36" t="n">
        <v>45924</v>
      </c>
      <c r="H372" s="35" t="s">
        <v>54</v>
      </c>
      <c r="I372" s="35" t="s">
        <v>82</v>
      </c>
      <c r="J372" s="35" t="s">
        <v>94</v>
      </c>
      <c r="K372" s="35"/>
      <c r="L372" s="48" t="n">
        <f aca="false">IFERROR(AVERAGEIFS('Score Entry'!$M$5:$M$1276,'Score Entry'!$B$5:$B$1276,A372,'Score Entry'!$E$5:$E$1276,"Primary"),"")</f>
        <v>56</v>
      </c>
      <c r="M372" s="48" t="n">
        <f aca="false">IFERROR(AVERAGEIFS('Score Entry'!$M$5:$M$1276,'Score Entry'!$B$5:$B$1276,A372,'Score Entry'!$E$5:$E$1276,"Secondary"),"")</f>
        <v>60</v>
      </c>
      <c r="N372" s="48" t="n">
        <f aca="false">IF(COUNT(L372:M372)=2,ABS(L372-M372),"")</f>
        <v>4</v>
      </c>
      <c r="O372" s="37" t="str">
        <f aca="false">IF(N372="","",IF(N372&gt;=Threshold,"Yes","No"))</f>
        <v>No</v>
      </c>
      <c r="P372" s="48" t="str">
        <f aca="false">IFERROR(AVERAGEIFS('Score Entry'!$M$5:$M$1276,'Score Entry'!$B$5:$B$1276,A372,'Score Entry'!$E$5:$E$1276,"Third"),"")</f>
        <v/>
      </c>
      <c r="Q372" s="48" t="n">
        <f aca="false">IF(H372&lt;&gt;"Eligible","",IF(O372="Yes",IF(ISNUMBER(P372),ROUND(AVERAGE(L372,M372,P372),1),""),IF(O372="No",ROUND(AVERAGE(L372:M372),1),"")))</f>
        <v>58</v>
      </c>
      <c r="R372" s="37" t="str">
        <f aca="false">IF(H372&lt;&gt;"Eligible","Screened out",IF(COUNT(L372:M372)=0,"Not started",IF(COUNT(L372:M372)=1,"One read done",IF(O372="Yes",IF(ISNUMBER(P372),"Complete","Needs third read"),"Complete"))))</f>
        <v>Complete</v>
      </c>
      <c r="S372" s="37" t="n">
        <f aca="false">IF(Q372="","",COUNTIFS($C$5:$C$600,C372,$Q$5:$Q$600,"&gt;"&amp;Q372)+1)</f>
        <v>120</v>
      </c>
      <c r="T372" s="37" t="str">
        <f aca="false">IF(Q372="","",IF(Q372&gt;=Cutoff,"Yes","No"))</f>
        <v>No</v>
      </c>
      <c r="U372" s="49" t="n">
        <f aca="false">IF(T372="Yes",MIN(F372,INDEX(Settings!$G:$G,MATCH(C372,Settings!$E:$E,0))),0)</f>
        <v>0</v>
      </c>
      <c r="V372" s="49" t="str">
        <f aca="false">IF(T372="Yes",SUMIFS($U$5:$U$600,$C$5:$C$600,C372,$Q$5:$Q$600,"&gt;"&amp;Q372)+U372,"")</f>
        <v/>
      </c>
      <c r="W372" s="37" t="str">
        <f aca="false">IF(T372="Yes",IF(V372&lt;=INDEX(PoolList,MATCH(C372,ProgramList,0)),"Within pool","Over pool"),"")</f>
        <v/>
      </c>
      <c r="X372" s="37" t="str">
        <f aca="false">IF(O372="Yes",COUNTIF($O$5:O372,"Yes"),"")</f>
        <v/>
      </c>
    </row>
    <row r="373" customFormat="false" ht="15" hidden="false" customHeight="false" outlineLevel="0" collapsed="false">
      <c r="A373" s="35" t="s">
        <v>929</v>
      </c>
      <c r="B373" s="35" t="s">
        <v>930</v>
      </c>
      <c r="C373" s="35" t="s">
        <v>105</v>
      </c>
      <c r="D373" s="35" t="s">
        <v>174</v>
      </c>
      <c r="E373" s="35" t="s">
        <v>175</v>
      </c>
      <c r="F373" s="42" t="n">
        <v>29000</v>
      </c>
      <c r="G373" s="36" t="n">
        <v>45927</v>
      </c>
      <c r="H373" s="35" t="s">
        <v>54</v>
      </c>
      <c r="I373" s="35" t="s">
        <v>82</v>
      </c>
      <c r="J373" s="35" t="s">
        <v>88</v>
      </c>
      <c r="K373" s="35"/>
      <c r="L373" s="48" t="n">
        <f aca="false">IFERROR(AVERAGEIFS('Score Entry'!$M$5:$M$1276,'Score Entry'!$B$5:$B$1276,A373,'Score Entry'!$E$5:$E$1276,"Primary"),"")</f>
        <v>24</v>
      </c>
      <c r="M373" s="48" t="n">
        <f aca="false">IFERROR(AVERAGEIFS('Score Entry'!$M$5:$M$1276,'Score Entry'!$B$5:$B$1276,A373,'Score Entry'!$E$5:$E$1276,"Secondary"),"")</f>
        <v>36</v>
      </c>
      <c r="N373" s="48" t="n">
        <f aca="false">IF(COUNT(L373:M373)=2,ABS(L373-M373),"")</f>
        <v>12</v>
      </c>
      <c r="O373" s="37" t="str">
        <f aca="false">IF(N373="","",IF(N373&gt;=Threshold,"Yes","No"))</f>
        <v>No</v>
      </c>
      <c r="P373" s="48" t="str">
        <f aca="false">IFERROR(AVERAGEIFS('Score Entry'!$M$5:$M$1276,'Score Entry'!$B$5:$B$1276,A373,'Score Entry'!$E$5:$E$1276,"Third"),"")</f>
        <v/>
      </c>
      <c r="Q373" s="48" t="n">
        <f aca="false">IF(H373&lt;&gt;"Eligible","",IF(O373="Yes",IF(ISNUMBER(P373),ROUND(AVERAGE(L373,M373,P373),1),""),IF(O373="No",ROUND(AVERAGE(L373:M373),1),"")))</f>
        <v>30</v>
      </c>
      <c r="R373" s="37" t="str">
        <f aca="false">IF(H373&lt;&gt;"Eligible","Screened out",IF(COUNT(L373:M373)=0,"Not started",IF(COUNT(L373:M373)=1,"One read done",IF(O373="Yes",IF(ISNUMBER(P373),"Complete","Needs third read"),"Complete"))))</f>
        <v>Complete</v>
      </c>
      <c r="S373" s="37" t="n">
        <f aca="false">IF(Q373="","",COUNTIFS($C$5:$C$600,C373,$Q$5:$Q$600,"&gt;"&amp;Q373)+1)</f>
        <v>103</v>
      </c>
      <c r="T373" s="37" t="str">
        <f aca="false">IF(Q373="","",IF(Q373&gt;=Cutoff,"Yes","No"))</f>
        <v>No</v>
      </c>
      <c r="U373" s="49" t="n">
        <f aca="false">IF(T373="Yes",MIN(F373,INDEX(Settings!$G:$G,MATCH(C373,Settings!$E:$E,0))),0)</f>
        <v>0</v>
      </c>
      <c r="V373" s="49" t="str">
        <f aca="false">IF(T373="Yes",SUMIFS($U$5:$U$600,$C$5:$C$600,C373,$Q$5:$Q$600,"&gt;"&amp;Q373)+U373,"")</f>
        <v/>
      </c>
      <c r="W373" s="37" t="str">
        <f aca="false">IF(T373="Yes",IF(V373&lt;=INDEX(PoolList,MATCH(C373,ProgramList,0)),"Within pool","Over pool"),"")</f>
        <v/>
      </c>
      <c r="X373" s="37" t="str">
        <f aca="false">IF(O373="Yes",COUNTIF($O$5:O373,"Yes"),"")</f>
        <v/>
      </c>
    </row>
    <row r="374" customFormat="false" ht="15" hidden="false" customHeight="false" outlineLevel="0" collapsed="false">
      <c r="A374" s="35" t="s">
        <v>931</v>
      </c>
      <c r="B374" s="35" t="s">
        <v>932</v>
      </c>
      <c r="C374" s="35" t="s">
        <v>105</v>
      </c>
      <c r="D374" s="35" t="s">
        <v>174</v>
      </c>
      <c r="E374" s="35" t="s">
        <v>175</v>
      </c>
      <c r="F374" s="42" t="n">
        <v>60500</v>
      </c>
      <c r="G374" s="36" t="n">
        <v>45927</v>
      </c>
      <c r="H374" s="35" t="s">
        <v>54</v>
      </c>
      <c r="I374" s="35" t="s">
        <v>78</v>
      </c>
      <c r="J374" s="35" t="s">
        <v>85</v>
      </c>
      <c r="K374" s="35"/>
      <c r="L374" s="48" t="n">
        <f aca="false">IFERROR(AVERAGEIFS('Score Entry'!$M$5:$M$1276,'Score Entry'!$B$5:$B$1276,A374,'Score Entry'!$E$5:$E$1276,"Primary"),"")</f>
        <v>63</v>
      </c>
      <c r="M374" s="48" t="n">
        <f aca="false">IFERROR(AVERAGEIFS('Score Entry'!$M$5:$M$1276,'Score Entry'!$B$5:$B$1276,A374,'Score Entry'!$E$5:$E$1276,"Secondary"),"")</f>
        <v>75</v>
      </c>
      <c r="N374" s="48" t="n">
        <f aca="false">IF(COUNT(L374:M374)=2,ABS(L374-M374),"")</f>
        <v>12</v>
      </c>
      <c r="O374" s="37" t="str">
        <f aca="false">IF(N374="","",IF(N374&gt;=Threshold,"Yes","No"))</f>
        <v>No</v>
      </c>
      <c r="P374" s="48" t="str">
        <f aca="false">IFERROR(AVERAGEIFS('Score Entry'!$M$5:$M$1276,'Score Entry'!$B$5:$B$1276,A374,'Score Entry'!$E$5:$E$1276,"Third"),"")</f>
        <v/>
      </c>
      <c r="Q374" s="48" t="n">
        <f aca="false">IF(H374&lt;&gt;"Eligible","",IF(O374="Yes",IF(ISNUMBER(P374),ROUND(AVERAGE(L374,M374,P374),1),""),IF(O374="No",ROUND(AVERAGE(L374:M374),1),"")))</f>
        <v>69</v>
      </c>
      <c r="R374" s="37" t="str">
        <f aca="false">IF(H374&lt;&gt;"Eligible","Screened out",IF(COUNT(L374:M374)=0,"Not started",IF(COUNT(L374:M374)=1,"One read done",IF(O374="Yes",IF(ISNUMBER(P374),"Complete","Needs third read"),"Complete"))))</f>
        <v>Complete</v>
      </c>
      <c r="S374" s="37" t="n">
        <f aca="false">IF(Q374="","",COUNTIFS($C$5:$C$600,C374,$Q$5:$Q$600,"&gt;"&amp;Q374)+1)</f>
        <v>42</v>
      </c>
      <c r="T374" s="37" t="str">
        <f aca="false">IF(Q374="","",IF(Q374&gt;=Cutoff,"Yes","No"))</f>
        <v>No</v>
      </c>
      <c r="U374" s="49" t="n">
        <f aca="false">IF(T374="Yes",MIN(F374,INDEX(Settings!$G:$G,MATCH(C374,Settings!$E:$E,0))),0)</f>
        <v>0</v>
      </c>
      <c r="V374" s="49" t="str">
        <f aca="false">IF(T374="Yes",SUMIFS($U$5:$U$600,$C$5:$C$600,C374,$Q$5:$Q$600,"&gt;"&amp;Q374)+U374,"")</f>
        <v/>
      </c>
      <c r="W374" s="37" t="str">
        <f aca="false">IF(T374="Yes",IF(V374&lt;=INDEX(PoolList,MATCH(C374,ProgramList,0)),"Within pool","Over pool"),"")</f>
        <v/>
      </c>
      <c r="X374" s="37" t="str">
        <f aca="false">IF(O374="Yes",COUNTIF($O$5:O374,"Yes"),"")</f>
        <v/>
      </c>
    </row>
    <row r="375" customFormat="false" ht="15" hidden="false" customHeight="false" outlineLevel="0" collapsed="false">
      <c r="A375" s="35" t="s">
        <v>933</v>
      </c>
      <c r="B375" s="35" t="s">
        <v>934</v>
      </c>
      <c r="C375" s="35" t="s">
        <v>104</v>
      </c>
      <c r="D375" s="35" t="s">
        <v>180</v>
      </c>
      <c r="E375" s="35" t="s">
        <v>252</v>
      </c>
      <c r="F375" s="42" t="n">
        <v>40500</v>
      </c>
      <c r="G375" s="36" t="n">
        <v>45917</v>
      </c>
      <c r="H375" s="35" t="s">
        <v>54</v>
      </c>
      <c r="I375" s="35" t="s">
        <v>88</v>
      </c>
      <c r="J375" s="35" t="s">
        <v>91</v>
      </c>
      <c r="K375" s="35"/>
      <c r="L375" s="48" t="n">
        <f aca="false">IFERROR(AVERAGEIFS('Score Entry'!$M$5:$M$1276,'Score Entry'!$B$5:$B$1276,A375,'Score Entry'!$E$5:$E$1276,"Primary"),"")</f>
        <v>80</v>
      </c>
      <c r="M375" s="48" t="n">
        <f aca="false">IFERROR(AVERAGEIFS('Score Entry'!$M$5:$M$1276,'Score Entry'!$B$5:$B$1276,A375,'Score Entry'!$E$5:$E$1276,"Secondary"),"")</f>
        <v>71</v>
      </c>
      <c r="N375" s="48" t="n">
        <f aca="false">IF(COUNT(L375:M375)=2,ABS(L375-M375),"")</f>
        <v>9</v>
      </c>
      <c r="O375" s="37" t="str">
        <f aca="false">IF(N375="","",IF(N375&gt;=Threshold,"Yes","No"))</f>
        <v>No</v>
      </c>
      <c r="P375" s="48" t="str">
        <f aca="false">IFERROR(AVERAGEIFS('Score Entry'!$M$5:$M$1276,'Score Entry'!$B$5:$B$1276,A375,'Score Entry'!$E$5:$E$1276,"Third"),"")</f>
        <v/>
      </c>
      <c r="Q375" s="48" t="n">
        <f aca="false">IF(H375&lt;&gt;"Eligible","",IF(O375="Yes",IF(ISNUMBER(P375),ROUND(AVERAGE(L375,M375,P375),1),""),IF(O375="No",ROUND(AVERAGE(L375:M375),1),"")))</f>
        <v>75.5</v>
      </c>
      <c r="R375" s="37" t="str">
        <f aca="false">IF(H375&lt;&gt;"Eligible","Screened out",IF(COUNT(L375:M375)=0,"Not started",IF(COUNT(L375:M375)=1,"One read done",IF(O375="Yes",IF(ISNUMBER(P375),"Complete","Needs third read"),"Complete"))))</f>
        <v>Complete</v>
      </c>
      <c r="S375" s="37" t="n">
        <f aca="false">IF(Q375="","",COUNTIFS($C$5:$C$600,C375,$Q$5:$Q$600,"&gt;"&amp;Q375)+1)</f>
        <v>34</v>
      </c>
      <c r="T375" s="37" t="str">
        <f aca="false">IF(Q375="","",IF(Q375&gt;=Cutoff,"Yes","No"))</f>
        <v>No</v>
      </c>
      <c r="U375" s="49" t="n">
        <f aca="false">IF(T375="Yes",MIN(F375,INDEX(Settings!$G:$G,MATCH(C375,Settings!$E:$E,0))),0)</f>
        <v>0</v>
      </c>
      <c r="V375" s="49" t="str">
        <f aca="false">IF(T375="Yes",SUMIFS($U$5:$U$600,$C$5:$C$600,C375,$Q$5:$Q$600,"&gt;"&amp;Q375)+U375,"")</f>
        <v/>
      </c>
      <c r="W375" s="37" t="str">
        <f aca="false">IF(T375="Yes",IF(V375&lt;=INDEX(PoolList,MATCH(C375,ProgramList,0)),"Within pool","Over pool"),"")</f>
        <v/>
      </c>
      <c r="X375" s="37" t="str">
        <f aca="false">IF(O375="Yes",COUNTIF($O$5:O375,"Yes"),"")</f>
        <v/>
      </c>
    </row>
    <row r="376" customFormat="false" ht="15" hidden="false" customHeight="false" outlineLevel="0" collapsed="false">
      <c r="A376" s="35" t="s">
        <v>935</v>
      </c>
      <c r="B376" s="35" t="s">
        <v>936</v>
      </c>
      <c r="C376" s="35" t="s">
        <v>103</v>
      </c>
      <c r="D376" s="35" t="s">
        <v>180</v>
      </c>
      <c r="E376" s="35" t="s">
        <v>252</v>
      </c>
      <c r="F376" s="42" t="n">
        <v>101500</v>
      </c>
      <c r="G376" s="36" t="n">
        <v>45922</v>
      </c>
      <c r="H376" s="35" t="s">
        <v>54</v>
      </c>
      <c r="I376" s="35" t="s">
        <v>78</v>
      </c>
      <c r="J376" s="35" t="s">
        <v>82</v>
      </c>
      <c r="K376" s="35"/>
      <c r="L376" s="48" t="n">
        <f aca="false">IFERROR(AVERAGEIFS('Score Entry'!$M$5:$M$1276,'Score Entry'!$B$5:$B$1276,A376,'Score Entry'!$E$5:$E$1276,"Primary"),"")</f>
        <v>56</v>
      </c>
      <c r="M376" s="48" t="n">
        <f aca="false">IFERROR(AVERAGEIFS('Score Entry'!$M$5:$M$1276,'Score Entry'!$B$5:$B$1276,A376,'Score Entry'!$E$5:$E$1276,"Secondary"),"")</f>
        <v>66</v>
      </c>
      <c r="N376" s="48" t="n">
        <f aca="false">IF(COUNT(L376:M376)=2,ABS(L376-M376),"")</f>
        <v>10</v>
      </c>
      <c r="O376" s="37" t="str">
        <f aca="false">IF(N376="","",IF(N376&gt;=Threshold,"Yes","No"))</f>
        <v>No</v>
      </c>
      <c r="P376" s="48" t="str">
        <f aca="false">IFERROR(AVERAGEIFS('Score Entry'!$M$5:$M$1276,'Score Entry'!$B$5:$B$1276,A376,'Score Entry'!$E$5:$E$1276,"Third"),"")</f>
        <v/>
      </c>
      <c r="Q376" s="48" t="n">
        <f aca="false">IF(H376&lt;&gt;"Eligible","",IF(O376="Yes",IF(ISNUMBER(P376),ROUND(AVERAGE(L376,M376,P376),1),""),IF(O376="No",ROUND(AVERAGE(L376:M376),1),"")))</f>
        <v>61</v>
      </c>
      <c r="R376" s="37" t="str">
        <f aca="false">IF(H376&lt;&gt;"Eligible","Screened out",IF(COUNT(L376:M376)=0,"Not started",IF(COUNT(L376:M376)=1,"One read done",IF(O376="Yes",IF(ISNUMBER(P376),"Complete","Needs third read"),"Complete"))))</f>
        <v>Complete</v>
      </c>
      <c r="S376" s="37" t="n">
        <f aca="false">IF(Q376="","",COUNTIFS($C$5:$C$600,C376,$Q$5:$Q$600,"&gt;"&amp;Q376)+1)</f>
        <v>107</v>
      </c>
      <c r="T376" s="37" t="str">
        <f aca="false">IF(Q376="","",IF(Q376&gt;=Cutoff,"Yes","No"))</f>
        <v>No</v>
      </c>
      <c r="U376" s="49" t="n">
        <f aca="false">IF(T376="Yes",MIN(F376,INDEX(Settings!$G:$G,MATCH(C376,Settings!$E:$E,0))),0)</f>
        <v>0</v>
      </c>
      <c r="V376" s="49" t="str">
        <f aca="false">IF(T376="Yes",SUMIFS($U$5:$U$600,$C$5:$C$600,C376,$Q$5:$Q$600,"&gt;"&amp;Q376)+U376,"")</f>
        <v/>
      </c>
      <c r="W376" s="37" t="str">
        <f aca="false">IF(T376="Yes",IF(V376&lt;=INDEX(PoolList,MATCH(C376,ProgramList,0)),"Within pool","Over pool"),"")</f>
        <v/>
      </c>
      <c r="X376" s="37" t="str">
        <f aca="false">IF(O376="Yes",COUNTIF($O$5:O376,"Yes"),"")</f>
        <v/>
      </c>
    </row>
    <row r="377" customFormat="false" ht="15" hidden="false" customHeight="false" outlineLevel="0" collapsed="false">
      <c r="A377" s="35" t="s">
        <v>937</v>
      </c>
      <c r="B377" s="35" t="s">
        <v>938</v>
      </c>
      <c r="C377" s="35" t="s">
        <v>103</v>
      </c>
      <c r="D377" s="35" t="s">
        <v>174</v>
      </c>
      <c r="E377" s="35" t="s">
        <v>175</v>
      </c>
      <c r="F377" s="42" t="n">
        <v>68000</v>
      </c>
      <c r="G377" s="36" t="n">
        <v>45924</v>
      </c>
      <c r="H377" s="35" t="s">
        <v>54</v>
      </c>
      <c r="I377" s="35" t="s">
        <v>85</v>
      </c>
      <c r="J377" s="35" t="s">
        <v>91</v>
      </c>
      <c r="K377" s="35"/>
      <c r="L377" s="48" t="n">
        <f aca="false">IFERROR(AVERAGEIFS('Score Entry'!$M$5:$M$1276,'Score Entry'!$B$5:$B$1276,A377,'Score Entry'!$E$5:$E$1276,"Primary"),"")</f>
        <v>100</v>
      </c>
      <c r="M377" s="48" t="str">
        <f aca="false">IFERROR(AVERAGEIFS('Score Entry'!$M$5:$M$1276,'Score Entry'!$B$5:$B$1276,A377,'Score Entry'!$E$5:$E$1276,"Secondary"),"")</f>
        <v/>
      </c>
      <c r="N377" s="48" t="str">
        <f aca="false">IF(COUNT(L377:M377)=2,ABS(L377-M377),"")</f>
        <v/>
      </c>
      <c r="O377" s="37" t="str">
        <f aca="false">IF(N377="","",IF(N377&gt;=Threshold,"Yes","No"))</f>
        <v/>
      </c>
      <c r="P377" s="48" t="str">
        <f aca="false">IFERROR(AVERAGEIFS('Score Entry'!$M$5:$M$1276,'Score Entry'!$B$5:$B$1276,A377,'Score Entry'!$E$5:$E$1276,"Third"),"")</f>
        <v/>
      </c>
      <c r="Q377" s="48" t="str">
        <f aca="false">IF(H377&lt;&gt;"Eligible","",IF(O377="Yes",IF(ISNUMBER(P377),ROUND(AVERAGE(L377,M377,P377),1),""),IF(O377="No",ROUND(AVERAGE(L377:M377),1),"")))</f>
        <v/>
      </c>
      <c r="R377" s="37" t="str">
        <f aca="false">IF(H377&lt;&gt;"Eligible","Screened out",IF(COUNT(L377:M377)=0,"Not started",IF(COUNT(L377:M377)=1,"One read done",IF(O377="Yes",IF(ISNUMBER(P377),"Complete","Needs third read"),"Complete"))))</f>
        <v>One read done</v>
      </c>
      <c r="S377" s="37" t="str">
        <f aca="false">IF(Q377="","",COUNTIFS($C$5:$C$600,C377,$Q$5:$Q$600,"&gt;"&amp;Q377)+1)</f>
        <v/>
      </c>
      <c r="T377" s="37" t="str">
        <f aca="false">IF(Q377="","",IF(Q377&gt;=Cutoff,"Yes","No"))</f>
        <v/>
      </c>
      <c r="U377" s="49" t="n">
        <f aca="false">IF(T377="Yes",MIN(F377,INDEX(Settings!$G:$G,MATCH(C377,Settings!$E:$E,0))),0)</f>
        <v>0</v>
      </c>
      <c r="V377" s="49" t="str">
        <f aca="false">IF(T377="Yes",SUMIFS($U$5:$U$600,$C$5:$C$600,C377,$Q$5:$Q$600,"&gt;"&amp;Q377)+U377,"")</f>
        <v/>
      </c>
      <c r="W377" s="37" t="str">
        <f aca="false">IF(T377="Yes",IF(V377&lt;=INDEX(PoolList,MATCH(C377,ProgramList,0)),"Within pool","Over pool"),"")</f>
        <v/>
      </c>
      <c r="X377" s="37" t="str">
        <f aca="false">IF(O377="Yes",COUNTIF($O$5:O377,"Yes"),"")</f>
        <v/>
      </c>
    </row>
    <row r="378" customFormat="false" ht="15" hidden="false" customHeight="false" outlineLevel="0" collapsed="false">
      <c r="A378" s="35" t="s">
        <v>939</v>
      </c>
      <c r="B378" s="35" t="s">
        <v>940</v>
      </c>
      <c r="C378" s="35" t="s">
        <v>106</v>
      </c>
      <c r="D378" s="35" t="s">
        <v>239</v>
      </c>
      <c r="E378" s="35" t="s">
        <v>255</v>
      </c>
      <c r="F378" s="42" t="n">
        <v>89000</v>
      </c>
      <c r="G378" s="36" t="n">
        <v>45915</v>
      </c>
      <c r="H378" s="35" t="s">
        <v>54</v>
      </c>
      <c r="I378" s="35" t="s">
        <v>94</v>
      </c>
      <c r="J378" s="35" t="s">
        <v>88</v>
      </c>
      <c r="K378" s="35"/>
      <c r="L378" s="48" t="n">
        <f aca="false">IFERROR(AVERAGEIFS('Score Entry'!$M$5:$M$1276,'Score Entry'!$B$5:$B$1276,A378,'Score Entry'!$E$5:$E$1276,"Primary"),"")</f>
        <v>62</v>
      </c>
      <c r="M378" s="48" t="n">
        <f aca="false">IFERROR(AVERAGEIFS('Score Entry'!$M$5:$M$1276,'Score Entry'!$B$5:$B$1276,A378,'Score Entry'!$E$5:$E$1276,"Secondary"),"")</f>
        <v>72</v>
      </c>
      <c r="N378" s="48" t="n">
        <f aca="false">IF(COUNT(L378:M378)=2,ABS(L378-M378),"")</f>
        <v>10</v>
      </c>
      <c r="O378" s="37" t="str">
        <f aca="false">IF(N378="","",IF(N378&gt;=Threshold,"Yes","No"))</f>
        <v>No</v>
      </c>
      <c r="P378" s="48" t="str">
        <f aca="false">IFERROR(AVERAGEIFS('Score Entry'!$M$5:$M$1276,'Score Entry'!$B$5:$B$1276,A378,'Score Entry'!$E$5:$E$1276,"Third"),"")</f>
        <v/>
      </c>
      <c r="Q378" s="48" t="n">
        <f aca="false">IF(H378&lt;&gt;"Eligible","",IF(O378="Yes",IF(ISNUMBER(P378),ROUND(AVERAGE(L378,M378,P378),1),""),IF(O378="No",ROUND(AVERAGE(L378:M378),1),"")))</f>
        <v>67</v>
      </c>
      <c r="R378" s="37" t="str">
        <f aca="false">IF(H378&lt;&gt;"Eligible","Screened out",IF(COUNT(L378:M378)=0,"Not started",IF(COUNT(L378:M378)=1,"One read done",IF(O378="Yes",IF(ISNUMBER(P378),"Complete","Needs third read"),"Complete"))))</f>
        <v>Complete</v>
      </c>
      <c r="S378" s="37" t="n">
        <f aca="false">IF(Q378="","",COUNTIFS($C$5:$C$600,C378,$Q$5:$Q$600,"&gt;"&amp;Q378)+1)</f>
        <v>65</v>
      </c>
      <c r="T378" s="37" t="str">
        <f aca="false">IF(Q378="","",IF(Q378&gt;=Cutoff,"Yes","No"))</f>
        <v>No</v>
      </c>
      <c r="U378" s="49" t="n">
        <f aca="false">IF(T378="Yes",MIN(F378,INDEX(Settings!$G:$G,MATCH(C378,Settings!$E:$E,0))),0)</f>
        <v>0</v>
      </c>
      <c r="V378" s="49" t="str">
        <f aca="false">IF(T378="Yes",SUMIFS($U$5:$U$600,$C$5:$C$600,C378,$Q$5:$Q$600,"&gt;"&amp;Q378)+U378,"")</f>
        <v/>
      </c>
      <c r="W378" s="37" t="str">
        <f aca="false">IF(T378="Yes",IF(V378&lt;=INDEX(PoolList,MATCH(C378,ProgramList,0)),"Within pool","Over pool"),"")</f>
        <v/>
      </c>
      <c r="X378" s="37" t="str">
        <f aca="false">IF(O378="Yes",COUNTIF($O$5:O378,"Yes"),"")</f>
        <v/>
      </c>
    </row>
    <row r="379" customFormat="false" ht="15" hidden="false" customHeight="false" outlineLevel="0" collapsed="false">
      <c r="A379" s="35" t="s">
        <v>941</v>
      </c>
      <c r="B379" s="35" t="s">
        <v>942</v>
      </c>
      <c r="C379" s="35" t="s">
        <v>103</v>
      </c>
      <c r="D379" s="35" t="s">
        <v>174</v>
      </c>
      <c r="E379" s="35" t="s">
        <v>175</v>
      </c>
      <c r="F379" s="42" t="n">
        <v>53500</v>
      </c>
      <c r="G379" s="36" t="n">
        <v>45923</v>
      </c>
      <c r="H379" s="35" t="s">
        <v>54</v>
      </c>
      <c r="I379" s="35" t="s">
        <v>85</v>
      </c>
      <c r="J379" s="35" t="s">
        <v>78</v>
      </c>
      <c r="K379" s="35"/>
      <c r="L379" s="48" t="n">
        <f aca="false">IFERROR(AVERAGEIFS('Score Entry'!$M$5:$M$1276,'Score Entry'!$B$5:$B$1276,A379,'Score Entry'!$E$5:$E$1276,"Primary"),"")</f>
        <v>75</v>
      </c>
      <c r="M379" s="48" t="n">
        <f aca="false">IFERROR(AVERAGEIFS('Score Entry'!$M$5:$M$1276,'Score Entry'!$B$5:$B$1276,A379,'Score Entry'!$E$5:$E$1276,"Secondary"),"")</f>
        <v>70</v>
      </c>
      <c r="N379" s="48" t="n">
        <f aca="false">IF(COUNT(L379:M379)=2,ABS(L379-M379),"")</f>
        <v>5</v>
      </c>
      <c r="O379" s="37" t="str">
        <f aca="false">IF(N379="","",IF(N379&gt;=Threshold,"Yes","No"))</f>
        <v>No</v>
      </c>
      <c r="P379" s="48" t="str">
        <f aca="false">IFERROR(AVERAGEIFS('Score Entry'!$M$5:$M$1276,'Score Entry'!$B$5:$B$1276,A379,'Score Entry'!$E$5:$E$1276,"Third"),"")</f>
        <v/>
      </c>
      <c r="Q379" s="48" t="n">
        <f aca="false">IF(H379&lt;&gt;"Eligible","",IF(O379="Yes",IF(ISNUMBER(P379),ROUND(AVERAGE(L379,M379,P379),1),""),IF(O379="No",ROUND(AVERAGE(L379:M379),1),"")))</f>
        <v>72.5</v>
      </c>
      <c r="R379" s="37" t="str">
        <f aca="false">IF(H379&lt;&gt;"Eligible","Screened out",IF(COUNT(L379:M379)=0,"Not started",IF(COUNT(L379:M379)=1,"One read done",IF(O379="Yes",IF(ISNUMBER(P379),"Complete","Needs third read"),"Complete"))))</f>
        <v>Complete</v>
      </c>
      <c r="S379" s="37" t="n">
        <f aca="false">IF(Q379="","",COUNTIFS($C$5:$C$600,C379,$Q$5:$Q$600,"&gt;"&amp;Q379)+1)</f>
        <v>53</v>
      </c>
      <c r="T379" s="37" t="str">
        <f aca="false">IF(Q379="","",IF(Q379&gt;=Cutoff,"Yes","No"))</f>
        <v>No</v>
      </c>
      <c r="U379" s="49" t="n">
        <f aca="false">IF(T379="Yes",MIN(F379,INDEX(Settings!$G:$G,MATCH(C379,Settings!$E:$E,0))),0)</f>
        <v>0</v>
      </c>
      <c r="V379" s="49" t="str">
        <f aca="false">IF(T379="Yes",SUMIFS($U$5:$U$600,$C$5:$C$600,C379,$Q$5:$Q$600,"&gt;"&amp;Q379)+U379,"")</f>
        <v/>
      </c>
      <c r="W379" s="37" t="str">
        <f aca="false">IF(T379="Yes",IF(V379&lt;=INDEX(PoolList,MATCH(C379,ProgramList,0)),"Within pool","Over pool"),"")</f>
        <v/>
      </c>
      <c r="X379" s="37" t="str">
        <f aca="false">IF(O379="Yes",COUNTIF($O$5:O379,"Yes"),"")</f>
        <v/>
      </c>
    </row>
    <row r="380" customFormat="false" ht="15" hidden="false" customHeight="false" outlineLevel="0" collapsed="false">
      <c r="A380" s="35" t="s">
        <v>943</v>
      </c>
      <c r="B380" s="35" t="s">
        <v>944</v>
      </c>
      <c r="C380" s="35" t="s">
        <v>103</v>
      </c>
      <c r="D380" s="35" t="s">
        <v>174</v>
      </c>
      <c r="E380" s="35" t="s">
        <v>232</v>
      </c>
      <c r="F380" s="42" t="n">
        <v>93500</v>
      </c>
      <c r="G380" s="36" t="n">
        <v>45907</v>
      </c>
      <c r="H380" s="35" t="s">
        <v>54</v>
      </c>
      <c r="I380" s="35" t="s">
        <v>82</v>
      </c>
      <c r="J380" s="35" t="s">
        <v>85</v>
      </c>
      <c r="K380" s="35"/>
      <c r="L380" s="48" t="n">
        <f aca="false">IFERROR(AVERAGEIFS('Score Entry'!$M$5:$M$1276,'Score Entry'!$B$5:$B$1276,A380,'Score Entry'!$E$5:$E$1276,"Primary"),"")</f>
        <v>70</v>
      </c>
      <c r="M380" s="48" t="n">
        <f aca="false">IFERROR(AVERAGEIFS('Score Entry'!$M$5:$M$1276,'Score Entry'!$B$5:$B$1276,A380,'Score Entry'!$E$5:$E$1276,"Secondary"),"")</f>
        <v>60</v>
      </c>
      <c r="N380" s="48" t="n">
        <f aca="false">IF(COUNT(L380:M380)=2,ABS(L380-M380),"")</f>
        <v>10</v>
      </c>
      <c r="O380" s="37" t="str">
        <f aca="false">IF(N380="","",IF(N380&gt;=Threshold,"Yes","No"))</f>
        <v>No</v>
      </c>
      <c r="P380" s="48" t="str">
        <f aca="false">IFERROR(AVERAGEIFS('Score Entry'!$M$5:$M$1276,'Score Entry'!$B$5:$B$1276,A380,'Score Entry'!$E$5:$E$1276,"Third"),"")</f>
        <v/>
      </c>
      <c r="Q380" s="48" t="n">
        <f aca="false">IF(H380&lt;&gt;"Eligible","",IF(O380="Yes",IF(ISNUMBER(P380),ROUND(AVERAGE(L380,M380,P380),1),""),IF(O380="No",ROUND(AVERAGE(L380:M380),1),"")))</f>
        <v>65</v>
      </c>
      <c r="R380" s="37" t="str">
        <f aca="false">IF(H380&lt;&gt;"Eligible","Screened out",IF(COUNT(L380:M380)=0,"Not started",IF(COUNT(L380:M380)=1,"One read done",IF(O380="Yes",IF(ISNUMBER(P380),"Complete","Needs third read"),"Complete"))))</f>
        <v>Complete</v>
      </c>
      <c r="S380" s="37" t="n">
        <f aca="false">IF(Q380="","",COUNTIFS($C$5:$C$600,C380,$Q$5:$Q$600,"&gt;"&amp;Q380)+1)</f>
        <v>89</v>
      </c>
      <c r="T380" s="37" t="str">
        <f aca="false">IF(Q380="","",IF(Q380&gt;=Cutoff,"Yes","No"))</f>
        <v>No</v>
      </c>
      <c r="U380" s="49" t="n">
        <f aca="false">IF(T380="Yes",MIN(F380,INDEX(Settings!$G:$G,MATCH(C380,Settings!$E:$E,0))),0)</f>
        <v>0</v>
      </c>
      <c r="V380" s="49" t="str">
        <f aca="false">IF(T380="Yes",SUMIFS($U$5:$U$600,$C$5:$C$600,C380,$Q$5:$Q$600,"&gt;"&amp;Q380)+U380,"")</f>
        <v/>
      </c>
      <c r="W380" s="37" t="str">
        <f aca="false">IF(T380="Yes",IF(V380&lt;=INDEX(PoolList,MATCH(C380,ProgramList,0)),"Within pool","Over pool"),"")</f>
        <v/>
      </c>
      <c r="X380" s="37" t="str">
        <f aca="false">IF(O380="Yes",COUNTIF($O$5:O380,"Yes"),"")</f>
        <v/>
      </c>
    </row>
    <row r="381" customFormat="false" ht="15" hidden="false" customHeight="false" outlineLevel="0" collapsed="false">
      <c r="A381" s="35" t="s">
        <v>945</v>
      </c>
      <c r="B381" s="35" t="s">
        <v>946</v>
      </c>
      <c r="C381" s="35" t="s">
        <v>104</v>
      </c>
      <c r="D381" s="35" t="s">
        <v>239</v>
      </c>
      <c r="E381" s="35" t="s">
        <v>240</v>
      </c>
      <c r="F381" s="42" t="n">
        <v>80500</v>
      </c>
      <c r="G381" s="36" t="n">
        <v>45927</v>
      </c>
      <c r="H381" s="35" t="s">
        <v>54</v>
      </c>
      <c r="I381" s="35" t="s">
        <v>91</v>
      </c>
      <c r="J381" s="35" t="s">
        <v>94</v>
      </c>
      <c r="K381" s="35"/>
      <c r="L381" s="48" t="n">
        <f aca="false">IFERROR(AVERAGEIFS('Score Entry'!$M$5:$M$1276,'Score Entry'!$B$5:$B$1276,A381,'Score Entry'!$E$5:$E$1276,"Primary"),"")</f>
        <v>49</v>
      </c>
      <c r="M381" s="48" t="n">
        <f aca="false">IFERROR(AVERAGEIFS('Score Entry'!$M$5:$M$1276,'Score Entry'!$B$5:$B$1276,A381,'Score Entry'!$E$5:$E$1276,"Secondary"),"")</f>
        <v>46</v>
      </c>
      <c r="N381" s="48" t="n">
        <f aca="false">IF(COUNT(L381:M381)=2,ABS(L381-M381),"")</f>
        <v>3</v>
      </c>
      <c r="O381" s="37" t="str">
        <f aca="false">IF(N381="","",IF(N381&gt;=Threshold,"Yes","No"))</f>
        <v>No</v>
      </c>
      <c r="P381" s="48" t="str">
        <f aca="false">IFERROR(AVERAGEIFS('Score Entry'!$M$5:$M$1276,'Score Entry'!$B$5:$B$1276,A381,'Score Entry'!$E$5:$E$1276,"Third"),"")</f>
        <v/>
      </c>
      <c r="Q381" s="48" t="n">
        <f aca="false">IF(H381&lt;&gt;"Eligible","",IF(O381="Yes",IF(ISNUMBER(P381),ROUND(AVERAGE(L381,M381,P381),1),""),IF(O381="No",ROUND(AVERAGE(L381:M381),1),"")))</f>
        <v>47.5</v>
      </c>
      <c r="R381" s="37" t="str">
        <f aca="false">IF(H381&lt;&gt;"Eligible","Screened out",IF(COUNT(L381:M381)=0,"Not started",IF(COUNT(L381:M381)=1,"One read done",IF(O381="Yes",IF(ISNUMBER(P381),"Complete","Needs third read"),"Complete"))))</f>
        <v>Complete</v>
      </c>
      <c r="S381" s="37" t="n">
        <f aca="false">IF(Q381="","",COUNTIFS($C$5:$C$600,C381,$Q$5:$Q$600,"&gt;"&amp;Q381)+1)</f>
        <v>98</v>
      </c>
      <c r="T381" s="37" t="str">
        <f aca="false">IF(Q381="","",IF(Q381&gt;=Cutoff,"Yes","No"))</f>
        <v>No</v>
      </c>
      <c r="U381" s="49" t="n">
        <f aca="false">IF(T381="Yes",MIN(F381,INDEX(Settings!$G:$G,MATCH(C381,Settings!$E:$E,0))),0)</f>
        <v>0</v>
      </c>
      <c r="V381" s="49" t="str">
        <f aca="false">IF(T381="Yes",SUMIFS($U$5:$U$600,$C$5:$C$600,C381,$Q$5:$Q$600,"&gt;"&amp;Q381)+U381,"")</f>
        <v/>
      </c>
      <c r="W381" s="37" t="str">
        <f aca="false">IF(T381="Yes",IF(V381&lt;=INDEX(PoolList,MATCH(C381,ProgramList,0)),"Within pool","Over pool"),"")</f>
        <v/>
      </c>
      <c r="X381" s="37" t="str">
        <f aca="false">IF(O381="Yes",COUNTIF($O$5:O381,"Yes"),"")</f>
        <v/>
      </c>
    </row>
    <row r="382" customFormat="false" ht="15" hidden="false" customHeight="false" outlineLevel="0" collapsed="false">
      <c r="A382" s="35" t="s">
        <v>947</v>
      </c>
      <c r="B382" s="35" t="s">
        <v>948</v>
      </c>
      <c r="C382" s="35" t="s">
        <v>103</v>
      </c>
      <c r="D382" s="35" t="s">
        <v>174</v>
      </c>
      <c r="E382" s="35" t="s">
        <v>175</v>
      </c>
      <c r="F382" s="42" t="n">
        <v>107000</v>
      </c>
      <c r="G382" s="36" t="n">
        <v>45914</v>
      </c>
      <c r="H382" s="35" t="s">
        <v>54</v>
      </c>
      <c r="I382" s="35" t="s">
        <v>78</v>
      </c>
      <c r="J382" s="35" t="s">
        <v>82</v>
      </c>
      <c r="K382" s="35"/>
      <c r="L382" s="48" t="n">
        <f aca="false">IFERROR(AVERAGEIFS('Score Entry'!$M$5:$M$1276,'Score Entry'!$B$5:$B$1276,A382,'Score Entry'!$E$5:$E$1276,"Primary"),"")</f>
        <v>91</v>
      </c>
      <c r="M382" s="48" t="n">
        <f aca="false">IFERROR(AVERAGEIFS('Score Entry'!$M$5:$M$1276,'Score Entry'!$B$5:$B$1276,A382,'Score Entry'!$E$5:$E$1276,"Secondary"),"")</f>
        <v>87</v>
      </c>
      <c r="N382" s="48" t="n">
        <f aca="false">IF(COUNT(L382:M382)=2,ABS(L382-M382),"")</f>
        <v>4</v>
      </c>
      <c r="O382" s="37" t="str">
        <f aca="false">IF(N382="","",IF(N382&gt;=Threshold,"Yes","No"))</f>
        <v>No</v>
      </c>
      <c r="P382" s="48" t="str">
        <f aca="false">IFERROR(AVERAGEIFS('Score Entry'!$M$5:$M$1276,'Score Entry'!$B$5:$B$1276,A382,'Score Entry'!$E$5:$E$1276,"Third"),"")</f>
        <v/>
      </c>
      <c r="Q382" s="48" t="n">
        <f aca="false">IF(H382&lt;&gt;"Eligible","",IF(O382="Yes",IF(ISNUMBER(P382),ROUND(AVERAGE(L382,M382,P382),1),""),IF(O382="No",ROUND(AVERAGE(L382:M382),1),"")))</f>
        <v>89</v>
      </c>
      <c r="R382" s="37" t="str">
        <f aca="false">IF(H382&lt;&gt;"Eligible","Screened out",IF(COUNT(L382:M382)=0,"Not started",IF(COUNT(L382:M382)=1,"One read done",IF(O382="Yes",IF(ISNUMBER(P382),"Complete","Needs third read"),"Complete"))))</f>
        <v>Complete</v>
      </c>
      <c r="S382" s="37" t="n">
        <f aca="false">IF(Q382="","",COUNTIFS($C$5:$C$600,C382,$Q$5:$Q$600,"&gt;"&amp;Q382)+1)</f>
        <v>8</v>
      </c>
      <c r="T382" s="37" t="str">
        <f aca="false">IF(Q382="","",IF(Q382&gt;=Cutoff,"Yes","No"))</f>
        <v>Yes</v>
      </c>
      <c r="U382" s="49" t="n">
        <f aca="false">IF(T382="Yes",MIN(F382,INDEX(Settings!$G:$G,MATCH(C382,Settings!$E:$E,0))),0)</f>
        <v>107000</v>
      </c>
      <c r="V382" s="49" t="n">
        <f aca="false">IF(T382="Yes",SUMIFS($U$5:$U$600,$C$5:$C$600,C382,$Q$5:$Q$600,"&gt;"&amp;Q382)+U382,"")</f>
        <v>825500</v>
      </c>
      <c r="W382" s="37" t="str">
        <f aca="false">IF(T382="Yes",IF(V382&lt;=INDEX(PoolList,MATCH(C382,ProgramList,0)),"Within pool","Over pool"),"")</f>
        <v>Within pool</v>
      </c>
      <c r="X382" s="37" t="str">
        <f aca="false">IF(O382="Yes",COUNTIF($O$5:O382,"Yes"),"")</f>
        <v/>
      </c>
    </row>
    <row r="383" customFormat="false" ht="15" hidden="false" customHeight="false" outlineLevel="0" collapsed="false">
      <c r="A383" s="35" t="s">
        <v>949</v>
      </c>
      <c r="B383" s="35" t="s">
        <v>950</v>
      </c>
      <c r="C383" s="35" t="s">
        <v>105</v>
      </c>
      <c r="D383" s="35" t="s">
        <v>221</v>
      </c>
      <c r="E383" s="35" t="s">
        <v>258</v>
      </c>
      <c r="F383" s="42" t="n">
        <v>107000</v>
      </c>
      <c r="G383" s="36" t="n">
        <v>45908</v>
      </c>
      <c r="H383" s="35" t="s">
        <v>54</v>
      </c>
      <c r="I383" s="35" t="s">
        <v>88</v>
      </c>
      <c r="J383" s="35" t="s">
        <v>91</v>
      </c>
      <c r="K383" s="35"/>
      <c r="L383" s="48" t="n">
        <f aca="false">IFERROR(AVERAGEIFS('Score Entry'!$M$5:$M$1276,'Score Entry'!$B$5:$B$1276,A383,'Score Entry'!$E$5:$E$1276,"Primary"),"")</f>
        <v>26</v>
      </c>
      <c r="M383" s="48" t="str">
        <f aca="false">IFERROR(AVERAGEIFS('Score Entry'!$M$5:$M$1276,'Score Entry'!$B$5:$B$1276,A383,'Score Entry'!$E$5:$E$1276,"Secondary"),"")</f>
        <v/>
      </c>
      <c r="N383" s="48" t="str">
        <f aca="false">IF(COUNT(L383:M383)=2,ABS(L383-M383),"")</f>
        <v/>
      </c>
      <c r="O383" s="37" t="str">
        <f aca="false">IF(N383="","",IF(N383&gt;=Threshold,"Yes","No"))</f>
        <v/>
      </c>
      <c r="P383" s="48" t="str">
        <f aca="false">IFERROR(AVERAGEIFS('Score Entry'!$M$5:$M$1276,'Score Entry'!$B$5:$B$1276,A383,'Score Entry'!$E$5:$E$1276,"Third"),"")</f>
        <v/>
      </c>
      <c r="Q383" s="48" t="str">
        <f aca="false">IF(H383&lt;&gt;"Eligible","",IF(O383="Yes",IF(ISNUMBER(P383),ROUND(AVERAGE(L383,M383,P383),1),""),IF(O383="No",ROUND(AVERAGE(L383:M383),1),"")))</f>
        <v/>
      </c>
      <c r="R383" s="37" t="str">
        <f aca="false">IF(H383&lt;&gt;"Eligible","Screened out",IF(COUNT(L383:M383)=0,"Not started",IF(COUNT(L383:M383)=1,"One read done",IF(O383="Yes",IF(ISNUMBER(P383),"Complete","Needs third read"),"Complete"))))</f>
        <v>One read done</v>
      </c>
      <c r="S383" s="37" t="str">
        <f aca="false">IF(Q383="","",COUNTIFS($C$5:$C$600,C383,$Q$5:$Q$600,"&gt;"&amp;Q383)+1)</f>
        <v/>
      </c>
      <c r="T383" s="37" t="str">
        <f aca="false">IF(Q383="","",IF(Q383&gt;=Cutoff,"Yes","No"))</f>
        <v/>
      </c>
      <c r="U383" s="49" t="n">
        <f aca="false">IF(T383="Yes",MIN(F383,INDEX(Settings!$G:$G,MATCH(C383,Settings!$E:$E,0))),0)</f>
        <v>0</v>
      </c>
      <c r="V383" s="49" t="str">
        <f aca="false">IF(T383="Yes",SUMIFS($U$5:$U$600,$C$5:$C$600,C383,$Q$5:$Q$600,"&gt;"&amp;Q383)+U383,"")</f>
        <v/>
      </c>
      <c r="W383" s="37" t="str">
        <f aca="false">IF(T383="Yes",IF(V383&lt;=INDEX(PoolList,MATCH(C383,ProgramList,0)),"Within pool","Over pool"),"")</f>
        <v/>
      </c>
      <c r="X383" s="37" t="str">
        <f aca="false">IF(O383="Yes",COUNTIF($O$5:O383,"Yes"),"")</f>
        <v/>
      </c>
    </row>
    <row r="384" customFormat="false" ht="15" hidden="false" customHeight="false" outlineLevel="0" collapsed="false">
      <c r="A384" s="35" t="s">
        <v>951</v>
      </c>
      <c r="B384" s="35" t="s">
        <v>952</v>
      </c>
      <c r="C384" s="35" t="s">
        <v>103</v>
      </c>
      <c r="D384" s="35" t="s">
        <v>174</v>
      </c>
      <c r="E384" s="35" t="s">
        <v>232</v>
      </c>
      <c r="F384" s="42" t="n">
        <v>57500</v>
      </c>
      <c r="G384" s="36" t="n">
        <v>45927</v>
      </c>
      <c r="H384" s="35" t="s">
        <v>54</v>
      </c>
      <c r="I384" s="35" t="s">
        <v>85</v>
      </c>
      <c r="J384" s="35" t="s">
        <v>88</v>
      </c>
      <c r="K384" s="35"/>
      <c r="L384" s="48" t="n">
        <f aca="false">IFERROR(AVERAGEIFS('Score Entry'!$M$5:$M$1276,'Score Entry'!$B$5:$B$1276,A384,'Score Entry'!$E$5:$E$1276,"Primary"),"")</f>
        <v>56</v>
      </c>
      <c r="M384" s="48" t="n">
        <f aca="false">IFERROR(AVERAGEIFS('Score Entry'!$M$5:$M$1276,'Score Entry'!$B$5:$B$1276,A384,'Score Entry'!$E$5:$E$1276,"Secondary"),"")</f>
        <v>54</v>
      </c>
      <c r="N384" s="48" t="n">
        <f aca="false">IF(COUNT(L384:M384)=2,ABS(L384-M384),"")</f>
        <v>2</v>
      </c>
      <c r="O384" s="37" t="str">
        <f aca="false">IF(N384="","",IF(N384&gt;=Threshold,"Yes","No"))</f>
        <v>No</v>
      </c>
      <c r="P384" s="48" t="str">
        <f aca="false">IFERROR(AVERAGEIFS('Score Entry'!$M$5:$M$1276,'Score Entry'!$B$5:$B$1276,A384,'Score Entry'!$E$5:$E$1276,"Third"),"")</f>
        <v/>
      </c>
      <c r="Q384" s="48" t="n">
        <f aca="false">IF(H384&lt;&gt;"Eligible","",IF(O384="Yes",IF(ISNUMBER(P384),ROUND(AVERAGE(L384,M384,P384),1),""),IF(O384="No",ROUND(AVERAGE(L384:M384),1),"")))</f>
        <v>55</v>
      </c>
      <c r="R384" s="37" t="str">
        <f aca="false">IF(H384&lt;&gt;"Eligible","Screened out",IF(COUNT(L384:M384)=0,"Not started",IF(COUNT(L384:M384)=1,"One read done",IF(O384="Yes",IF(ISNUMBER(P384),"Complete","Needs third read"),"Complete"))))</f>
        <v>Complete</v>
      </c>
      <c r="S384" s="37" t="n">
        <f aca="false">IF(Q384="","",COUNTIFS($C$5:$C$600,C384,$Q$5:$Q$600,"&gt;"&amp;Q384)+1)</f>
        <v>132</v>
      </c>
      <c r="T384" s="37" t="str">
        <f aca="false">IF(Q384="","",IF(Q384&gt;=Cutoff,"Yes","No"))</f>
        <v>No</v>
      </c>
      <c r="U384" s="49" t="n">
        <f aca="false">IF(T384="Yes",MIN(F384,INDEX(Settings!$G:$G,MATCH(C384,Settings!$E:$E,0))),0)</f>
        <v>0</v>
      </c>
      <c r="V384" s="49" t="str">
        <f aca="false">IF(T384="Yes",SUMIFS($U$5:$U$600,$C$5:$C$600,C384,$Q$5:$Q$600,"&gt;"&amp;Q384)+U384,"")</f>
        <v/>
      </c>
      <c r="W384" s="37" t="str">
        <f aca="false">IF(T384="Yes",IF(V384&lt;=INDEX(PoolList,MATCH(C384,ProgramList,0)),"Within pool","Over pool"),"")</f>
        <v/>
      </c>
      <c r="X384" s="37" t="str">
        <f aca="false">IF(O384="Yes",COUNTIF($O$5:O384,"Yes"),"")</f>
        <v/>
      </c>
    </row>
    <row r="385" customFormat="false" ht="15" hidden="false" customHeight="false" outlineLevel="0" collapsed="false">
      <c r="A385" s="35" t="s">
        <v>953</v>
      </c>
      <c r="B385" s="35" t="s">
        <v>954</v>
      </c>
      <c r="C385" s="35" t="s">
        <v>106</v>
      </c>
      <c r="D385" s="35" t="s">
        <v>174</v>
      </c>
      <c r="E385" s="35" t="s">
        <v>232</v>
      </c>
      <c r="F385" s="42" t="n">
        <v>71000</v>
      </c>
      <c r="G385" s="36" t="n">
        <v>45911</v>
      </c>
      <c r="H385" s="35" t="s">
        <v>54</v>
      </c>
      <c r="I385" s="35" t="s">
        <v>91</v>
      </c>
      <c r="J385" s="35" t="s">
        <v>78</v>
      </c>
      <c r="K385" s="35"/>
      <c r="L385" s="48" t="n">
        <f aca="false">IFERROR(AVERAGEIFS('Score Entry'!$M$5:$M$1276,'Score Entry'!$B$5:$B$1276,A385,'Score Entry'!$E$5:$E$1276,"Primary"),"")</f>
        <v>63</v>
      </c>
      <c r="M385" s="48" t="n">
        <f aca="false">IFERROR(AVERAGEIFS('Score Entry'!$M$5:$M$1276,'Score Entry'!$B$5:$B$1276,A385,'Score Entry'!$E$5:$E$1276,"Secondary"),"")</f>
        <v>68</v>
      </c>
      <c r="N385" s="48" t="n">
        <f aca="false">IF(COUNT(L385:M385)=2,ABS(L385-M385),"")</f>
        <v>5</v>
      </c>
      <c r="O385" s="37" t="str">
        <f aca="false">IF(N385="","",IF(N385&gt;=Threshold,"Yes","No"))</f>
        <v>No</v>
      </c>
      <c r="P385" s="48" t="str">
        <f aca="false">IFERROR(AVERAGEIFS('Score Entry'!$M$5:$M$1276,'Score Entry'!$B$5:$B$1276,A385,'Score Entry'!$E$5:$E$1276,"Third"),"")</f>
        <v/>
      </c>
      <c r="Q385" s="48" t="n">
        <f aca="false">IF(H385&lt;&gt;"Eligible","",IF(O385="Yes",IF(ISNUMBER(P385),ROUND(AVERAGE(L385,M385,P385),1),""),IF(O385="No",ROUND(AVERAGE(L385:M385),1),"")))</f>
        <v>65.5</v>
      </c>
      <c r="R385" s="37" t="str">
        <f aca="false">IF(H385&lt;&gt;"Eligible","Screened out",IF(COUNT(L385:M385)=0,"Not started",IF(COUNT(L385:M385)=1,"One read done",IF(O385="Yes",IF(ISNUMBER(P385),"Complete","Needs third read"),"Complete"))))</f>
        <v>Complete</v>
      </c>
      <c r="S385" s="37" t="n">
        <f aca="false">IF(Q385="","",COUNTIFS($C$5:$C$600,C385,$Q$5:$Q$600,"&gt;"&amp;Q385)+1)</f>
        <v>68</v>
      </c>
      <c r="T385" s="37" t="str">
        <f aca="false">IF(Q385="","",IF(Q385&gt;=Cutoff,"Yes","No"))</f>
        <v>No</v>
      </c>
      <c r="U385" s="49" t="n">
        <f aca="false">IF(T385="Yes",MIN(F385,INDEX(Settings!$G:$G,MATCH(C385,Settings!$E:$E,0))),0)</f>
        <v>0</v>
      </c>
      <c r="V385" s="49" t="str">
        <f aca="false">IF(T385="Yes",SUMIFS($U$5:$U$600,$C$5:$C$600,C385,$Q$5:$Q$600,"&gt;"&amp;Q385)+U385,"")</f>
        <v/>
      </c>
      <c r="W385" s="37" t="str">
        <f aca="false">IF(T385="Yes",IF(V385&lt;=INDEX(PoolList,MATCH(C385,ProgramList,0)),"Within pool","Over pool"),"")</f>
        <v/>
      </c>
      <c r="X385" s="37" t="str">
        <f aca="false">IF(O385="Yes",COUNTIF($O$5:O385,"Yes"),"")</f>
        <v/>
      </c>
    </row>
    <row r="386" customFormat="false" ht="15" hidden="false" customHeight="false" outlineLevel="0" collapsed="false">
      <c r="A386" s="35" t="s">
        <v>955</v>
      </c>
      <c r="B386" s="35" t="s">
        <v>956</v>
      </c>
      <c r="C386" s="35" t="s">
        <v>103</v>
      </c>
      <c r="D386" s="35" t="s">
        <v>174</v>
      </c>
      <c r="E386" s="35" t="s">
        <v>175</v>
      </c>
      <c r="F386" s="42" t="n">
        <v>85000</v>
      </c>
      <c r="G386" s="36" t="n">
        <v>45922</v>
      </c>
      <c r="H386" s="35" t="s">
        <v>96</v>
      </c>
      <c r="I386" s="35"/>
      <c r="J386" s="35"/>
      <c r="K386" s="35"/>
      <c r="L386" s="48" t="str">
        <f aca="false">IFERROR(AVERAGEIFS('Score Entry'!$M$5:$M$1276,'Score Entry'!$B$5:$B$1276,A386,'Score Entry'!$E$5:$E$1276,"Primary"),"")</f>
        <v/>
      </c>
      <c r="M386" s="48" t="str">
        <f aca="false">IFERROR(AVERAGEIFS('Score Entry'!$M$5:$M$1276,'Score Entry'!$B$5:$B$1276,A386,'Score Entry'!$E$5:$E$1276,"Secondary"),"")</f>
        <v/>
      </c>
      <c r="N386" s="48" t="str">
        <f aca="false">IF(COUNT(L386:M386)=2,ABS(L386-M386),"")</f>
        <v/>
      </c>
      <c r="O386" s="37" t="str">
        <f aca="false">IF(N386="","",IF(N386&gt;=Threshold,"Yes","No"))</f>
        <v/>
      </c>
      <c r="P386" s="48" t="str">
        <f aca="false">IFERROR(AVERAGEIFS('Score Entry'!$M$5:$M$1276,'Score Entry'!$B$5:$B$1276,A386,'Score Entry'!$E$5:$E$1276,"Third"),"")</f>
        <v/>
      </c>
      <c r="Q386" s="48" t="str">
        <f aca="false">IF(H386&lt;&gt;"Eligible","",IF(O386="Yes",IF(ISNUMBER(P386),ROUND(AVERAGE(L386,M386,P386),1),""),IF(O386="No",ROUND(AVERAGE(L386:M386),1),"")))</f>
        <v/>
      </c>
      <c r="R386" s="37" t="str">
        <f aca="false">IF(H386&lt;&gt;"Eligible","Screened out",IF(COUNT(L386:M386)=0,"Not started",IF(COUNT(L386:M386)=1,"One read done",IF(O386="Yes",IF(ISNUMBER(P386),"Complete","Needs third read"),"Complete"))))</f>
        <v>Screened out</v>
      </c>
      <c r="S386" s="37" t="str">
        <f aca="false">IF(Q386="","",COUNTIFS($C$5:$C$600,C386,$Q$5:$Q$600,"&gt;"&amp;Q386)+1)</f>
        <v/>
      </c>
      <c r="T386" s="37" t="str">
        <f aca="false">IF(Q386="","",IF(Q386&gt;=Cutoff,"Yes","No"))</f>
        <v/>
      </c>
      <c r="U386" s="49" t="n">
        <f aca="false">IF(T386="Yes",MIN(F386,INDEX(Settings!$G:$G,MATCH(C386,Settings!$E:$E,0))),0)</f>
        <v>0</v>
      </c>
      <c r="V386" s="49" t="str">
        <f aca="false">IF(T386="Yes",SUMIFS($U$5:$U$600,$C$5:$C$600,C386,$Q$5:$Q$600,"&gt;"&amp;Q386)+U386,"")</f>
        <v/>
      </c>
      <c r="W386" s="37" t="str">
        <f aca="false">IF(T386="Yes",IF(V386&lt;=INDEX(PoolList,MATCH(C386,ProgramList,0)),"Within pool","Over pool"),"")</f>
        <v/>
      </c>
      <c r="X386" s="37" t="str">
        <f aca="false">IF(O386="Yes",COUNTIF($O$5:O386,"Yes"),"")</f>
        <v/>
      </c>
    </row>
    <row r="387" customFormat="false" ht="15" hidden="false" customHeight="false" outlineLevel="0" collapsed="false">
      <c r="A387" s="35" t="s">
        <v>957</v>
      </c>
      <c r="B387" s="35" t="s">
        <v>958</v>
      </c>
      <c r="C387" s="35" t="s">
        <v>103</v>
      </c>
      <c r="D387" s="35" t="s">
        <v>180</v>
      </c>
      <c r="E387" s="35" t="s">
        <v>181</v>
      </c>
      <c r="F387" s="42" t="n">
        <v>241000</v>
      </c>
      <c r="G387" s="36" t="n">
        <v>45924</v>
      </c>
      <c r="H387" s="35" t="s">
        <v>54</v>
      </c>
      <c r="I387" s="35" t="s">
        <v>82</v>
      </c>
      <c r="J387" s="35" t="s">
        <v>85</v>
      </c>
      <c r="K387" s="35"/>
      <c r="L387" s="48" t="n">
        <f aca="false">IFERROR(AVERAGEIFS('Score Entry'!$M$5:$M$1276,'Score Entry'!$B$5:$B$1276,A387,'Score Entry'!$E$5:$E$1276,"Primary"),"")</f>
        <v>63</v>
      </c>
      <c r="M387" s="48" t="n">
        <f aca="false">IFERROR(AVERAGEIFS('Score Entry'!$M$5:$M$1276,'Score Entry'!$B$5:$B$1276,A387,'Score Entry'!$E$5:$E$1276,"Secondary"),"")</f>
        <v>59</v>
      </c>
      <c r="N387" s="48" t="n">
        <f aca="false">IF(COUNT(L387:M387)=2,ABS(L387-M387),"")</f>
        <v>4</v>
      </c>
      <c r="O387" s="37" t="str">
        <f aca="false">IF(N387="","",IF(N387&gt;=Threshold,"Yes","No"))</f>
        <v>No</v>
      </c>
      <c r="P387" s="48" t="str">
        <f aca="false">IFERROR(AVERAGEIFS('Score Entry'!$M$5:$M$1276,'Score Entry'!$B$5:$B$1276,A387,'Score Entry'!$E$5:$E$1276,"Third"),"")</f>
        <v/>
      </c>
      <c r="Q387" s="48" t="n">
        <f aca="false">IF(H387&lt;&gt;"Eligible","",IF(O387="Yes",IF(ISNUMBER(P387),ROUND(AVERAGE(L387,M387,P387),1),""),IF(O387="No",ROUND(AVERAGE(L387:M387),1),"")))</f>
        <v>61</v>
      </c>
      <c r="R387" s="37" t="str">
        <f aca="false">IF(H387&lt;&gt;"Eligible","Screened out",IF(COUNT(L387:M387)=0,"Not started",IF(COUNT(L387:M387)=1,"One read done",IF(O387="Yes",IF(ISNUMBER(P387),"Complete","Needs third read"),"Complete"))))</f>
        <v>Complete</v>
      </c>
      <c r="S387" s="37" t="n">
        <f aca="false">IF(Q387="","",COUNTIFS($C$5:$C$600,C387,$Q$5:$Q$600,"&gt;"&amp;Q387)+1)</f>
        <v>107</v>
      </c>
      <c r="T387" s="37" t="str">
        <f aca="false">IF(Q387="","",IF(Q387&gt;=Cutoff,"Yes","No"))</f>
        <v>No</v>
      </c>
      <c r="U387" s="49" t="n">
        <f aca="false">IF(T387="Yes",MIN(F387,INDEX(Settings!$G:$G,MATCH(C387,Settings!$E:$E,0))),0)</f>
        <v>0</v>
      </c>
      <c r="V387" s="49" t="str">
        <f aca="false">IF(T387="Yes",SUMIFS($U$5:$U$600,$C$5:$C$600,C387,$Q$5:$Q$600,"&gt;"&amp;Q387)+U387,"")</f>
        <v/>
      </c>
      <c r="W387" s="37" t="str">
        <f aca="false">IF(T387="Yes",IF(V387&lt;=INDEX(PoolList,MATCH(C387,ProgramList,0)),"Within pool","Over pool"),"")</f>
        <v/>
      </c>
      <c r="X387" s="37" t="str">
        <f aca="false">IF(O387="Yes",COUNTIF($O$5:O387,"Yes"),"")</f>
        <v/>
      </c>
    </row>
    <row r="388" customFormat="false" ht="15" hidden="false" customHeight="false" outlineLevel="0" collapsed="false">
      <c r="A388" s="35" t="s">
        <v>959</v>
      </c>
      <c r="B388" s="35" t="s">
        <v>960</v>
      </c>
      <c r="C388" s="35" t="s">
        <v>103</v>
      </c>
      <c r="D388" s="35" t="s">
        <v>239</v>
      </c>
      <c r="E388" s="35" t="s">
        <v>255</v>
      </c>
      <c r="F388" s="42" t="n">
        <v>79000</v>
      </c>
      <c r="G388" s="36" t="n">
        <v>45908</v>
      </c>
      <c r="H388" s="35" t="s">
        <v>54</v>
      </c>
      <c r="I388" s="35" t="s">
        <v>88</v>
      </c>
      <c r="J388" s="35" t="s">
        <v>82</v>
      </c>
      <c r="K388" s="35"/>
      <c r="L388" s="48" t="n">
        <f aca="false">IFERROR(AVERAGEIFS('Score Entry'!$M$5:$M$1276,'Score Entry'!$B$5:$B$1276,A388,'Score Entry'!$E$5:$E$1276,"Primary"),"")</f>
        <v>91</v>
      </c>
      <c r="M388" s="48" t="n">
        <f aca="false">IFERROR(AVERAGEIFS('Score Entry'!$M$5:$M$1276,'Score Entry'!$B$5:$B$1276,A388,'Score Entry'!$E$5:$E$1276,"Secondary"),"")</f>
        <v>80</v>
      </c>
      <c r="N388" s="48" t="n">
        <f aca="false">IF(COUNT(L388:M388)=2,ABS(L388-M388),"")</f>
        <v>11</v>
      </c>
      <c r="O388" s="37" t="str">
        <f aca="false">IF(N388="","",IF(N388&gt;=Threshold,"Yes","No"))</f>
        <v>No</v>
      </c>
      <c r="P388" s="48" t="str">
        <f aca="false">IFERROR(AVERAGEIFS('Score Entry'!$M$5:$M$1276,'Score Entry'!$B$5:$B$1276,A388,'Score Entry'!$E$5:$E$1276,"Third"),"")</f>
        <v/>
      </c>
      <c r="Q388" s="48" t="n">
        <f aca="false">IF(H388&lt;&gt;"Eligible","",IF(O388="Yes",IF(ISNUMBER(P388),ROUND(AVERAGE(L388,M388,P388),1),""),IF(O388="No",ROUND(AVERAGE(L388:M388),1),"")))</f>
        <v>85.5</v>
      </c>
      <c r="R388" s="37" t="str">
        <f aca="false">IF(H388&lt;&gt;"Eligible","Screened out",IF(COUNT(L388:M388)=0,"Not started",IF(COUNT(L388:M388)=1,"One read done",IF(O388="Yes",IF(ISNUMBER(P388),"Complete","Needs third read"),"Complete"))))</f>
        <v>Complete</v>
      </c>
      <c r="S388" s="37" t="n">
        <f aca="false">IF(Q388="","",COUNTIFS($C$5:$C$600,C388,$Q$5:$Q$600,"&gt;"&amp;Q388)+1)</f>
        <v>12</v>
      </c>
      <c r="T388" s="37" t="str">
        <f aca="false">IF(Q388="","",IF(Q388&gt;=Cutoff,"Yes","No"))</f>
        <v>Yes</v>
      </c>
      <c r="U388" s="49" t="n">
        <f aca="false">IF(T388="Yes",MIN(F388,INDEX(Settings!$G:$G,MATCH(C388,Settings!$E:$E,0))),0)</f>
        <v>79000</v>
      </c>
      <c r="V388" s="49" t="n">
        <f aca="false">IF(T388="Yes",SUMIFS($U$5:$U$600,$C$5:$C$600,C388,$Q$5:$Q$600,"&gt;"&amp;Q388)+U388,"")</f>
        <v>1330500</v>
      </c>
      <c r="W388" s="37" t="str">
        <f aca="false">IF(T388="Yes",IF(V388&lt;=INDEX(PoolList,MATCH(C388,ProgramList,0)),"Within pool","Over pool"),"")</f>
        <v>Over pool</v>
      </c>
      <c r="X388" s="37" t="str">
        <f aca="false">IF(O388="Yes",COUNTIF($O$5:O388,"Yes"),"")</f>
        <v/>
      </c>
    </row>
    <row r="389" customFormat="false" ht="15" hidden="false" customHeight="false" outlineLevel="0" collapsed="false">
      <c r="A389" s="35" t="s">
        <v>961</v>
      </c>
      <c r="B389" s="35" t="s">
        <v>962</v>
      </c>
      <c r="C389" s="35" t="s">
        <v>106</v>
      </c>
      <c r="D389" s="35" t="s">
        <v>180</v>
      </c>
      <c r="E389" s="35" t="s">
        <v>218</v>
      </c>
      <c r="F389" s="42" t="n">
        <v>170000</v>
      </c>
      <c r="G389" s="36" t="n">
        <v>45925</v>
      </c>
      <c r="H389" s="35" t="s">
        <v>54</v>
      </c>
      <c r="I389" s="35" t="s">
        <v>78</v>
      </c>
      <c r="J389" s="35" t="s">
        <v>94</v>
      </c>
      <c r="K389" s="35"/>
      <c r="L389" s="48" t="n">
        <f aca="false">IFERROR(AVERAGEIFS('Score Entry'!$M$5:$M$1276,'Score Entry'!$B$5:$B$1276,A389,'Score Entry'!$E$5:$E$1276,"Primary"),"")</f>
        <v>62</v>
      </c>
      <c r="M389" s="48" t="n">
        <f aca="false">IFERROR(AVERAGEIFS('Score Entry'!$M$5:$M$1276,'Score Entry'!$B$5:$B$1276,A389,'Score Entry'!$E$5:$E$1276,"Secondary"),"")</f>
        <v>60</v>
      </c>
      <c r="N389" s="48" t="n">
        <f aca="false">IF(COUNT(L389:M389)=2,ABS(L389-M389),"")</f>
        <v>2</v>
      </c>
      <c r="O389" s="37" t="str">
        <f aca="false">IF(N389="","",IF(N389&gt;=Threshold,"Yes","No"))</f>
        <v>No</v>
      </c>
      <c r="P389" s="48" t="str">
        <f aca="false">IFERROR(AVERAGEIFS('Score Entry'!$M$5:$M$1276,'Score Entry'!$B$5:$B$1276,A389,'Score Entry'!$E$5:$E$1276,"Third"),"")</f>
        <v/>
      </c>
      <c r="Q389" s="48" t="n">
        <f aca="false">IF(H389&lt;&gt;"Eligible","",IF(O389="Yes",IF(ISNUMBER(P389),ROUND(AVERAGE(L389,M389,P389),1),""),IF(O389="No",ROUND(AVERAGE(L389:M389),1),"")))</f>
        <v>61</v>
      </c>
      <c r="R389" s="37" t="str">
        <f aca="false">IF(H389&lt;&gt;"Eligible","Screened out",IF(COUNT(L389:M389)=0,"Not started",IF(COUNT(L389:M389)=1,"One read done",IF(O389="Yes",IF(ISNUMBER(P389),"Complete","Needs third read"),"Complete"))))</f>
        <v>Complete</v>
      </c>
      <c r="S389" s="37" t="n">
        <f aca="false">IF(Q389="","",COUNTIFS($C$5:$C$600,C389,$Q$5:$Q$600,"&gt;"&amp;Q389)+1)</f>
        <v>81</v>
      </c>
      <c r="T389" s="37" t="str">
        <f aca="false">IF(Q389="","",IF(Q389&gt;=Cutoff,"Yes","No"))</f>
        <v>No</v>
      </c>
      <c r="U389" s="49" t="n">
        <f aca="false">IF(T389="Yes",MIN(F389,INDEX(Settings!$G:$G,MATCH(C389,Settings!$E:$E,0))),0)</f>
        <v>0</v>
      </c>
      <c r="V389" s="49" t="str">
        <f aca="false">IF(T389="Yes",SUMIFS($U$5:$U$600,$C$5:$C$600,C389,$Q$5:$Q$600,"&gt;"&amp;Q389)+U389,"")</f>
        <v/>
      </c>
      <c r="W389" s="37" t="str">
        <f aca="false">IF(T389="Yes",IF(V389&lt;=INDEX(PoolList,MATCH(C389,ProgramList,0)),"Within pool","Over pool"),"")</f>
        <v/>
      </c>
      <c r="X389" s="37" t="str">
        <f aca="false">IF(O389="Yes",COUNTIF($O$5:O389,"Yes"),"")</f>
        <v/>
      </c>
    </row>
    <row r="390" customFormat="false" ht="15" hidden="false" customHeight="false" outlineLevel="0" collapsed="false">
      <c r="A390" s="35" t="s">
        <v>963</v>
      </c>
      <c r="B390" s="35" t="s">
        <v>964</v>
      </c>
      <c r="C390" s="35" t="s">
        <v>105</v>
      </c>
      <c r="D390" s="35" t="s">
        <v>174</v>
      </c>
      <c r="E390" s="35" t="s">
        <v>175</v>
      </c>
      <c r="F390" s="42" t="n">
        <v>114000</v>
      </c>
      <c r="G390" s="36" t="n">
        <v>45927</v>
      </c>
      <c r="H390" s="35" t="s">
        <v>54</v>
      </c>
      <c r="I390" s="35" t="s">
        <v>94</v>
      </c>
      <c r="J390" s="35" t="s">
        <v>85</v>
      </c>
      <c r="K390" s="35"/>
      <c r="L390" s="48" t="n">
        <f aca="false">IFERROR(AVERAGEIFS('Score Entry'!$M$5:$M$1276,'Score Entry'!$B$5:$B$1276,A390,'Score Entry'!$E$5:$E$1276,"Primary"),"")</f>
        <v>84</v>
      </c>
      <c r="M390" s="48" t="n">
        <f aca="false">IFERROR(AVERAGEIFS('Score Entry'!$M$5:$M$1276,'Score Entry'!$B$5:$B$1276,A390,'Score Entry'!$E$5:$E$1276,"Secondary"),"")</f>
        <v>76</v>
      </c>
      <c r="N390" s="48" t="n">
        <f aca="false">IF(COUNT(L390:M390)=2,ABS(L390-M390),"")</f>
        <v>8</v>
      </c>
      <c r="O390" s="37" t="str">
        <f aca="false">IF(N390="","",IF(N390&gt;=Threshold,"Yes","No"))</f>
        <v>No</v>
      </c>
      <c r="P390" s="48" t="str">
        <f aca="false">IFERROR(AVERAGEIFS('Score Entry'!$M$5:$M$1276,'Score Entry'!$B$5:$B$1276,A390,'Score Entry'!$E$5:$E$1276,"Third"),"")</f>
        <v/>
      </c>
      <c r="Q390" s="48" t="n">
        <f aca="false">IF(H390&lt;&gt;"Eligible","",IF(O390="Yes",IF(ISNUMBER(P390),ROUND(AVERAGE(L390,M390,P390),1),""),IF(O390="No",ROUND(AVERAGE(L390:M390),1),"")))</f>
        <v>80</v>
      </c>
      <c r="R390" s="37" t="str">
        <f aca="false">IF(H390&lt;&gt;"Eligible","Screened out",IF(COUNT(L390:M390)=0,"Not started",IF(COUNT(L390:M390)=1,"One read done",IF(O390="Yes",IF(ISNUMBER(P390),"Complete","Needs third read"),"Complete"))))</f>
        <v>Complete</v>
      </c>
      <c r="S390" s="37" t="n">
        <f aca="false">IF(Q390="","",COUNTIFS($C$5:$C$600,C390,$Q$5:$Q$600,"&gt;"&amp;Q390)+1)</f>
        <v>18</v>
      </c>
      <c r="T390" s="37" t="str">
        <f aca="false">IF(Q390="","",IF(Q390&gt;=Cutoff,"Yes","No"))</f>
        <v>No</v>
      </c>
      <c r="U390" s="49" t="n">
        <f aca="false">IF(T390="Yes",MIN(F390,INDEX(Settings!$G:$G,MATCH(C390,Settings!$E:$E,0))),0)</f>
        <v>0</v>
      </c>
      <c r="V390" s="49" t="str">
        <f aca="false">IF(T390="Yes",SUMIFS($U$5:$U$600,$C$5:$C$600,C390,$Q$5:$Q$600,"&gt;"&amp;Q390)+U390,"")</f>
        <v/>
      </c>
      <c r="W390" s="37" t="str">
        <f aca="false">IF(T390="Yes",IF(V390&lt;=INDEX(PoolList,MATCH(C390,ProgramList,0)),"Within pool","Over pool"),"")</f>
        <v/>
      </c>
      <c r="X390" s="37" t="str">
        <f aca="false">IF(O390="Yes",COUNTIF($O$5:O390,"Yes"),"")</f>
        <v/>
      </c>
    </row>
    <row r="391" customFormat="false" ht="15" hidden="false" customHeight="false" outlineLevel="0" collapsed="false">
      <c r="A391" s="35" t="s">
        <v>965</v>
      </c>
      <c r="B391" s="35" t="s">
        <v>966</v>
      </c>
      <c r="C391" s="35" t="s">
        <v>106</v>
      </c>
      <c r="D391" s="35" t="s">
        <v>174</v>
      </c>
      <c r="E391" s="35" t="s">
        <v>175</v>
      </c>
      <c r="F391" s="42" t="n">
        <v>128000</v>
      </c>
      <c r="G391" s="36" t="n">
        <v>45908</v>
      </c>
      <c r="H391" s="35" t="s">
        <v>54</v>
      </c>
      <c r="I391" s="35" t="s">
        <v>91</v>
      </c>
      <c r="J391" s="35" t="s">
        <v>78</v>
      </c>
      <c r="K391" s="35"/>
      <c r="L391" s="48" t="n">
        <f aca="false">IFERROR(AVERAGEIFS('Score Entry'!$M$5:$M$1276,'Score Entry'!$B$5:$B$1276,A391,'Score Entry'!$E$5:$E$1276,"Primary"),"")</f>
        <v>80</v>
      </c>
      <c r="M391" s="48" t="n">
        <f aca="false">IFERROR(AVERAGEIFS('Score Entry'!$M$5:$M$1276,'Score Entry'!$B$5:$B$1276,A391,'Score Entry'!$E$5:$E$1276,"Secondary"),"")</f>
        <v>75</v>
      </c>
      <c r="N391" s="48" t="n">
        <f aca="false">IF(COUNT(L391:M391)=2,ABS(L391-M391),"")</f>
        <v>5</v>
      </c>
      <c r="O391" s="37" t="str">
        <f aca="false">IF(N391="","",IF(N391&gt;=Threshold,"Yes","No"))</f>
        <v>No</v>
      </c>
      <c r="P391" s="48" t="str">
        <f aca="false">IFERROR(AVERAGEIFS('Score Entry'!$M$5:$M$1276,'Score Entry'!$B$5:$B$1276,A391,'Score Entry'!$E$5:$E$1276,"Third"),"")</f>
        <v/>
      </c>
      <c r="Q391" s="48" t="n">
        <f aca="false">IF(H391&lt;&gt;"Eligible","",IF(O391="Yes",IF(ISNUMBER(P391),ROUND(AVERAGE(L391,M391,P391),1),""),IF(O391="No",ROUND(AVERAGE(L391:M391),1),"")))</f>
        <v>77.5</v>
      </c>
      <c r="R391" s="37" t="str">
        <f aca="false">IF(H391&lt;&gt;"Eligible","Screened out",IF(COUNT(L391:M391)=0,"Not started",IF(COUNT(L391:M391)=1,"One read done",IF(O391="Yes",IF(ISNUMBER(P391),"Complete","Needs third read"),"Complete"))))</f>
        <v>Complete</v>
      </c>
      <c r="S391" s="37" t="n">
        <f aca="false">IF(Q391="","",COUNTIFS($C$5:$C$600,C391,$Q$5:$Q$600,"&gt;"&amp;Q391)+1)</f>
        <v>29</v>
      </c>
      <c r="T391" s="37" t="str">
        <f aca="false">IF(Q391="","",IF(Q391&gt;=Cutoff,"Yes","No"))</f>
        <v>No</v>
      </c>
      <c r="U391" s="49" t="n">
        <f aca="false">IF(T391="Yes",MIN(F391,INDEX(Settings!$G:$G,MATCH(C391,Settings!$E:$E,0))),0)</f>
        <v>0</v>
      </c>
      <c r="V391" s="49" t="str">
        <f aca="false">IF(T391="Yes",SUMIFS($U$5:$U$600,$C$5:$C$600,C391,$Q$5:$Q$600,"&gt;"&amp;Q391)+U391,"")</f>
        <v/>
      </c>
      <c r="W391" s="37" t="str">
        <f aca="false">IF(T391="Yes",IF(V391&lt;=INDEX(PoolList,MATCH(C391,ProgramList,0)),"Within pool","Over pool"),"")</f>
        <v/>
      </c>
      <c r="X391" s="37" t="str">
        <f aca="false">IF(O391="Yes",COUNTIF($O$5:O391,"Yes"),"")</f>
        <v/>
      </c>
    </row>
    <row r="392" customFormat="false" ht="15" hidden="false" customHeight="false" outlineLevel="0" collapsed="false">
      <c r="A392" s="35" t="s">
        <v>967</v>
      </c>
      <c r="B392" s="35" t="s">
        <v>968</v>
      </c>
      <c r="C392" s="35" t="s">
        <v>106</v>
      </c>
      <c r="D392" s="35" t="s">
        <v>174</v>
      </c>
      <c r="E392" s="35" t="s">
        <v>175</v>
      </c>
      <c r="F392" s="42" t="n">
        <v>130500</v>
      </c>
      <c r="G392" s="36" t="n">
        <v>45927</v>
      </c>
      <c r="H392" s="35" t="s">
        <v>54</v>
      </c>
      <c r="I392" s="35" t="s">
        <v>82</v>
      </c>
      <c r="J392" s="35" t="s">
        <v>85</v>
      </c>
      <c r="K392" s="35"/>
      <c r="L392" s="48" t="str">
        <f aca="false">IFERROR(AVERAGEIFS('Score Entry'!$M$5:$M$1276,'Score Entry'!$B$5:$B$1276,A392,'Score Entry'!$E$5:$E$1276,"Primary"),"")</f>
        <v/>
      </c>
      <c r="M392" s="48" t="n">
        <f aca="false">IFERROR(AVERAGEIFS('Score Entry'!$M$5:$M$1276,'Score Entry'!$B$5:$B$1276,A392,'Score Entry'!$E$5:$E$1276,"Secondary"),"")</f>
        <v>64</v>
      </c>
      <c r="N392" s="48" t="str">
        <f aca="false">IF(COUNT(L392:M392)=2,ABS(L392-M392),"")</f>
        <v/>
      </c>
      <c r="O392" s="37" t="str">
        <f aca="false">IF(N392="","",IF(N392&gt;=Threshold,"Yes","No"))</f>
        <v/>
      </c>
      <c r="P392" s="48" t="str">
        <f aca="false">IFERROR(AVERAGEIFS('Score Entry'!$M$5:$M$1276,'Score Entry'!$B$5:$B$1276,A392,'Score Entry'!$E$5:$E$1276,"Third"),"")</f>
        <v/>
      </c>
      <c r="Q392" s="48" t="str">
        <f aca="false">IF(H392&lt;&gt;"Eligible","",IF(O392="Yes",IF(ISNUMBER(P392),ROUND(AVERAGE(L392,M392,P392),1),""),IF(O392="No",ROUND(AVERAGE(L392:M392),1),"")))</f>
        <v/>
      </c>
      <c r="R392" s="37" t="str">
        <f aca="false">IF(H392&lt;&gt;"Eligible","Screened out",IF(COUNT(L392:M392)=0,"Not started",IF(COUNT(L392:M392)=1,"One read done",IF(O392="Yes",IF(ISNUMBER(P392),"Complete","Needs third read"),"Complete"))))</f>
        <v>One read done</v>
      </c>
      <c r="S392" s="37" t="str">
        <f aca="false">IF(Q392="","",COUNTIFS($C$5:$C$600,C392,$Q$5:$Q$600,"&gt;"&amp;Q392)+1)</f>
        <v/>
      </c>
      <c r="T392" s="37" t="str">
        <f aca="false">IF(Q392="","",IF(Q392&gt;=Cutoff,"Yes","No"))</f>
        <v/>
      </c>
      <c r="U392" s="49" t="n">
        <f aca="false">IF(T392="Yes",MIN(F392,INDEX(Settings!$G:$G,MATCH(C392,Settings!$E:$E,0))),0)</f>
        <v>0</v>
      </c>
      <c r="V392" s="49" t="str">
        <f aca="false">IF(T392="Yes",SUMIFS($U$5:$U$600,$C$5:$C$600,C392,$Q$5:$Q$600,"&gt;"&amp;Q392)+U392,"")</f>
        <v/>
      </c>
      <c r="W392" s="37" t="str">
        <f aca="false">IF(T392="Yes",IF(V392&lt;=INDEX(PoolList,MATCH(C392,ProgramList,0)),"Within pool","Over pool"),"")</f>
        <v/>
      </c>
      <c r="X392" s="37" t="str">
        <f aca="false">IF(O392="Yes",COUNTIF($O$5:O392,"Yes"),"")</f>
        <v/>
      </c>
    </row>
    <row r="393" customFormat="false" ht="15" hidden="false" customHeight="false" outlineLevel="0" collapsed="false">
      <c r="A393" s="35" t="s">
        <v>969</v>
      </c>
      <c r="B393" s="35" t="s">
        <v>970</v>
      </c>
      <c r="C393" s="35" t="s">
        <v>104</v>
      </c>
      <c r="D393" s="35" t="s">
        <v>221</v>
      </c>
      <c r="E393" s="35" t="s">
        <v>227</v>
      </c>
      <c r="F393" s="42" t="n">
        <v>119500</v>
      </c>
      <c r="G393" s="36" t="n">
        <v>45924</v>
      </c>
      <c r="H393" s="35" t="s">
        <v>54</v>
      </c>
      <c r="I393" s="35" t="s">
        <v>91</v>
      </c>
      <c r="J393" s="35" t="s">
        <v>88</v>
      </c>
      <c r="K393" s="35"/>
      <c r="L393" s="48" t="n">
        <f aca="false">IFERROR(AVERAGEIFS('Score Entry'!$M$5:$M$1276,'Score Entry'!$B$5:$B$1276,A393,'Score Entry'!$E$5:$E$1276,"Primary"),"")</f>
        <v>74</v>
      </c>
      <c r="M393" s="48" t="n">
        <f aca="false">IFERROR(AVERAGEIFS('Score Entry'!$M$5:$M$1276,'Score Entry'!$B$5:$B$1276,A393,'Score Entry'!$E$5:$E$1276,"Secondary"),"")</f>
        <v>78</v>
      </c>
      <c r="N393" s="48" t="n">
        <f aca="false">IF(COUNT(L393:M393)=2,ABS(L393-M393),"")</f>
        <v>4</v>
      </c>
      <c r="O393" s="37" t="str">
        <f aca="false">IF(N393="","",IF(N393&gt;=Threshold,"Yes","No"))</f>
        <v>No</v>
      </c>
      <c r="P393" s="48" t="str">
        <f aca="false">IFERROR(AVERAGEIFS('Score Entry'!$M$5:$M$1276,'Score Entry'!$B$5:$B$1276,A393,'Score Entry'!$E$5:$E$1276,"Third"),"")</f>
        <v/>
      </c>
      <c r="Q393" s="48" t="n">
        <f aca="false">IF(H393&lt;&gt;"Eligible","",IF(O393="Yes",IF(ISNUMBER(P393),ROUND(AVERAGE(L393,M393,P393),1),""),IF(O393="No",ROUND(AVERAGE(L393:M393),1),"")))</f>
        <v>76</v>
      </c>
      <c r="R393" s="37" t="str">
        <f aca="false">IF(H393&lt;&gt;"Eligible","Screened out",IF(COUNT(L393:M393)=0,"Not started",IF(COUNT(L393:M393)=1,"One read done",IF(O393="Yes",IF(ISNUMBER(P393),"Complete","Needs third read"),"Complete"))))</f>
        <v>Complete</v>
      </c>
      <c r="S393" s="37" t="n">
        <f aca="false">IF(Q393="","",COUNTIFS($C$5:$C$600,C393,$Q$5:$Q$600,"&gt;"&amp;Q393)+1)</f>
        <v>30</v>
      </c>
      <c r="T393" s="37" t="str">
        <f aca="false">IF(Q393="","",IF(Q393&gt;=Cutoff,"Yes","No"))</f>
        <v>No</v>
      </c>
      <c r="U393" s="49" t="n">
        <f aca="false">IF(T393="Yes",MIN(F393,INDEX(Settings!$G:$G,MATCH(C393,Settings!$E:$E,0))),0)</f>
        <v>0</v>
      </c>
      <c r="V393" s="49" t="str">
        <f aca="false">IF(T393="Yes",SUMIFS($U$5:$U$600,$C$5:$C$600,C393,$Q$5:$Q$600,"&gt;"&amp;Q393)+U393,"")</f>
        <v/>
      </c>
      <c r="W393" s="37" t="str">
        <f aca="false">IF(T393="Yes",IF(V393&lt;=INDEX(PoolList,MATCH(C393,ProgramList,0)),"Within pool","Over pool"),"")</f>
        <v/>
      </c>
      <c r="X393" s="37" t="str">
        <f aca="false">IF(O393="Yes",COUNTIF($O$5:O393,"Yes"),"")</f>
        <v/>
      </c>
    </row>
    <row r="394" customFormat="false" ht="15" hidden="false" customHeight="false" outlineLevel="0" collapsed="false">
      <c r="A394" s="35" t="s">
        <v>971</v>
      </c>
      <c r="B394" s="35" t="s">
        <v>972</v>
      </c>
      <c r="C394" s="35" t="s">
        <v>106</v>
      </c>
      <c r="D394" s="35" t="s">
        <v>174</v>
      </c>
      <c r="E394" s="35" t="s">
        <v>175</v>
      </c>
      <c r="F394" s="42" t="n">
        <v>93500</v>
      </c>
      <c r="G394" s="36" t="n">
        <v>45922</v>
      </c>
      <c r="H394" s="35" t="s">
        <v>54</v>
      </c>
      <c r="I394" s="35" t="s">
        <v>91</v>
      </c>
      <c r="J394" s="35" t="s">
        <v>78</v>
      </c>
      <c r="K394" s="35"/>
      <c r="L394" s="48" t="n">
        <f aca="false">IFERROR(AVERAGEIFS('Score Entry'!$M$5:$M$1276,'Score Entry'!$B$5:$B$1276,A394,'Score Entry'!$E$5:$E$1276,"Primary"),"")</f>
        <v>80</v>
      </c>
      <c r="M394" s="48" t="n">
        <f aca="false">IFERROR(AVERAGEIFS('Score Entry'!$M$5:$M$1276,'Score Entry'!$B$5:$B$1276,A394,'Score Entry'!$E$5:$E$1276,"Secondary"),"")</f>
        <v>78</v>
      </c>
      <c r="N394" s="48" t="n">
        <f aca="false">IF(COUNT(L394:M394)=2,ABS(L394-M394),"")</f>
        <v>2</v>
      </c>
      <c r="O394" s="37" t="str">
        <f aca="false">IF(N394="","",IF(N394&gt;=Threshold,"Yes","No"))</f>
        <v>No</v>
      </c>
      <c r="P394" s="48" t="str">
        <f aca="false">IFERROR(AVERAGEIFS('Score Entry'!$M$5:$M$1276,'Score Entry'!$B$5:$B$1276,A394,'Score Entry'!$E$5:$E$1276,"Third"),"")</f>
        <v/>
      </c>
      <c r="Q394" s="48" t="n">
        <f aca="false">IF(H394&lt;&gt;"Eligible","",IF(O394="Yes",IF(ISNUMBER(P394),ROUND(AVERAGE(L394,M394,P394),1),""),IF(O394="No",ROUND(AVERAGE(L394:M394),1),"")))</f>
        <v>79</v>
      </c>
      <c r="R394" s="37" t="str">
        <f aca="false">IF(H394&lt;&gt;"Eligible","Screened out",IF(COUNT(L394:M394)=0,"Not started",IF(COUNT(L394:M394)=1,"One read done",IF(O394="Yes",IF(ISNUMBER(P394),"Complete","Needs third read"),"Complete"))))</f>
        <v>Complete</v>
      </c>
      <c r="S394" s="37" t="n">
        <f aca="false">IF(Q394="","",COUNTIFS($C$5:$C$600,C394,$Q$5:$Q$600,"&gt;"&amp;Q394)+1)</f>
        <v>23</v>
      </c>
      <c r="T394" s="37" t="str">
        <f aca="false">IF(Q394="","",IF(Q394&gt;=Cutoff,"Yes","No"))</f>
        <v>No</v>
      </c>
      <c r="U394" s="49" t="n">
        <f aca="false">IF(T394="Yes",MIN(F394,INDEX(Settings!$G:$G,MATCH(C394,Settings!$E:$E,0))),0)</f>
        <v>0</v>
      </c>
      <c r="V394" s="49" t="str">
        <f aca="false">IF(T394="Yes",SUMIFS($U$5:$U$600,$C$5:$C$600,C394,$Q$5:$Q$600,"&gt;"&amp;Q394)+U394,"")</f>
        <v/>
      </c>
      <c r="W394" s="37" t="str">
        <f aca="false">IF(T394="Yes",IF(V394&lt;=INDEX(PoolList,MATCH(C394,ProgramList,0)),"Within pool","Over pool"),"")</f>
        <v/>
      </c>
      <c r="X394" s="37" t="str">
        <f aca="false">IF(O394="Yes",COUNTIF($O$5:O394,"Yes"),"")</f>
        <v/>
      </c>
    </row>
    <row r="395" customFormat="false" ht="15" hidden="false" customHeight="false" outlineLevel="0" collapsed="false">
      <c r="A395" s="35" t="s">
        <v>973</v>
      </c>
      <c r="B395" s="35" t="s">
        <v>974</v>
      </c>
      <c r="C395" s="35" t="s">
        <v>105</v>
      </c>
      <c r="D395" s="35" t="s">
        <v>180</v>
      </c>
      <c r="E395" s="35" t="s">
        <v>181</v>
      </c>
      <c r="F395" s="42" t="n">
        <v>53000</v>
      </c>
      <c r="G395" s="36" t="n">
        <v>45918</v>
      </c>
      <c r="H395" s="35" t="s">
        <v>54</v>
      </c>
      <c r="I395" s="35" t="s">
        <v>85</v>
      </c>
      <c r="J395" s="35" t="s">
        <v>88</v>
      </c>
      <c r="K395" s="35"/>
      <c r="L395" s="48" t="n">
        <f aca="false">IFERROR(AVERAGEIFS('Score Entry'!$M$5:$M$1276,'Score Entry'!$B$5:$B$1276,A395,'Score Entry'!$E$5:$E$1276,"Primary"),"")</f>
        <v>83</v>
      </c>
      <c r="M395" s="48" t="n">
        <f aca="false">IFERROR(AVERAGEIFS('Score Entry'!$M$5:$M$1276,'Score Entry'!$B$5:$B$1276,A395,'Score Entry'!$E$5:$E$1276,"Secondary"),"")</f>
        <v>80</v>
      </c>
      <c r="N395" s="48" t="n">
        <f aca="false">IF(COUNT(L395:M395)=2,ABS(L395-M395),"")</f>
        <v>3</v>
      </c>
      <c r="O395" s="37" t="str">
        <f aca="false">IF(N395="","",IF(N395&gt;=Threshold,"Yes","No"))</f>
        <v>No</v>
      </c>
      <c r="P395" s="48" t="str">
        <f aca="false">IFERROR(AVERAGEIFS('Score Entry'!$M$5:$M$1276,'Score Entry'!$B$5:$B$1276,A395,'Score Entry'!$E$5:$E$1276,"Third"),"")</f>
        <v/>
      </c>
      <c r="Q395" s="48" t="n">
        <f aca="false">IF(H395&lt;&gt;"Eligible","",IF(O395="Yes",IF(ISNUMBER(P395),ROUND(AVERAGE(L395,M395,P395),1),""),IF(O395="No",ROUND(AVERAGE(L395:M395),1),"")))</f>
        <v>81.5</v>
      </c>
      <c r="R395" s="37" t="str">
        <f aca="false">IF(H395&lt;&gt;"Eligible","Screened out",IF(COUNT(L395:M395)=0,"Not started",IF(COUNT(L395:M395)=1,"One read done",IF(O395="Yes",IF(ISNUMBER(P395),"Complete","Needs third read"),"Complete"))))</f>
        <v>Complete</v>
      </c>
      <c r="S395" s="37" t="n">
        <f aca="false">IF(Q395="","",COUNTIFS($C$5:$C$600,C395,$Q$5:$Q$600,"&gt;"&amp;Q395)+1)</f>
        <v>16</v>
      </c>
      <c r="T395" s="37" t="str">
        <f aca="false">IF(Q395="","",IF(Q395&gt;=Cutoff,"Yes","No"))</f>
        <v>No</v>
      </c>
      <c r="U395" s="49" t="n">
        <f aca="false">IF(T395="Yes",MIN(F395,INDEX(Settings!$G:$G,MATCH(C395,Settings!$E:$E,0))),0)</f>
        <v>0</v>
      </c>
      <c r="V395" s="49" t="str">
        <f aca="false">IF(T395="Yes",SUMIFS($U$5:$U$600,$C$5:$C$600,C395,$Q$5:$Q$600,"&gt;"&amp;Q395)+U395,"")</f>
        <v/>
      </c>
      <c r="W395" s="37" t="str">
        <f aca="false">IF(T395="Yes",IF(V395&lt;=INDEX(PoolList,MATCH(C395,ProgramList,0)),"Within pool","Over pool"),"")</f>
        <v/>
      </c>
      <c r="X395" s="37" t="str">
        <f aca="false">IF(O395="Yes",COUNTIF($O$5:O395,"Yes"),"")</f>
        <v/>
      </c>
    </row>
    <row r="396" customFormat="false" ht="15" hidden="false" customHeight="false" outlineLevel="0" collapsed="false">
      <c r="A396" s="35" t="s">
        <v>975</v>
      </c>
      <c r="B396" s="35" t="s">
        <v>976</v>
      </c>
      <c r="C396" s="35" t="s">
        <v>103</v>
      </c>
      <c r="D396" s="35" t="s">
        <v>221</v>
      </c>
      <c r="E396" s="35" t="s">
        <v>222</v>
      </c>
      <c r="F396" s="42" t="n">
        <v>84500</v>
      </c>
      <c r="G396" s="36" t="n">
        <v>45927</v>
      </c>
      <c r="H396" s="35" t="s">
        <v>54</v>
      </c>
      <c r="I396" s="35" t="s">
        <v>82</v>
      </c>
      <c r="J396" s="35" t="s">
        <v>85</v>
      </c>
      <c r="K396" s="35"/>
      <c r="L396" s="48" t="n">
        <f aca="false">IFERROR(AVERAGEIFS('Score Entry'!$M$5:$M$1276,'Score Entry'!$B$5:$B$1276,A396,'Score Entry'!$E$5:$E$1276,"Primary"),"")</f>
        <v>74</v>
      </c>
      <c r="M396" s="48" t="n">
        <f aca="false">IFERROR(AVERAGEIFS('Score Entry'!$M$5:$M$1276,'Score Entry'!$B$5:$B$1276,A396,'Score Entry'!$E$5:$E$1276,"Secondary"),"")</f>
        <v>66</v>
      </c>
      <c r="N396" s="48" t="n">
        <f aca="false">IF(COUNT(L396:M396)=2,ABS(L396-M396),"")</f>
        <v>8</v>
      </c>
      <c r="O396" s="37" t="str">
        <f aca="false">IF(N396="","",IF(N396&gt;=Threshold,"Yes","No"))</f>
        <v>No</v>
      </c>
      <c r="P396" s="48" t="str">
        <f aca="false">IFERROR(AVERAGEIFS('Score Entry'!$M$5:$M$1276,'Score Entry'!$B$5:$B$1276,A396,'Score Entry'!$E$5:$E$1276,"Third"),"")</f>
        <v/>
      </c>
      <c r="Q396" s="48" t="n">
        <f aca="false">IF(H396&lt;&gt;"Eligible","",IF(O396="Yes",IF(ISNUMBER(P396),ROUND(AVERAGE(L396,M396,P396),1),""),IF(O396="No",ROUND(AVERAGE(L396:M396),1),"")))</f>
        <v>70</v>
      </c>
      <c r="R396" s="37" t="str">
        <f aca="false">IF(H396&lt;&gt;"Eligible","Screened out",IF(COUNT(L396:M396)=0,"Not started",IF(COUNT(L396:M396)=1,"One read done",IF(O396="Yes",IF(ISNUMBER(P396),"Complete","Needs third read"),"Complete"))))</f>
        <v>Complete</v>
      </c>
      <c r="S396" s="37" t="n">
        <f aca="false">IF(Q396="","",COUNTIFS($C$5:$C$600,C396,$Q$5:$Q$600,"&gt;"&amp;Q396)+1)</f>
        <v>65</v>
      </c>
      <c r="T396" s="37" t="str">
        <f aca="false">IF(Q396="","",IF(Q396&gt;=Cutoff,"Yes","No"))</f>
        <v>No</v>
      </c>
      <c r="U396" s="49" t="n">
        <f aca="false">IF(T396="Yes",MIN(F396,INDEX(Settings!$G:$G,MATCH(C396,Settings!$E:$E,0))),0)</f>
        <v>0</v>
      </c>
      <c r="V396" s="49" t="str">
        <f aca="false">IF(T396="Yes",SUMIFS($U$5:$U$600,$C$5:$C$600,C396,$Q$5:$Q$600,"&gt;"&amp;Q396)+U396,"")</f>
        <v/>
      </c>
      <c r="W396" s="37" t="str">
        <f aca="false">IF(T396="Yes",IF(V396&lt;=INDEX(PoolList,MATCH(C396,ProgramList,0)),"Within pool","Over pool"),"")</f>
        <v/>
      </c>
      <c r="X396" s="37" t="str">
        <f aca="false">IF(O396="Yes",COUNTIF($O$5:O396,"Yes"),"")</f>
        <v/>
      </c>
    </row>
    <row r="397" customFormat="false" ht="15" hidden="false" customHeight="false" outlineLevel="0" collapsed="false">
      <c r="A397" s="35" t="s">
        <v>977</v>
      </c>
      <c r="B397" s="35" t="s">
        <v>978</v>
      </c>
      <c r="C397" s="35" t="s">
        <v>103</v>
      </c>
      <c r="D397" s="35" t="s">
        <v>174</v>
      </c>
      <c r="E397" s="35" t="s">
        <v>175</v>
      </c>
      <c r="F397" s="42" t="n">
        <v>64500</v>
      </c>
      <c r="G397" s="36" t="n">
        <v>45920</v>
      </c>
      <c r="H397" s="35" t="s">
        <v>54</v>
      </c>
      <c r="I397" s="35" t="s">
        <v>94</v>
      </c>
      <c r="J397" s="35" t="s">
        <v>78</v>
      </c>
      <c r="K397" s="35"/>
      <c r="L397" s="48" t="n">
        <f aca="false">IFERROR(AVERAGEIFS('Score Entry'!$M$5:$M$1276,'Score Entry'!$B$5:$B$1276,A397,'Score Entry'!$E$5:$E$1276,"Primary"),"")</f>
        <v>61</v>
      </c>
      <c r="M397" s="48" t="n">
        <f aca="false">IFERROR(AVERAGEIFS('Score Entry'!$M$5:$M$1276,'Score Entry'!$B$5:$B$1276,A397,'Score Entry'!$E$5:$E$1276,"Secondary"),"")</f>
        <v>69</v>
      </c>
      <c r="N397" s="48" t="n">
        <f aca="false">IF(COUNT(L397:M397)=2,ABS(L397-M397),"")</f>
        <v>8</v>
      </c>
      <c r="O397" s="37" t="str">
        <f aca="false">IF(N397="","",IF(N397&gt;=Threshold,"Yes","No"))</f>
        <v>No</v>
      </c>
      <c r="P397" s="48" t="str">
        <f aca="false">IFERROR(AVERAGEIFS('Score Entry'!$M$5:$M$1276,'Score Entry'!$B$5:$B$1276,A397,'Score Entry'!$E$5:$E$1276,"Third"),"")</f>
        <v/>
      </c>
      <c r="Q397" s="48" t="n">
        <f aca="false">IF(H397&lt;&gt;"Eligible","",IF(O397="Yes",IF(ISNUMBER(P397),ROUND(AVERAGE(L397,M397,P397),1),""),IF(O397="No",ROUND(AVERAGE(L397:M397),1),"")))</f>
        <v>65</v>
      </c>
      <c r="R397" s="37" t="str">
        <f aca="false">IF(H397&lt;&gt;"Eligible","Screened out",IF(COUNT(L397:M397)=0,"Not started",IF(COUNT(L397:M397)=1,"One read done",IF(O397="Yes",IF(ISNUMBER(P397),"Complete","Needs third read"),"Complete"))))</f>
        <v>Complete</v>
      </c>
      <c r="S397" s="37" t="n">
        <f aca="false">IF(Q397="","",COUNTIFS($C$5:$C$600,C397,$Q$5:$Q$600,"&gt;"&amp;Q397)+1)</f>
        <v>89</v>
      </c>
      <c r="T397" s="37" t="str">
        <f aca="false">IF(Q397="","",IF(Q397&gt;=Cutoff,"Yes","No"))</f>
        <v>No</v>
      </c>
      <c r="U397" s="49" t="n">
        <f aca="false">IF(T397="Yes",MIN(F397,INDEX(Settings!$G:$G,MATCH(C397,Settings!$E:$E,0))),0)</f>
        <v>0</v>
      </c>
      <c r="V397" s="49" t="str">
        <f aca="false">IF(T397="Yes",SUMIFS($U$5:$U$600,$C$5:$C$600,C397,$Q$5:$Q$600,"&gt;"&amp;Q397)+U397,"")</f>
        <v/>
      </c>
      <c r="W397" s="37" t="str">
        <f aca="false">IF(T397="Yes",IF(V397&lt;=INDEX(PoolList,MATCH(C397,ProgramList,0)),"Within pool","Over pool"),"")</f>
        <v/>
      </c>
      <c r="X397" s="37" t="str">
        <f aca="false">IF(O397="Yes",COUNTIF($O$5:O397,"Yes"),"")</f>
        <v/>
      </c>
    </row>
    <row r="398" customFormat="false" ht="15" hidden="false" customHeight="false" outlineLevel="0" collapsed="false">
      <c r="A398" s="35" t="s">
        <v>979</v>
      </c>
      <c r="B398" s="35" t="s">
        <v>980</v>
      </c>
      <c r="C398" s="35" t="s">
        <v>106</v>
      </c>
      <c r="D398" s="35" t="s">
        <v>239</v>
      </c>
      <c r="E398" s="35" t="s">
        <v>554</v>
      </c>
      <c r="F398" s="42" t="n">
        <v>115500</v>
      </c>
      <c r="G398" s="36" t="n">
        <v>45927</v>
      </c>
      <c r="H398" s="35" t="s">
        <v>54</v>
      </c>
      <c r="I398" s="35" t="s">
        <v>94</v>
      </c>
      <c r="J398" s="35" t="s">
        <v>91</v>
      </c>
      <c r="K398" s="35"/>
      <c r="L398" s="48" t="n">
        <f aca="false">IFERROR(AVERAGEIFS('Score Entry'!$M$5:$M$1276,'Score Entry'!$B$5:$B$1276,A398,'Score Entry'!$E$5:$E$1276,"Primary"),"")</f>
        <v>76</v>
      </c>
      <c r="M398" s="48" t="n">
        <f aca="false">IFERROR(AVERAGEIFS('Score Entry'!$M$5:$M$1276,'Score Entry'!$B$5:$B$1276,A398,'Score Entry'!$E$5:$E$1276,"Secondary"),"")</f>
        <v>72</v>
      </c>
      <c r="N398" s="48" t="n">
        <f aca="false">IF(COUNT(L398:M398)=2,ABS(L398-M398),"")</f>
        <v>4</v>
      </c>
      <c r="O398" s="37" t="str">
        <f aca="false">IF(N398="","",IF(N398&gt;=Threshold,"Yes","No"))</f>
        <v>No</v>
      </c>
      <c r="P398" s="48" t="str">
        <f aca="false">IFERROR(AVERAGEIFS('Score Entry'!$M$5:$M$1276,'Score Entry'!$B$5:$B$1276,A398,'Score Entry'!$E$5:$E$1276,"Third"),"")</f>
        <v/>
      </c>
      <c r="Q398" s="48" t="n">
        <f aca="false">IF(H398&lt;&gt;"Eligible","",IF(O398="Yes",IF(ISNUMBER(P398),ROUND(AVERAGE(L398,M398,P398),1),""),IF(O398="No",ROUND(AVERAGE(L398:M398),1),"")))</f>
        <v>74</v>
      </c>
      <c r="R398" s="37" t="str">
        <f aca="false">IF(H398&lt;&gt;"Eligible","Screened out",IF(COUNT(L398:M398)=0,"Not started",IF(COUNT(L398:M398)=1,"One read done",IF(O398="Yes",IF(ISNUMBER(P398),"Complete","Needs third read"),"Complete"))))</f>
        <v>Complete</v>
      </c>
      <c r="S398" s="37" t="n">
        <f aca="false">IF(Q398="","",COUNTIFS($C$5:$C$600,C398,$Q$5:$Q$600,"&gt;"&amp;Q398)+1)</f>
        <v>42</v>
      </c>
      <c r="T398" s="37" t="str">
        <f aca="false">IF(Q398="","",IF(Q398&gt;=Cutoff,"Yes","No"))</f>
        <v>No</v>
      </c>
      <c r="U398" s="49" t="n">
        <f aca="false">IF(T398="Yes",MIN(F398,INDEX(Settings!$G:$G,MATCH(C398,Settings!$E:$E,0))),0)</f>
        <v>0</v>
      </c>
      <c r="V398" s="49" t="str">
        <f aca="false">IF(T398="Yes",SUMIFS($U$5:$U$600,$C$5:$C$600,C398,$Q$5:$Q$600,"&gt;"&amp;Q398)+U398,"")</f>
        <v/>
      </c>
      <c r="W398" s="37" t="str">
        <f aca="false">IF(T398="Yes",IF(V398&lt;=INDEX(PoolList,MATCH(C398,ProgramList,0)),"Within pool","Over pool"),"")</f>
        <v/>
      </c>
      <c r="X398" s="37" t="str">
        <f aca="false">IF(O398="Yes",COUNTIF($O$5:O398,"Yes"),"")</f>
        <v/>
      </c>
    </row>
    <row r="399" customFormat="false" ht="15" hidden="false" customHeight="false" outlineLevel="0" collapsed="false">
      <c r="A399" s="35" t="s">
        <v>981</v>
      </c>
      <c r="B399" s="35" t="s">
        <v>982</v>
      </c>
      <c r="C399" s="35" t="s">
        <v>103</v>
      </c>
      <c r="D399" s="35" t="s">
        <v>190</v>
      </c>
      <c r="E399" s="35" t="s">
        <v>363</v>
      </c>
      <c r="F399" s="42" t="n">
        <v>98000</v>
      </c>
      <c r="G399" s="36" t="n">
        <v>45919</v>
      </c>
      <c r="H399" s="35" t="s">
        <v>54</v>
      </c>
      <c r="I399" s="35" t="s">
        <v>88</v>
      </c>
      <c r="J399" s="35" t="s">
        <v>82</v>
      </c>
      <c r="K399" s="35"/>
      <c r="L399" s="48" t="n">
        <f aca="false">IFERROR(AVERAGEIFS('Score Entry'!$M$5:$M$1276,'Score Entry'!$B$5:$B$1276,A399,'Score Entry'!$E$5:$E$1276,"Primary"),"")</f>
        <v>65</v>
      </c>
      <c r="M399" s="48" t="n">
        <f aca="false">IFERROR(AVERAGEIFS('Score Entry'!$M$5:$M$1276,'Score Entry'!$B$5:$B$1276,A399,'Score Entry'!$E$5:$E$1276,"Secondary"),"")</f>
        <v>78</v>
      </c>
      <c r="N399" s="48" t="n">
        <f aca="false">IF(COUNT(L399:M399)=2,ABS(L399-M399),"")</f>
        <v>13</v>
      </c>
      <c r="O399" s="37" t="str">
        <f aca="false">IF(N399="","",IF(N399&gt;=Threshold,"Yes","No"))</f>
        <v>No</v>
      </c>
      <c r="P399" s="48" t="str">
        <f aca="false">IFERROR(AVERAGEIFS('Score Entry'!$M$5:$M$1276,'Score Entry'!$B$5:$B$1276,A399,'Score Entry'!$E$5:$E$1276,"Third"),"")</f>
        <v/>
      </c>
      <c r="Q399" s="48" t="n">
        <f aca="false">IF(H399&lt;&gt;"Eligible","",IF(O399="Yes",IF(ISNUMBER(P399),ROUND(AVERAGE(L399,M399,P399),1),""),IF(O399="No",ROUND(AVERAGE(L399:M399),1),"")))</f>
        <v>71.5</v>
      </c>
      <c r="R399" s="37" t="str">
        <f aca="false">IF(H399&lt;&gt;"Eligible","Screened out",IF(COUNT(L399:M399)=0,"Not started",IF(COUNT(L399:M399)=1,"One read done",IF(O399="Yes",IF(ISNUMBER(P399),"Complete","Needs third read"),"Complete"))))</f>
        <v>Complete</v>
      </c>
      <c r="S399" s="37" t="n">
        <f aca="false">IF(Q399="","",COUNTIFS($C$5:$C$600,C399,$Q$5:$Q$600,"&gt;"&amp;Q399)+1)</f>
        <v>56</v>
      </c>
      <c r="T399" s="37" t="str">
        <f aca="false">IF(Q399="","",IF(Q399&gt;=Cutoff,"Yes","No"))</f>
        <v>No</v>
      </c>
      <c r="U399" s="49" t="n">
        <f aca="false">IF(T399="Yes",MIN(F399,INDEX(Settings!$G:$G,MATCH(C399,Settings!$E:$E,0))),0)</f>
        <v>0</v>
      </c>
      <c r="V399" s="49" t="str">
        <f aca="false">IF(T399="Yes",SUMIFS($U$5:$U$600,$C$5:$C$600,C399,$Q$5:$Q$600,"&gt;"&amp;Q399)+U399,"")</f>
        <v/>
      </c>
      <c r="W399" s="37" t="str">
        <f aca="false">IF(T399="Yes",IF(V399&lt;=INDEX(PoolList,MATCH(C399,ProgramList,0)),"Within pool","Over pool"),"")</f>
        <v/>
      </c>
      <c r="X399" s="37" t="str">
        <f aca="false">IF(O399="Yes",COUNTIF($O$5:O399,"Yes"),"")</f>
        <v/>
      </c>
    </row>
    <row r="400" customFormat="false" ht="15" hidden="false" customHeight="false" outlineLevel="0" collapsed="false">
      <c r="A400" s="35" t="s">
        <v>983</v>
      </c>
      <c r="B400" s="35" t="s">
        <v>984</v>
      </c>
      <c r="C400" s="35" t="s">
        <v>106</v>
      </c>
      <c r="D400" s="35" t="s">
        <v>174</v>
      </c>
      <c r="E400" s="35" t="s">
        <v>175</v>
      </c>
      <c r="F400" s="42" t="n">
        <v>130000</v>
      </c>
      <c r="G400" s="36" t="n">
        <v>45926</v>
      </c>
      <c r="H400" s="35" t="s">
        <v>54</v>
      </c>
      <c r="I400" s="35" t="s">
        <v>85</v>
      </c>
      <c r="J400" s="35" t="s">
        <v>91</v>
      </c>
      <c r="K400" s="35"/>
      <c r="L400" s="48" t="n">
        <f aca="false">IFERROR(AVERAGEIFS('Score Entry'!$M$5:$M$1276,'Score Entry'!$B$5:$B$1276,A400,'Score Entry'!$E$5:$E$1276,"Primary"),"")</f>
        <v>72</v>
      </c>
      <c r="M400" s="48" t="str">
        <f aca="false">IFERROR(AVERAGEIFS('Score Entry'!$M$5:$M$1276,'Score Entry'!$B$5:$B$1276,A400,'Score Entry'!$E$5:$E$1276,"Secondary"),"")</f>
        <v/>
      </c>
      <c r="N400" s="48" t="str">
        <f aca="false">IF(COUNT(L400:M400)=2,ABS(L400-M400),"")</f>
        <v/>
      </c>
      <c r="O400" s="37" t="str">
        <f aca="false">IF(N400="","",IF(N400&gt;=Threshold,"Yes","No"))</f>
        <v/>
      </c>
      <c r="P400" s="48" t="str">
        <f aca="false">IFERROR(AVERAGEIFS('Score Entry'!$M$5:$M$1276,'Score Entry'!$B$5:$B$1276,A400,'Score Entry'!$E$5:$E$1276,"Third"),"")</f>
        <v/>
      </c>
      <c r="Q400" s="48" t="str">
        <f aca="false">IF(H400&lt;&gt;"Eligible","",IF(O400="Yes",IF(ISNUMBER(P400),ROUND(AVERAGE(L400,M400,P400),1),""),IF(O400="No",ROUND(AVERAGE(L400:M400),1),"")))</f>
        <v/>
      </c>
      <c r="R400" s="37" t="str">
        <f aca="false">IF(H400&lt;&gt;"Eligible","Screened out",IF(COUNT(L400:M400)=0,"Not started",IF(COUNT(L400:M400)=1,"One read done",IF(O400="Yes",IF(ISNUMBER(P400),"Complete","Needs third read"),"Complete"))))</f>
        <v>One read done</v>
      </c>
      <c r="S400" s="37" t="str">
        <f aca="false">IF(Q400="","",COUNTIFS($C$5:$C$600,C400,$Q$5:$Q$600,"&gt;"&amp;Q400)+1)</f>
        <v/>
      </c>
      <c r="T400" s="37" t="str">
        <f aca="false">IF(Q400="","",IF(Q400&gt;=Cutoff,"Yes","No"))</f>
        <v/>
      </c>
      <c r="U400" s="49" t="n">
        <f aca="false">IF(T400="Yes",MIN(F400,INDEX(Settings!$G:$G,MATCH(C400,Settings!$E:$E,0))),0)</f>
        <v>0</v>
      </c>
      <c r="V400" s="49" t="str">
        <f aca="false">IF(T400="Yes",SUMIFS($U$5:$U$600,$C$5:$C$600,C400,$Q$5:$Q$600,"&gt;"&amp;Q400)+U400,"")</f>
        <v/>
      </c>
      <c r="W400" s="37" t="str">
        <f aca="false">IF(T400="Yes",IF(V400&lt;=INDEX(PoolList,MATCH(C400,ProgramList,0)),"Within pool","Over pool"),"")</f>
        <v/>
      </c>
      <c r="X400" s="37" t="str">
        <f aca="false">IF(O400="Yes",COUNTIF($O$5:O400,"Yes"),"")</f>
        <v/>
      </c>
    </row>
    <row r="401" customFormat="false" ht="15" hidden="false" customHeight="false" outlineLevel="0" collapsed="false">
      <c r="A401" s="35" t="s">
        <v>985</v>
      </c>
      <c r="B401" s="35" t="s">
        <v>986</v>
      </c>
      <c r="C401" s="35" t="s">
        <v>103</v>
      </c>
      <c r="D401" s="35" t="s">
        <v>180</v>
      </c>
      <c r="E401" s="35" t="s">
        <v>252</v>
      </c>
      <c r="F401" s="42" t="n">
        <v>40500</v>
      </c>
      <c r="G401" s="36" t="n">
        <v>45908</v>
      </c>
      <c r="H401" s="35" t="s">
        <v>54</v>
      </c>
      <c r="I401" s="35" t="s">
        <v>78</v>
      </c>
      <c r="J401" s="35" t="s">
        <v>82</v>
      </c>
      <c r="K401" s="35"/>
      <c r="L401" s="48" t="n">
        <f aca="false">IFERROR(AVERAGEIFS('Score Entry'!$M$5:$M$1276,'Score Entry'!$B$5:$B$1276,A401,'Score Entry'!$E$5:$E$1276,"Primary"),"")</f>
        <v>55</v>
      </c>
      <c r="M401" s="48" t="n">
        <f aca="false">IFERROR(AVERAGEIFS('Score Entry'!$M$5:$M$1276,'Score Entry'!$B$5:$B$1276,A401,'Score Entry'!$E$5:$E$1276,"Secondary"),"")</f>
        <v>49</v>
      </c>
      <c r="N401" s="48" t="n">
        <f aca="false">IF(COUNT(L401:M401)=2,ABS(L401-M401),"")</f>
        <v>6</v>
      </c>
      <c r="O401" s="37" t="str">
        <f aca="false">IF(N401="","",IF(N401&gt;=Threshold,"Yes","No"))</f>
        <v>No</v>
      </c>
      <c r="P401" s="48" t="str">
        <f aca="false">IFERROR(AVERAGEIFS('Score Entry'!$M$5:$M$1276,'Score Entry'!$B$5:$B$1276,A401,'Score Entry'!$E$5:$E$1276,"Third"),"")</f>
        <v/>
      </c>
      <c r="Q401" s="48" t="n">
        <f aca="false">IF(H401&lt;&gt;"Eligible","",IF(O401="Yes",IF(ISNUMBER(P401),ROUND(AVERAGE(L401,M401,P401),1),""),IF(O401="No",ROUND(AVERAGE(L401:M401),1),"")))</f>
        <v>52</v>
      </c>
      <c r="R401" s="37" t="str">
        <f aca="false">IF(H401&lt;&gt;"Eligible","Screened out",IF(COUNT(L401:M401)=0,"Not started",IF(COUNT(L401:M401)=1,"One read done",IF(O401="Yes",IF(ISNUMBER(P401),"Complete","Needs third read"),"Complete"))))</f>
        <v>Complete</v>
      </c>
      <c r="S401" s="37" t="n">
        <f aca="false">IF(Q401="","",COUNTIFS($C$5:$C$600,C401,$Q$5:$Q$600,"&gt;"&amp;Q401)+1)</f>
        <v>147</v>
      </c>
      <c r="T401" s="37" t="str">
        <f aca="false">IF(Q401="","",IF(Q401&gt;=Cutoff,"Yes","No"))</f>
        <v>No</v>
      </c>
      <c r="U401" s="49" t="n">
        <f aca="false">IF(T401="Yes",MIN(F401,INDEX(Settings!$G:$G,MATCH(C401,Settings!$E:$E,0))),0)</f>
        <v>0</v>
      </c>
      <c r="V401" s="49" t="str">
        <f aca="false">IF(T401="Yes",SUMIFS($U$5:$U$600,$C$5:$C$600,C401,$Q$5:$Q$600,"&gt;"&amp;Q401)+U401,"")</f>
        <v/>
      </c>
      <c r="W401" s="37" t="str">
        <f aca="false">IF(T401="Yes",IF(V401&lt;=INDEX(PoolList,MATCH(C401,ProgramList,0)),"Within pool","Over pool"),"")</f>
        <v/>
      </c>
      <c r="X401" s="37" t="str">
        <f aca="false">IF(O401="Yes",COUNTIF($O$5:O401,"Yes"),"")</f>
        <v/>
      </c>
    </row>
    <row r="402" customFormat="false" ht="15" hidden="false" customHeight="false" outlineLevel="0" collapsed="false">
      <c r="A402" s="35" t="s">
        <v>987</v>
      </c>
      <c r="B402" s="35" t="s">
        <v>988</v>
      </c>
      <c r="C402" s="35" t="s">
        <v>104</v>
      </c>
      <c r="D402" s="35" t="s">
        <v>174</v>
      </c>
      <c r="E402" s="35" t="s">
        <v>175</v>
      </c>
      <c r="F402" s="42" t="n">
        <v>78500</v>
      </c>
      <c r="G402" s="36" t="n">
        <v>45921</v>
      </c>
      <c r="H402" s="35" t="s">
        <v>54</v>
      </c>
      <c r="I402" s="35" t="s">
        <v>85</v>
      </c>
      <c r="J402" s="35" t="s">
        <v>88</v>
      </c>
      <c r="K402" s="35"/>
      <c r="L402" s="48" t="n">
        <f aca="false">IFERROR(AVERAGEIFS('Score Entry'!$M$5:$M$1276,'Score Entry'!$B$5:$B$1276,A402,'Score Entry'!$E$5:$E$1276,"Primary"),"")</f>
        <v>43</v>
      </c>
      <c r="M402" s="48" t="str">
        <f aca="false">IFERROR(AVERAGEIFS('Score Entry'!$M$5:$M$1276,'Score Entry'!$B$5:$B$1276,A402,'Score Entry'!$E$5:$E$1276,"Secondary"),"")</f>
        <v/>
      </c>
      <c r="N402" s="48" t="str">
        <f aca="false">IF(COUNT(L402:M402)=2,ABS(L402-M402),"")</f>
        <v/>
      </c>
      <c r="O402" s="37" t="str">
        <f aca="false">IF(N402="","",IF(N402&gt;=Threshold,"Yes","No"))</f>
        <v/>
      </c>
      <c r="P402" s="48" t="str">
        <f aca="false">IFERROR(AVERAGEIFS('Score Entry'!$M$5:$M$1276,'Score Entry'!$B$5:$B$1276,A402,'Score Entry'!$E$5:$E$1276,"Third"),"")</f>
        <v/>
      </c>
      <c r="Q402" s="48" t="str">
        <f aca="false">IF(H402&lt;&gt;"Eligible","",IF(O402="Yes",IF(ISNUMBER(P402),ROUND(AVERAGE(L402,M402,P402),1),""),IF(O402="No",ROUND(AVERAGE(L402:M402),1),"")))</f>
        <v/>
      </c>
      <c r="R402" s="37" t="str">
        <f aca="false">IF(H402&lt;&gt;"Eligible","Screened out",IF(COUNT(L402:M402)=0,"Not started",IF(COUNT(L402:M402)=1,"One read done",IF(O402="Yes",IF(ISNUMBER(P402),"Complete","Needs third read"),"Complete"))))</f>
        <v>One read done</v>
      </c>
      <c r="S402" s="37" t="str">
        <f aca="false">IF(Q402="","",COUNTIFS($C$5:$C$600,C402,$Q$5:$Q$600,"&gt;"&amp;Q402)+1)</f>
        <v/>
      </c>
      <c r="T402" s="37" t="str">
        <f aca="false">IF(Q402="","",IF(Q402&gt;=Cutoff,"Yes","No"))</f>
        <v/>
      </c>
      <c r="U402" s="49" t="n">
        <f aca="false">IF(T402="Yes",MIN(F402,INDEX(Settings!$G:$G,MATCH(C402,Settings!$E:$E,0))),0)</f>
        <v>0</v>
      </c>
      <c r="V402" s="49" t="str">
        <f aca="false">IF(T402="Yes",SUMIFS($U$5:$U$600,$C$5:$C$600,C402,$Q$5:$Q$600,"&gt;"&amp;Q402)+U402,"")</f>
        <v/>
      </c>
      <c r="W402" s="37" t="str">
        <f aca="false">IF(T402="Yes",IF(V402&lt;=INDEX(PoolList,MATCH(C402,ProgramList,0)),"Within pool","Over pool"),"")</f>
        <v/>
      </c>
      <c r="X402" s="37" t="str">
        <f aca="false">IF(O402="Yes",COUNTIF($O$5:O402,"Yes"),"")</f>
        <v/>
      </c>
    </row>
    <row r="403" customFormat="false" ht="15" hidden="false" customHeight="false" outlineLevel="0" collapsed="false">
      <c r="A403" s="35" t="s">
        <v>989</v>
      </c>
      <c r="B403" s="35" t="s">
        <v>990</v>
      </c>
      <c r="C403" s="35" t="s">
        <v>105</v>
      </c>
      <c r="D403" s="35" t="s">
        <v>190</v>
      </c>
      <c r="E403" s="35" t="s">
        <v>363</v>
      </c>
      <c r="F403" s="42" t="n">
        <v>76000</v>
      </c>
      <c r="G403" s="36" t="n">
        <v>45913</v>
      </c>
      <c r="H403" s="35" t="s">
        <v>54</v>
      </c>
      <c r="I403" s="35" t="s">
        <v>82</v>
      </c>
      <c r="J403" s="35" t="s">
        <v>91</v>
      </c>
      <c r="K403" s="35"/>
      <c r="L403" s="48" t="n">
        <f aca="false">IFERROR(AVERAGEIFS('Score Entry'!$M$5:$M$1276,'Score Entry'!$B$5:$B$1276,A403,'Score Entry'!$E$5:$E$1276,"Primary"),"")</f>
        <v>60</v>
      </c>
      <c r="M403" s="48" t="n">
        <f aca="false">IFERROR(AVERAGEIFS('Score Entry'!$M$5:$M$1276,'Score Entry'!$B$5:$B$1276,A403,'Score Entry'!$E$5:$E$1276,"Secondary"),"")</f>
        <v>65</v>
      </c>
      <c r="N403" s="48" t="n">
        <f aca="false">IF(COUNT(L403:M403)=2,ABS(L403-M403),"")</f>
        <v>5</v>
      </c>
      <c r="O403" s="37" t="str">
        <f aca="false">IF(N403="","",IF(N403&gt;=Threshold,"Yes","No"))</f>
        <v>No</v>
      </c>
      <c r="P403" s="48" t="str">
        <f aca="false">IFERROR(AVERAGEIFS('Score Entry'!$M$5:$M$1276,'Score Entry'!$B$5:$B$1276,A403,'Score Entry'!$E$5:$E$1276,"Third"),"")</f>
        <v/>
      </c>
      <c r="Q403" s="48" t="n">
        <f aca="false">IF(H403&lt;&gt;"Eligible","",IF(O403="Yes",IF(ISNUMBER(P403),ROUND(AVERAGE(L403,M403,P403),1),""),IF(O403="No",ROUND(AVERAGE(L403:M403),1),"")))</f>
        <v>62.5</v>
      </c>
      <c r="R403" s="37" t="str">
        <f aca="false">IF(H403&lt;&gt;"Eligible","Screened out",IF(COUNT(L403:M403)=0,"Not started",IF(COUNT(L403:M403)=1,"One read done",IF(O403="Yes",IF(ISNUMBER(P403),"Complete","Needs third read"),"Complete"))))</f>
        <v>Complete</v>
      </c>
      <c r="S403" s="37" t="n">
        <f aca="false">IF(Q403="","",COUNTIFS($C$5:$C$600,C403,$Q$5:$Q$600,"&gt;"&amp;Q403)+1)</f>
        <v>65</v>
      </c>
      <c r="T403" s="37" t="str">
        <f aca="false">IF(Q403="","",IF(Q403&gt;=Cutoff,"Yes","No"))</f>
        <v>No</v>
      </c>
      <c r="U403" s="49" t="n">
        <f aca="false">IF(T403="Yes",MIN(F403,INDEX(Settings!$G:$G,MATCH(C403,Settings!$E:$E,0))),0)</f>
        <v>0</v>
      </c>
      <c r="V403" s="49" t="str">
        <f aca="false">IF(T403="Yes",SUMIFS($U$5:$U$600,$C$5:$C$600,C403,$Q$5:$Q$600,"&gt;"&amp;Q403)+U403,"")</f>
        <v/>
      </c>
      <c r="W403" s="37" t="str">
        <f aca="false">IF(T403="Yes",IF(V403&lt;=INDEX(PoolList,MATCH(C403,ProgramList,0)),"Within pool","Over pool"),"")</f>
        <v/>
      </c>
      <c r="X403" s="37" t="str">
        <f aca="false">IF(O403="Yes",COUNTIF($O$5:O403,"Yes"),"")</f>
        <v/>
      </c>
    </row>
    <row r="404" customFormat="false" ht="15" hidden="false" customHeight="false" outlineLevel="0" collapsed="false">
      <c r="A404" s="35" t="s">
        <v>991</v>
      </c>
      <c r="B404" s="35" t="s">
        <v>992</v>
      </c>
      <c r="C404" s="35" t="s">
        <v>103</v>
      </c>
      <c r="D404" s="35" t="s">
        <v>221</v>
      </c>
      <c r="E404" s="35" t="s">
        <v>222</v>
      </c>
      <c r="F404" s="42" t="n">
        <v>71500</v>
      </c>
      <c r="G404" s="36" t="n">
        <v>45927</v>
      </c>
      <c r="H404" s="35" t="s">
        <v>54</v>
      </c>
      <c r="I404" s="35" t="s">
        <v>85</v>
      </c>
      <c r="J404" s="35" t="s">
        <v>94</v>
      </c>
      <c r="K404" s="35"/>
      <c r="L404" s="48" t="n">
        <f aca="false">IFERROR(AVERAGEIFS('Score Entry'!$M$5:$M$1276,'Score Entry'!$B$5:$B$1276,A404,'Score Entry'!$E$5:$E$1276,"Primary"),"")</f>
        <v>85</v>
      </c>
      <c r="M404" s="48" t="n">
        <f aca="false">IFERROR(AVERAGEIFS('Score Entry'!$M$5:$M$1276,'Score Entry'!$B$5:$B$1276,A404,'Score Entry'!$E$5:$E$1276,"Secondary"),"")</f>
        <v>80</v>
      </c>
      <c r="N404" s="48" t="n">
        <f aca="false">IF(COUNT(L404:M404)=2,ABS(L404-M404),"")</f>
        <v>5</v>
      </c>
      <c r="O404" s="37" t="str">
        <f aca="false">IF(N404="","",IF(N404&gt;=Threshold,"Yes","No"))</f>
        <v>No</v>
      </c>
      <c r="P404" s="48" t="str">
        <f aca="false">IFERROR(AVERAGEIFS('Score Entry'!$M$5:$M$1276,'Score Entry'!$B$5:$B$1276,A404,'Score Entry'!$E$5:$E$1276,"Third"),"")</f>
        <v/>
      </c>
      <c r="Q404" s="48" t="n">
        <f aca="false">IF(H404&lt;&gt;"Eligible","",IF(O404="Yes",IF(ISNUMBER(P404),ROUND(AVERAGE(L404,M404,P404),1),""),IF(O404="No",ROUND(AVERAGE(L404:M404),1),"")))</f>
        <v>82.5</v>
      </c>
      <c r="R404" s="37" t="str">
        <f aca="false">IF(H404&lt;&gt;"Eligible","Screened out",IF(COUNT(L404:M404)=0,"Not started",IF(COUNT(L404:M404)=1,"One read done",IF(O404="Yes",IF(ISNUMBER(P404),"Complete","Needs third read"),"Complete"))))</f>
        <v>Complete</v>
      </c>
      <c r="S404" s="37" t="n">
        <f aca="false">IF(Q404="","",COUNTIFS($C$5:$C$600,C404,$Q$5:$Q$600,"&gt;"&amp;Q404)+1)</f>
        <v>16</v>
      </c>
      <c r="T404" s="37" t="str">
        <f aca="false">IF(Q404="","",IF(Q404&gt;=Cutoff,"Yes","No"))</f>
        <v>No</v>
      </c>
      <c r="U404" s="49" t="n">
        <f aca="false">IF(T404="Yes",MIN(F404,INDEX(Settings!$G:$G,MATCH(C404,Settings!$E:$E,0))),0)</f>
        <v>0</v>
      </c>
      <c r="V404" s="49" t="str">
        <f aca="false">IF(T404="Yes",SUMIFS($U$5:$U$600,$C$5:$C$600,C404,$Q$5:$Q$600,"&gt;"&amp;Q404)+U404,"")</f>
        <v/>
      </c>
      <c r="W404" s="37" t="str">
        <f aca="false">IF(T404="Yes",IF(V404&lt;=INDEX(PoolList,MATCH(C404,ProgramList,0)),"Within pool","Over pool"),"")</f>
        <v/>
      </c>
      <c r="X404" s="37" t="str">
        <f aca="false">IF(O404="Yes",COUNTIF($O$5:O404,"Yes"),"")</f>
        <v/>
      </c>
    </row>
    <row r="405" customFormat="false" ht="15" hidden="false" customHeight="false" outlineLevel="0" collapsed="false">
      <c r="A405" s="35" t="s">
        <v>993</v>
      </c>
      <c r="B405" s="35" t="s">
        <v>994</v>
      </c>
      <c r="C405" s="35" t="s">
        <v>103</v>
      </c>
      <c r="D405" s="35" t="s">
        <v>180</v>
      </c>
      <c r="E405" s="35" t="s">
        <v>181</v>
      </c>
      <c r="F405" s="42" t="n">
        <v>101500</v>
      </c>
      <c r="G405" s="36" t="n">
        <v>45927</v>
      </c>
      <c r="H405" s="35" t="s">
        <v>54</v>
      </c>
      <c r="I405" s="35" t="s">
        <v>88</v>
      </c>
      <c r="J405" s="35" t="s">
        <v>78</v>
      </c>
      <c r="K405" s="35" t="s">
        <v>82</v>
      </c>
      <c r="L405" s="48" t="n">
        <f aca="false">IFERROR(AVERAGEIFS('Score Entry'!$M$5:$M$1276,'Score Entry'!$B$5:$B$1276,A405,'Score Entry'!$E$5:$E$1276,"Primary"),"")</f>
        <v>64</v>
      </c>
      <c r="M405" s="48" t="n">
        <f aca="false">IFERROR(AVERAGEIFS('Score Entry'!$M$5:$M$1276,'Score Entry'!$B$5:$B$1276,A405,'Score Entry'!$E$5:$E$1276,"Secondary"),"")</f>
        <v>45</v>
      </c>
      <c r="N405" s="48" t="n">
        <f aca="false">IF(COUNT(L405:M405)=2,ABS(L405-M405),"")</f>
        <v>19</v>
      </c>
      <c r="O405" s="37" t="str">
        <f aca="false">IF(N405="","",IF(N405&gt;=Threshold,"Yes","No"))</f>
        <v>Yes</v>
      </c>
      <c r="P405" s="48" t="n">
        <f aca="false">IFERROR(AVERAGEIFS('Score Entry'!$M$5:$M$1276,'Score Entry'!$B$5:$B$1276,A405,'Score Entry'!$E$5:$E$1276,"Third"),"")</f>
        <v>54</v>
      </c>
      <c r="Q405" s="48" t="n">
        <f aca="false">IF(H405&lt;&gt;"Eligible","",IF(O405="Yes",IF(ISNUMBER(P405),ROUND(AVERAGE(L405,M405,P405),1),""),IF(O405="No",ROUND(AVERAGE(L405:M405),1),"")))</f>
        <v>54.3</v>
      </c>
      <c r="R405" s="37" t="str">
        <f aca="false">IF(H405&lt;&gt;"Eligible","Screened out",IF(COUNT(L405:M405)=0,"Not started",IF(COUNT(L405:M405)=1,"One read done",IF(O405="Yes",IF(ISNUMBER(P405),"Complete","Needs third read"),"Complete"))))</f>
        <v>Complete</v>
      </c>
      <c r="S405" s="37" t="n">
        <f aca="false">IF(Q405="","",COUNTIFS($C$5:$C$600,C405,$Q$5:$Q$600,"&gt;"&amp;Q405)+1)</f>
        <v>139</v>
      </c>
      <c r="T405" s="37" t="str">
        <f aca="false">IF(Q405="","",IF(Q405&gt;=Cutoff,"Yes","No"))</f>
        <v>No</v>
      </c>
      <c r="U405" s="49" t="n">
        <f aca="false">IF(T405="Yes",MIN(F405,INDEX(Settings!$G:$G,MATCH(C405,Settings!$E:$E,0))),0)</f>
        <v>0</v>
      </c>
      <c r="V405" s="49" t="str">
        <f aca="false">IF(T405="Yes",SUMIFS($U$5:$U$600,$C$5:$C$600,C405,$Q$5:$Q$600,"&gt;"&amp;Q405)+U405,"")</f>
        <v/>
      </c>
      <c r="W405" s="37" t="str">
        <f aca="false">IF(T405="Yes",IF(V405&lt;=INDEX(PoolList,MATCH(C405,ProgramList,0)),"Within pool","Over pool"),"")</f>
        <v/>
      </c>
      <c r="X405" s="37" t="n">
        <f aca="false">IF(O405="Yes",COUNTIF($O$5:O405,"Yes"),"")</f>
        <v>49</v>
      </c>
    </row>
    <row r="406" customFormat="false" ht="15" hidden="false" customHeight="false" outlineLevel="0" collapsed="false">
      <c r="A406" s="35" t="s">
        <v>995</v>
      </c>
      <c r="B406" s="35" t="s">
        <v>996</v>
      </c>
      <c r="C406" s="35" t="s">
        <v>103</v>
      </c>
      <c r="D406" s="35" t="s">
        <v>221</v>
      </c>
      <c r="E406" s="35" t="s">
        <v>222</v>
      </c>
      <c r="F406" s="42" t="n">
        <v>92500</v>
      </c>
      <c r="G406" s="36" t="n">
        <v>45916</v>
      </c>
      <c r="H406" s="35" t="s">
        <v>54</v>
      </c>
      <c r="I406" s="35" t="s">
        <v>88</v>
      </c>
      <c r="J406" s="35" t="s">
        <v>85</v>
      </c>
      <c r="K406" s="35"/>
      <c r="L406" s="48" t="n">
        <f aca="false">IFERROR(AVERAGEIFS('Score Entry'!$M$5:$M$1276,'Score Entry'!$B$5:$B$1276,A406,'Score Entry'!$E$5:$E$1276,"Primary"),"")</f>
        <v>35</v>
      </c>
      <c r="M406" s="48" t="n">
        <f aca="false">IFERROR(AVERAGEIFS('Score Entry'!$M$5:$M$1276,'Score Entry'!$B$5:$B$1276,A406,'Score Entry'!$E$5:$E$1276,"Secondary"),"")</f>
        <v>45</v>
      </c>
      <c r="N406" s="48" t="n">
        <f aca="false">IF(COUNT(L406:M406)=2,ABS(L406-M406),"")</f>
        <v>10</v>
      </c>
      <c r="O406" s="37" t="str">
        <f aca="false">IF(N406="","",IF(N406&gt;=Threshold,"Yes","No"))</f>
        <v>No</v>
      </c>
      <c r="P406" s="48" t="str">
        <f aca="false">IFERROR(AVERAGEIFS('Score Entry'!$M$5:$M$1276,'Score Entry'!$B$5:$B$1276,A406,'Score Entry'!$E$5:$E$1276,"Third"),"")</f>
        <v/>
      </c>
      <c r="Q406" s="48" t="n">
        <f aca="false">IF(H406&lt;&gt;"Eligible","",IF(O406="Yes",IF(ISNUMBER(P406),ROUND(AVERAGE(L406,M406,P406),1),""),IF(O406="No",ROUND(AVERAGE(L406:M406),1),"")))</f>
        <v>40</v>
      </c>
      <c r="R406" s="37" t="str">
        <f aca="false">IF(H406&lt;&gt;"Eligible","Screened out",IF(COUNT(L406:M406)=0,"Not started",IF(COUNT(L406:M406)=1,"One read done",IF(O406="Yes",IF(ISNUMBER(P406),"Complete","Needs third read"),"Complete"))))</f>
        <v>Complete</v>
      </c>
      <c r="S406" s="37" t="n">
        <f aca="false">IF(Q406="","",COUNTIFS($C$5:$C$600,C406,$Q$5:$Q$600,"&gt;"&amp;Q406)+1)</f>
        <v>161</v>
      </c>
      <c r="T406" s="37" t="str">
        <f aca="false">IF(Q406="","",IF(Q406&gt;=Cutoff,"Yes","No"))</f>
        <v>No</v>
      </c>
      <c r="U406" s="49" t="n">
        <f aca="false">IF(T406="Yes",MIN(F406,INDEX(Settings!$G:$G,MATCH(C406,Settings!$E:$E,0))),0)</f>
        <v>0</v>
      </c>
      <c r="V406" s="49" t="str">
        <f aca="false">IF(T406="Yes",SUMIFS($U$5:$U$600,$C$5:$C$600,C406,$Q$5:$Q$600,"&gt;"&amp;Q406)+U406,"")</f>
        <v/>
      </c>
      <c r="W406" s="37" t="str">
        <f aca="false">IF(T406="Yes",IF(V406&lt;=INDEX(PoolList,MATCH(C406,ProgramList,0)),"Within pool","Over pool"),"")</f>
        <v/>
      </c>
      <c r="X406" s="37" t="str">
        <f aca="false">IF(O406="Yes",COUNTIF($O$5:O406,"Yes"),"")</f>
        <v/>
      </c>
    </row>
    <row r="407" customFormat="false" ht="15" hidden="false" customHeight="false" outlineLevel="0" collapsed="false">
      <c r="A407" s="35" t="s">
        <v>997</v>
      </c>
      <c r="B407" s="35" t="s">
        <v>998</v>
      </c>
      <c r="C407" s="35" t="s">
        <v>106</v>
      </c>
      <c r="D407" s="35" t="s">
        <v>221</v>
      </c>
      <c r="E407" s="35" t="s">
        <v>222</v>
      </c>
      <c r="F407" s="42" t="n">
        <v>39500</v>
      </c>
      <c r="G407" s="36" t="n">
        <v>45919</v>
      </c>
      <c r="H407" s="35" t="s">
        <v>54</v>
      </c>
      <c r="I407" s="35" t="s">
        <v>82</v>
      </c>
      <c r="J407" s="35" t="s">
        <v>78</v>
      </c>
      <c r="K407" s="35"/>
      <c r="L407" s="48" t="n">
        <f aca="false">IFERROR(AVERAGEIFS('Score Entry'!$M$5:$M$1276,'Score Entry'!$B$5:$B$1276,A407,'Score Entry'!$E$5:$E$1276,"Primary"),"")</f>
        <v>70</v>
      </c>
      <c r="M407" s="48" t="n">
        <f aca="false">IFERROR(AVERAGEIFS('Score Entry'!$M$5:$M$1276,'Score Entry'!$B$5:$B$1276,A407,'Score Entry'!$E$5:$E$1276,"Secondary"),"")</f>
        <v>66</v>
      </c>
      <c r="N407" s="48" t="n">
        <f aca="false">IF(COUNT(L407:M407)=2,ABS(L407-M407),"")</f>
        <v>4</v>
      </c>
      <c r="O407" s="37" t="str">
        <f aca="false">IF(N407="","",IF(N407&gt;=Threshold,"Yes","No"))</f>
        <v>No</v>
      </c>
      <c r="P407" s="48" t="str">
        <f aca="false">IFERROR(AVERAGEIFS('Score Entry'!$M$5:$M$1276,'Score Entry'!$B$5:$B$1276,A407,'Score Entry'!$E$5:$E$1276,"Third"),"")</f>
        <v/>
      </c>
      <c r="Q407" s="48" t="n">
        <f aca="false">IF(H407&lt;&gt;"Eligible","",IF(O407="Yes",IF(ISNUMBER(P407),ROUND(AVERAGE(L407,M407,P407),1),""),IF(O407="No",ROUND(AVERAGE(L407:M407),1),"")))</f>
        <v>68</v>
      </c>
      <c r="R407" s="37" t="str">
        <f aca="false">IF(H407&lt;&gt;"Eligible","Screened out",IF(COUNT(L407:M407)=0,"Not started",IF(COUNT(L407:M407)=1,"One read done",IF(O407="Yes",IF(ISNUMBER(P407),"Complete","Needs third read"),"Complete"))))</f>
        <v>Complete</v>
      </c>
      <c r="S407" s="37" t="n">
        <f aca="false">IF(Q407="","",COUNTIFS($C$5:$C$600,C407,$Q$5:$Q$600,"&gt;"&amp;Q407)+1)</f>
        <v>63</v>
      </c>
      <c r="T407" s="37" t="str">
        <f aca="false">IF(Q407="","",IF(Q407&gt;=Cutoff,"Yes","No"))</f>
        <v>No</v>
      </c>
      <c r="U407" s="49" t="n">
        <f aca="false">IF(T407="Yes",MIN(F407,INDEX(Settings!$G:$G,MATCH(C407,Settings!$E:$E,0))),0)</f>
        <v>0</v>
      </c>
      <c r="V407" s="49" t="str">
        <f aca="false">IF(T407="Yes",SUMIFS($U$5:$U$600,$C$5:$C$600,C407,$Q$5:$Q$600,"&gt;"&amp;Q407)+U407,"")</f>
        <v/>
      </c>
      <c r="W407" s="37" t="str">
        <f aca="false">IF(T407="Yes",IF(V407&lt;=INDEX(PoolList,MATCH(C407,ProgramList,0)),"Within pool","Over pool"),"")</f>
        <v/>
      </c>
      <c r="X407" s="37" t="str">
        <f aca="false">IF(O407="Yes",COUNTIF($O$5:O407,"Yes"),"")</f>
        <v/>
      </c>
    </row>
    <row r="408" customFormat="false" ht="15" hidden="false" customHeight="false" outlineLevel="0" collapsed="false">
      <c r="A408" s="35" t="s">
        <v>999</v>
      </c>
      <c r="B408" s="35" t="s">
        <v>1000</v>
      </c>
      <c r="C408" s="35" t="s">
        <v>104</v>
      </c>
      <c r="D408" s="35" t="s">
        <v>174</v>
      </c>
      <c r="E408" s="35" t="s">
        <v>175</v>
      </c>
      <c r="F408" s="42" t="n">
        <v>130000</v>
      </c>
      <c r="G408" s="36" t="n">
        <v>45914</v>
      </c>
      <c r="H408" s="35" t="s">
        <v>54</v>
      </c>
      <c r="I408" s="35" t="s">
        <v>91</v>
      </c>
      <c r="J408" s="35" t="s">
        <v>94</v>
      </c>
      <c r="K408" s="35"/>
      <c r="L408" s="48" t="n">
        <f aca="false">IFERROR(AVERAGEIFS('Score Entry'!$M$5:$M$1276,'Score Entry'!$B$5:$B$1276,A408,'Score Entry'!$E$5:$E$1276,"Primary"),"")</f>
        <v>60</v>
      </c>
      <c r="M408" s="48" t="n">
        <f aca="false">IFERROR(AVERAGEIFS('Score Entry'!$M$5:$M$1276,'Score Entry'!$B$5:$B$1276,A408,'Score Entry'!$E$5:$E$1276,"Secondary"),"")</f>
        <v>65</v>
      </c>
      <c r="N408" s="48" t="n">
        <f aca="false">IF(COUNT(L408:M408)=2,ABS(L408-M408),"")</f>
        <v>5</v>
      </c>
      <c r="O408" s="37" t="str">
        <f aca="false">IF(N408="","",IF(N408&gt;=Threshold,"Yes","No"))</f>
        <v>No</v>
      </c>
      <c r="P408" s="48" t="str">
        <f aca="false">IFERROR(AVERAGEIFS('Score Entry'!$M$5:$M$1276,'Score Entry'!$B$5:$B$1276,A408,'Score Entry'!$E$5:$E$1276,"Third"),"")</f>
        <v/>
      </c>
      <c r="Q408" s="48" t="n">
        <f aca="false">IF(H408&lt;&gt;"Eligible","",IF(O408="Yes",IF(ISNUMBER(P408),ROUND(AVERAGE(L408,M408,P408),1),""),IF(O408="No",ROUND(AVERAGE(L408:M408),1),"")))</f>
        <v>62.5</v>
      </c>
      <c r="R408" s="37" t="str">
        <f aca="false">IF(H408&lt;&gt;"Eligible","Screened out",IF(COUNT(L408:M408)=0,"Not started",IF(COUNT(L408:M408)=1,"One read done",IF(O408="Yes",IF(ISNUMBER(P408),"Complete","Needs third read"),"Complete"))))</f>
        <v>Complete</v>
      </c>
      <c r="S408" s="37" t="n">
        <f aca="false">IF(Q408="","",COUNTIFS($C$5:$C$600,C408,$Q$5:$Q$600,"&gt;"&amp;Q408)+1)</f>
        <v>66</v>
      </c>
      <c r="T408" s="37" t="str">
        <f aca="false">IF(Q408="","",IF(Q408&gt;=Cutoff,"Yes","No"))</f>
        <v>No</v>
      </c>
      <c r="U408" s="49" t="n">
        <f aca="false">IF(T408="Yes",MIN(F408,INDEX(Settings!$G:$G,MATCH(C408,Settings!$E:$E,0))),0)</f>
        <v>0</v>
      </c>
      <c r="V408" s="49" t="str">
        <f aca="false">IF(T408="Yes",SUMIFS($U$5:$U$600,$C$5:$C$600,C408,$Q$5:$Q$600,"&gt;"&amp;Q408)+U408,"")</f>
        <v/>
      </c>
      <c r="W408" s="37" t="str">
        <f aca="false">IF(T408="Yes",IF(V408&lt;=INDEX(PoolList,MATCH(C408,ProgramList,0)),"Within pool","Over pool"),"")</f>
        <v/>
      </c>
      <c r="X408" s="37" t="str">
        <f aca="false">IF(O408="Yes",COUNTIF($O$5:O408,"Yes"),"")</f>
        <v/>
      </c>
    </row>
    <row r="409" customFormat="false" ht="15" hidden="false" customHeight="false" outlineLevel="0" collapsed="false">
      <c r="A409" s="35" t="s">
        <v>1001</v>
      </c>
      <c r="B409" s="35" t="s">
        <v>1002</v>
      </c>
      <c r="C409" s="35" t="s">
        <v>105</v>
      </c>
      <c r="D409" s="35" t="s">
        <v>239</v>
      </c>
      <c r="E409" s="35" t="s">
        <v>554</v>
      </c>
      <c r="F409" s="42" t="n">
        <v>136000</v>
      </c>
      <c r="G409" s="36" t="n">
        <v>45927</v>
      </c>
      <c r="H409" s="35" t="s">
        <v>54</v>
      </c>
      <c r="I409" s="35" t="s">
        <v>91</v>
      </c>
      <c r="J409" s="35" t="s">
        <v>82</v>
      </c>
      <c r="K409" s="35" t="s">
        <v>88</v>
      </c>
      <c r="L409" s="48" t="n">
        <f aca="false">IFERROR(AVERAGEIFS('Score Entry'!$M$5:$M$1276,'Score Entry'!$B$5:$B$1276,A409,'Score Entry'!$E$5:$E$1276,"Primary"),"")</f>
        <v>98</v>
      </c>
      <c r="M409" s="48" t="n">
        <f aca="false">IFERROR(AVERAGEIFS('Score Entry'!$M$5:$M$1276,'Score Entry'!$B$5:$B$1276,A409,'Score Entry'!$E$5:$E$1276,"Secondary"),"")</f>
        <v>76</v>
      </c>
      <c r="N409" s="48" t="n">
        <f aca="false">IF(COUNT(L409:M409)=2,ABS(L409-M409),"")</f>
        <v>22</v>
      </c>
      <c r="O409" s="37" t="str">
        <f aca="false">IF(N409="","",IF(N409&gt;=Threshold,"Yes","No"))</f>
        <v>Yes</v>
      </c>
      <c r="P409" s="48" t="n">
        <f aca="false">IFERROR(AVERAGEIFS('Score Entry'!$M$5:$M$1276,'Score Entry'!$B$5:$B$1276,A409,'Score Entry'!$E$5:$E$1276,"Third"),"")</f>
        <v>80</v>
      </c>
      <c r="Q409" s="48" t="n">
        <f aca="false">IF(H409&lt;&gt;"Eligible","",IF(O409="Yes",IF(ISNUMBER(P409),ROUND(AVERAGE(L409,M409,P409),1),""),IF(O409="No",ROUND(AVERAGE(L409:M409),1),"")))</f>
        <v>84.7</v>
      </c>
      <c r="R409" s="37" t="str">
        <f aca="false">IF(H409&lt;&gt;"Eligible","Screened out",IF(COUNT(L409:M409)=0,"Not started",IF(COUNT(L409:M409)=1,"One read done",IF(O409="Yes",IF(ISNUMBER(P409),"Complete","Needs third read"),"Complete"))))</f>
        <v>Complete</v>
      </c>
      <c r="S409" s="37" t="n">
        <f aca="false">IF(Q409="","",COUNTIFS($C$5:$C$600,C409,$Q$5:$Q$600,"&gt;"&amp;Q409)+1)</f>
        <v>9</v>
      </c>
      <c r="T409" s="37" t="str">
        <f aca="false">IF(Q409="","",IF(Q409&gt;=Cutoff,"Yes","No"))</f>
        <v>No</v>
      </c>
      <c r="U409" s="49" t="n">
        <f aca="false">IF(T409="Yes",MIN(F409,INDEX(Settings!$G:$G,MATCH(C409,Settings!$E:$E,0))),0)</f>
        <v>0</v>
      </c>
      <c r="V409" s="49" t="str">
        <f aca="false">IF(T409="Yes",SUMIFS($U$5:$U$600,$C$5:$C$600,C409,$Q$5:$Q$600,"&gt;"&amp;Q409)+U409,"")</f>
        <v/>
      </c>
      <c r="W409" s="37" t="str">
        <f aca="false">IF(T409="Yes",IF(V409&lt;=INDEX(PoolList,MATCH(C409,ProgramList,0)),"Within pool","Over pool"),"")</f>
        <v/>
      </c>
      <c r="X409" s="37" t="n">
        <f aca="false">IF(O409="Yes",COUNTIF($O$5:O409,"Yes"),"")</f>
        <v>50</v>
      </c>
    </row>
    <row r="410" customFormat="false" ht="15" hidden="false" customHeight="false" outlineLevel="0" collapsed="false">
      <c r="A410" s="35" t="s">
        <v>1003</v>
      </c>
      <c r="B410" s="35" t="s">
        <v>1004</v>
      </c>
      <c r="C410" s="35" t="s">
        <v>103</v>
      </c>
      <c r="D410" s="35" t="s">
        <v>174</v>
      </c>
      <c r="E410" s="35" t="s">
        <v>175</v>
      </c>
      <c r="F410" s="42" t="n">
        <v>69500</v>
      </c>
      <c r="G410" s="36" t="n">
        <v>45909</v>
      </c>
      <c r="H410" s="35" t="s">
        <v>54</v>
      </c>
      <c r="I410" s="35" t="s">
        <v>85</v>
      </c>
      <c r="J410" s="35" t="s">
        <v>88</v>
      </c>
      <c r="K410" s="35"/>
      <c r="L410" s="48" t="n">
        <f aca="false">IFERROR(AVERAGEIFS('Score Entry'!$M$5:$M$1276,'Score Entry'!$B$5:$B$1276,A410,'Score Entry'!$E$5:$E$1276,"Primary"),"")</f>
        <v>75</v>
      </c>
      <c r="M410" s="48" t="n">
        <f aca="false">IFERROR(AVERAGEIFS('Score Entry'!$M$5:$M$1276,'Score Entry'!$B$5:$B$1276,A410,'Score Entry'!$E$5:$E$1276,"Secondary"),"")</f>
        <v>78</v>
      </c>
      <c r="N410" s="48" t="n">
        <f aca="false">IF(COUNT(L410:M410)=2,ABS(L410-M410),"")</f>
        <v>3</v>
      </c>
      <c r="O410" s="37" t="str">
        <f aca="false">IF(N410="","",IF(N410&gt;=Threshold,"Yes","No"))</f>
        <v>No</v>
      </c>
      <c r="P410" s="48" t="str">
        <f aca="false">IFERROR(AVERAGEIFS('Score Entry'!$M$5:$M$1276,'Score Entry'!$B$5:$B$1276,A410,'Score Entry'!$E$5:$E$1276,"Third"),"")</f>
        <v/>
      </c>
      <c r="Q410" s="48" t="n">
        <f aca="false">IF(H410&lt;&gt;"Eligible","",IF(O410="Yes",IF(ISNUMBER(P410),ROUND(AVERAGE(L410,M410,P410),1),""),IF(O410="No",ROUND(AVERAGE(L410:M410),1),"")))</f>
        <v>76.5</v>
      </c>
      <c r="R410" s="37" t="str">
        <f aca="false">IF(H410&lt;&gt;"Eligible","Screened out",IF(COUNT(L410:M410)=0,"Not started",IF(COUNT(L410:M410)=1,"One read done",IF(O410="Yes",IF(ISNUMBER(P410),"Complete","Needs third read"),"Complete"))))</f>
        <v>Complete</v>
      </c>
      <c r="S410" s="37" t="n">
        <f aca="false">IF(Q410="","",COUNTIFS($C$5:$C$600,C410,$Q$5:$Q$600,"&gt;"&amp;Q410)+1)</f>
        <v>33</v>
      </c>
      <c r="T410" s="37" t="str">
        <f aca="false">IF(Q410="","",IF(Q410&gt;=Cutoff,"Yes","No"))</f>
        <v>No</v>
      </c>
      <c r="U410" s="49" t="n">
        <f aca="false">IF(T410="Yes",MIN(F410,INDEX(Settings!$G:$G,MATCH(C410,Settings!$E:$E,0))),0)</f>
        <v>0</v>
      </c>
      <c r="V410" s="49" t="str">
        <f aca="false">IF(T410="Yes",SUMIFS($U$5:$U$600,$C$5:$C$600,C410,$Q$5:$Q$600,"&gt;"&amp;Q410)+U410,"")</f>
        <v/>
      </c>
      <c r="W410" s="37" t="str">
        <f aca="false">IF(T410="Yes",IF(V410&lt;=INDEX(PoolList,MATCH(C410,ProgramList,0)),"Within pool","Over pool"),"")</f>
        <v/>
      </c>
      <c r="X410" s="37" t="str">
        <f aca="false">IF(O410="Yes",COUNTIF($O$5:O410,"Yes"),"")</f>
        <v/>
      </c>
    </row>
    <row r="411" customFormat="false" ht="15" hidden="false" customHeight="false" outlineLevel="0" collapsed="false">
      <c r="A411" s="35" t="s">
        <v>1005</v>
      </c>
      <c r="B411" s="35" t="s">
        <v>1006</v>
      </c>
      <c r="C411" s="35" t="s">
        <v>103</v>
      </c>
      <c r="D411" s="35" t="s">
        <v>174</v>
      </c>
      <c r="E411" s="35" t="s">
        <v>175</v>
      </c>
      <c r="F411" s="42" t="n">
        <v>43500</v>
      </c>
      <c r="G411" s="36" t="n">
        <v>45923</v>
      </c>
      <c r="H411" s="35" t="s">
        <v>54</v>
      </c>
      <c r="I411" s="35" t="s">
        <v>78</v>
      </c>
      <c r="J411" s="35" t="s">
        <v>85</v>
      </c>
      <c r="K411" s="35"/>
      <c r="L411" s="48" t="n">
        <f aca="false">IFERROR(AVERAGEIFS('Score Entry'!$M$5:$M$1276,'Score Entry'!$B$5:$B$1276,A411,'Score Entry'!$E$5:$E$1276,"Primary"),"")</f>
        <v>65</v>
      </c>
      <c r="M411" s="48" t="n">
        <f aca="false">IFERROR(AVERAGEIFS('Score Entry'!$M$5:$M$1276,'Score Entry'!$B$5:$B$1276,A411,'Score Entry'!$E$5:$E$1276,"Secondary"),"")</f>
        <v>63</v>
      </c>
      <c r="N411" s="48" t="n">
        <f aca="false">IF(COUNT(L411:M411)=2,ABS(L411-M411),"")</f>
        <v>2</v>
      </c>
      <c r="O411" s="37" t="str">
        <f aca="false">IF(N411="","",IF(N411&gt;=Threshold,"Yes","No"))</f>
        <v>No</v>
      </c>
      <c r="P411" s="48" t="str">
        <f aca="false">IFERROR(AVERAGEIFS('Score Entry'!$M$5:$M$1276,'Score Entry'!$B$5:$B$1276,A411,'Score Entry'!$E$5:$E$1276,"Third"),"")</f>
        <v/>
      </c>
      <c r="Q411" s="48" t="n">
        <f aca="false">IF(H411&lt;&gt;"Eligible","",IF(O411="Yes",IF(ISNUMBER(P411),ROUND(AVERAGE(L411,M411,P411),1),""),IF(O411="No",ROUND(AVERAGE(L411:M411),1),"")))</f>
        <v>64</v>
      </c>
      <c r="R411" s="37" t="str">
        <f aca="false">IF(H411&lt;&gt;"Eligible","Screened out",IF(COUNT(L411:M411)=0,"Not started",IF(COUNT(L411:M411)=1,"One read done",IF(O411="Yes",IF(ISNUMBER(P411),"Complete","Needs third read"),"Complete"))))</f>
        <v>Complete</v>
      </c>
      <c r="S411" s="37" t="n">
        <f aca="false">IF(Q411="","",COUNTIFS($C$5:$C$600,C411,$Q$5:$Q$600,"&gt;"&amp;Q411)+1)</f>
        <v>95</v>
      </c>
      <c r="T411" s="37" t="str">
        <f aca="false">IF(Q411="","",IF(Q411&gt;=Cutoff,"Yes","No"))</f>
        <v>No</v>
      </c>
      <c r="U411" s="49" t="n">
        <f aca="false">IF(T411="Yes",MIN(F411,INDEX(Settings!$G:$G,MATCH(C411,Settings!$E:$E,0))),0)</f>
        <v>0</v>
      </c>
      <c r="V411" s="49" t="str">
        <f aca="false">IF(T411="Yes",SUMIFS($U$5:$U$600,$C$5:$C$600,C411,$Q$5:$Q$600,"&gt;"&amp;Q411)+U411,"")</f>
        <v/>
      </c>
      <c r="W411" s="37" t="str">
        <f aca="false">IF(T411="Yes",IF(V411&lt;=INDEX(PoolList,MATCH(C411,ProgramList,0)),"Within pool","Over pool"),"")</f>
        <v/>
      </c>
      <c r="X411" s="37" t="str">
        <f aca="false">IF(O411="Yes",COUNTIF($O$5:O411,"Yes"),"")</f>
        <v/>
      </c>
    </row>
    <row r="412" customFormat="false" ht="15" hidden="false" customHeight="false" outlineLevel="0" collapsed="false">
      <c r="A412" s="35" t="s">
        <v>1007</v>
      </c>
      <c r="B412" s="35" t="s">
        <v>1008</v>
      </c>
      <c r="C412" s="35" t="s">
        <v>104</v>
      </c>
      <c r="D412" s="35" t="s">
        <v>221</v>
      </c>
      <c r="E412" s="35" t="s">
        <v>222</v>
      </c>
      <c r="F412" s="42" t="n">
        <v>184000</v>
      </c>
      <c r="G412" s="36" t="n">
        <v>45926</v>
      </c>
      <c r="H412" s="35" t="s">
        <v>54</v>
      </c>
      <c r="I412" s="35" t="s">
        <v>85</v>
      </c>
      <c r="J412" s="35" t="s">
        <v>91</v>
      </c>
      <c r="K412" s="35"/>
      <c r="L412" s="48" t="n">
        <f aca="false">IFERROR(AVERAGEIFS('Score Entry'!$M$5:$M$1276,'Score Entry'!$B$5:$B$1276,A412,'Score Entry'!$E$5:$E$1276,"Primary"),"")</f>
        <v>67</v>
      </c>
      <c r="M412" s="48" t="n">
        <f aca="false">IFERROR(AVERAGEIFS('Score Entry'!$M$5:$M$1276,'Score Entry'!$B$5:$B$1276,A412,'Score Entry'!$E$5:$E$1276,"Secondary"),"")</f>
        <v>82</v>
      </c>
      <c r="N412" s="48" t="n">
        <f aca="false">IF(COUNT(L412:M412)=2,ABS(L412-M412),"")</f>
        <v>15</v>
      </c>
      <c r="O412" s="37" t="str">
        <f aca="false">IF(N412="","",IF(N412&gt;=Threshold,"Yes","No"))</f>
        <v>No</v>
      </c>
      <c r="P412" s="48" t="str">
        <f aca="false">IFERROR(AVERAGEIFS('Score Entry'!$M$5:$M$1276,'Score Entry'!$B$5:$B$1276,A412,'Score Entry'!$E$5:$E$1276,"Third"),"")</f>
        <v/>
      </c>
      <c r="Q412" s="48" t="n">
        <f aca="false">IF(H412&lt;&gt;"Eligible","",IF(O412="Yes",IF(ISNUMBER(P412),ROUND(AVERAGE(L412,M412,P412),1),""),IF(O412="No",ROUND(AVERAGE(L412:M412),1),"")))</f>
        <v>74.5</v>
      </c>
      <c r="R412" s="37" t="str">
        <f aca="false">IF(H412&lt;&gt;"Eligible","Screened out",IF(COUNT(L412:M412)=0,"Not started",IF(COUNT(L412:M412)=1,"One read done",IF(O412="Yes",IF(ISNUMBER(P412),"Complete","Needs third read"),"Complete"))))</f>
        <v>Complete</v>
      </c>
      <c r="S412" s="37" t="n">
        <f aca="false">IF(Q412="","",COUNTIFS($C$5:$C$600,C412,$Q$5:$Q$600,"&gt;"&amp;Q412)+1)</f>
        <v>35</v>
      </c>
      <c r="T412" s="37" t="str">
        <f aca="false">IF(Q412="","",IF(Q412&gt;=Cutoff,"Yes","No"))</f>
        <v>No</v>
      </c>
      <c r="U412" s="49" t="n">
        <f aca="false">IF(T412="Yes",MIN(F412,INDEX(Settings!$G:$G,MATCH(C412,Settings!$E:$E,0))),0)</f>
        <v>0</v>
      </c>
      <c r="V412" s="49" t="str">
        <f aca="false">IF(T412="Yes",SUMIFS($U$5:$U$600,$C$5:$C$600,C412,$Q$5:$Q$600,"&gt;"&amp;Q412)+U412,"")</f>
        <v/>
      </c>
      <c r="W412" s="37" t="str">
        <f aca="false">IF(T412="Yes",IF(V412&lt;=INDEX(PoolList,MATCH(C412,ProgramList,0)),"Within pool","Over pool"),"")</f>
        <v/>
      </c>
      <c r="X412" s="37" t="str">
        <f aca="false">IF(O412="Yes",COUNTIF($O$5:O412,"Yes"),"")</f>
        <v/>
      </c>
    </row>
    <row r="413" customFormat="false" ht="15" hidden="false" customHeight="false" outlineLevel="0" collapsed="false">
      <c r="A413" s="35" t="s">
        <v>1009</v>
      </c>
      <c r="B413" s="35" t="s">
        <v>1010</v>
      </c>
      <c r="C413" s="35" t="s">
        <v>104</v>
      </c>
      <c r="D413" s="35" t="s">
        <v>221</v>
      </c>
      <c r="E413" s="35" t="s">
        <v>222</v>
      </c>
      <c r="F413" s="42" t="n">
        <v>53000</v>
      </c>
      <c r="G413" s="36" t="n">
        <v>45927</v>
      </c>
      <c r="H413" s="35" t="s">
        <v>54</v>
      </c>
      <c r="I413" s="35" t="s">
        <v>82</v>
      </c>
      <c r="J413" s="35" t="s">
        <v>88</v>
      </c>
      <c r="K413" s="35"/>
      <c r="L413" s="48" t="n">
        <f aca="false">IFERROR(AVERAGEIFS('Score Entry'!$M$5:$M$1276,'Score Entry'!$B$5:$B$1276,A413,'Score Entry'!$E$5:$E$1276,"Primary"),"")</f>
        <v>48</v>
      </c>
      <c r="M413" s="48" t="n">
        <f aca="false">IFERROR(AVERAGEIFS('Score Entry'!$M$5:$M$1276,'Score Entry'!$B$5:$B$1276,A413,'Score Entry'!$E$5:$E$1276,"Secondary"),"")</f>
        <v>42</v>
      </c>
      <c r="N413" s="48" t="n">
        <f aca="false">IF(COUNT(L413:M413)=2,ABS(L413-M413),"")</f>
        <v>6</v>
      </c>
      <c r="O413" s="37" t="str">
        <f aca="false">IF(N413="","",IF(N413&gt;=Threshold,"Yes","No"))</f>
        <v>No</v>
      </c>
      <c r="P413" s="48" t="str">
        <f aca="false">IFERROR(AVERAGEIFS('Score Entry'!$M$5:$M$1276,'Score Entry'!$B$5:$B$1276,A413,'Score Entry'!$E$5:$E$1276,"Third"),"")</f>
        <v/>
      </c>
      <c r="Q413" s="48" t="n">
        <f aca="false">IF(H413&lt;&gt;"Eligible","",IF(O413="Yes",IF(ISNUMBER(P413),ROUND(AVERAGE(L413,M413,P413),1),""),IF(O413="No",ROUND(AVERAGE(L413:M413),1),"")))</f>
        <v>45</v>
      </c>
      <c r="R413" s="37" t="str">
        <f aca="false">IF(H413&lt;&gt;"Eligible","Screened out",IF(COUNT(L413:M413)=0,"Not started",IF(COUNT(L413:M413)=1,"One read done",IF(O413="Yes",IF(ISNUMBER(P413),"Complete","Needs third read"),"Complete"))))</f>
        <v>Complete</v>
      </c>
      <c r="S413" s="37" t="n">
        <f aca="false">IF(Q413="","",COUNTIFS($C$5:$C$600,C413,$Q$5:$Q$600,"&gt;"&amp;Q413)+1)</f>
        <v>99</v>
      </c>
      <c r="T413" s="37" t="str">
        <f aca="false">IF(Q413="","",IF(Q413&gt;=Cutoff,"Yes","No"))</f>
        <v>No</v>
      </c>
      <c r="U413" s="49" t="n">
        <f aca="false">IF(T413="Yes",MIN(F413,INDEX(Settings!$G:$G,MATCH(C413,Settings!$E:$E,0))),0)</f>
        <v>0</v>
      </c>
      <c r="V413" s="49" t="str">
        <f aca="false">IF(T413="Yes",SUMIFS($U$5:$U$600,$C$5:$C$600,C413,$Q$5:$Q$600,"&gt;"&amp;Q413)+U413,"")</f>
        <v/>
      </c>
      <c r="W413" s="37" t="str">
        <f aca="false">IF(T413="Yes",IF(V413&lt;=INDEX(PoolList,MATCH(C413,ProgramList,0)),"Within pool","Over pool"),"")</f>
        <v/>
      </c>
      <c r="X413" s="37" t="str">
        <f aca="false">IF(O413="Yes",COUNTIF($O$5:O413,"Yes"),"")</f>
        <v/>
      </c>
    </row>
    <row r="414" customFormat="false" ht="15" hidden="false" customHeight="false" outlineLevel="0" collapsed="false">
      <c r="A414" s="35" t="s">
        <v>1011</v>
      </c>
      <c r="B414" s="35" t="s">
        <v>1012</v>
      </c>
      <c r="C414" s="35" t="s">
        <v>103</v>
      </c>
      <c r="D414" s="35" t="s">
        <v>174</v>
      </c>
      <c r="E414" s="35" t="s">
        <v>175</v>
      </c>
      <c r="F414" s="42" t="n">
        <v>146000</v>
      </c>
      <c r="G414" s="36" t="n">
        <v>45910</v>
      </c>
      <c r="H414" s="35" t="s">
        <v>54</v>
      </c>
      <c r="I414" s="35" t="s">
        <v>78</v>
      </c>
      <c r="J414" s="35" t="s">
        <v>94</v>
      </c>
      <c r="K414" s="35"/>
      <c r="L414" s="48" t="n">
        <f aca="false">IFERROR(AVERAGEIFS('Score Entry'!$M$5:$M$1276,'Score Entry'!$B$5:$B$1276,A414,'Score Entry'!$E$5:$E$1276,"Primary"),"")</f>
        <v>47</v>
      </c>
      <c r="M414" s="48" t="n">
        <f aca="false">IFERROR(AVERAGEIFS('Score Entry'!$M$5:$M$1276,'Score Entry'!$B$5:$B$1276,A414,'Score Entry'!$E$5:$E$1276,"Secondary"),"")</f>
        <v>56</v>
      </c>
      <c r="N414" s="48" t="n">
        <f aca="false">IF(COUNT(L414:M414)=2,ABS(L414-M414),"")</f>
        <v>9</v>
      </c>
      <c r="O414" s="37" t="str">
        <f aca="false">IF(N414="","",IF(N414&gt;=Threshold,"Yes","No"))</f>
        <v>No</v>
      </c>
      <c r="P414" s="48" t="str">
        <f aca="false">IFERROR(AVERAGEIFS('Score Entry'!$M$5:$M$1276,'Score Entry'!$B$5:$B$1276,A414,'Score Entry'!$E$5:$E$1276,"Third"),"")</f>
        <v/>
      </c>
      <c r="Q414" s="48" t="n">
        <f aca="false">IF(H414&lt;&gt;"Eligible","",IF(O414="Yes",IF(ISNUMBER(P414),ROUND(AVERAGE(L414,M414,P414),1),""),IF(O414="No",ROUND(AVERAGE(L414:M414),1),"")))</f>
        <v>51.5</v>
      </c>
      <c r="R414" s="37" t="str">
        <f aca="false">IF(H414&lt;&gt;"Eligible","Screened out",IF(COUNT(L414:M414)=0,"Not started",IF(COUNT(L414:M414)=1,"One read done",IF(O414="Yes",IF(ISNUMBER(P414),"Complete","Needs third read"),"Complete"))))</f>
        <v>Complete</v>
      </c>
      <c r="S414" s="37" t="n">
        <f aca="false">IF(Q414="","",COUNTIFS($C$5:$C$600,C414,$Q$5:$Q$600,"&gt;"&amp;Q414)+1)</f>
        <v>148</v>
      </c>
      <c r="T414" s="37" t="str">
        <f aca="false">IF(Q414="","",IF(Q414&gt;=Cutoff,"Yes","No"))</f>
        <v>No</v>
      </c>
      <c r="U414" s="49" t="n">
        <f aca="false">IF(T414="Yes",MIN(F414,INDEX(Settings!$G:$G,MATCH(C414,Settings!$E:$E,0))),0)</f>
        <v>0</v>
      </c>
      <c r="V414" s="49" t="str">
        <f aca="false">IF(T414="Yes",SUMIFS($U$5:$U$600,$C$5:$C$600,C414,$Q$5:$Q$600,"&gt;"&amp;Q414)+U414,"")</f>
        <v/>
      </c>
      <c r="W414" s="37" t="str">
        <f aca="false">IF(T414="Yes",IF(V414&lt;=INDEX(PoolList,MATCH(C414,ProgramList,0)),"Within pool","Over pool"),"")</f>
        <v/>
      </c>
      <c r="X414" s="37" t="str">
        <f aca="false">IF(O414="Yes",COUNTIF($O$5:O414,"Yes"),"")</f>
        <v/>
      </c>
    </row>
    <row r="415" customFormat="false" ht="15" hidden="false" customHeight="false" outlineLevel="0" collapsed="false">
      <c r="A415" s="35" t="s">
        <v>1013</v>
      </c>
      <c r="B415" s="35" t="s">
        <v>1014</v>
      </c>
      <c r="C415" s="35" t="s">
        <v>105</v>
      </c>
      <c r="D415" s="35" t="s">
        <v>174</v>
      </c>
      <c r="E415" s="35" t="s">
        <v>175</v>
      </c>
      <c r="F415" s="42" t="n">
        <v>114000</v>
      </c>
      <c r="G415" s="36" t="n">
        <v>45911</v>
      </c>
      <c r="H415" s="35" t="s">
        <v>54</v>
      </c>
      <c r="I415" s="35" t="s">
        <v>94</v>
      </c>
      <c r="J415" s="35" t="s">
        <v>78</v>
      </c>
      <c r="K415" s="35"/>
      <c r="L415" s="48" t="n">
        <f aca="false">IFERROR(AVERAGEIFS('Score Entry'!$M$5:$M$1276,'Score Entry'!$B$5:$B$1276,A415,'Score Entry'!$E$5:$E$1276,"Primary"),"")</f>
        <v>67</v>
      </c>
      <c r="M415" s="48" t="n">
        <f aca="false">IFERROR(AVERAGEIFS('Score Entry'!$M$5:$M$1276,'Score Entry'!$B$5:$B$1276,A415,'Score Entry'!$E$5:$E$1276,"Secondary"),"")</f>
        <v>84</v>
      </c>
      <c r="N415" s="48" t="n">
        <f aca="false">IF(COUNT(L415:M415)=2,ABS(L415-M415),"")</f>
        <v>17</v>
      </c>
      <c r="O415" s="37" t="str">
        <f aca="false">IF(N415="","",IF(N415&gt;=Threshold,"Yes","No"))</f>
        <v>No</v>
      </c>
      <c r="P415" s="48" t="str">
        <f aca="false">IFERROR(AVERAGEIFS('Score Entry'!$M$5:$M$1276,'Score Entry'!$B$5:$B$1276,A415,'Score Entry'!$E$5:$E$1276,"Third"),"")</f>
        <v/>
      </c>
      <c r="Q415" s="48" t="n">
        <f aca="false">IF(H415&lt;&gt;"Eligible","",IF(O415="Yes",IF(ISNUMBER(P415),ROUND(AVERAGE(L415,M415,P415),1),""),IF(O415="No",ROUND(AVERAGE(L415:M415),1),"")))</f>
        <v>75.5</v>
      </c>
      <c r="R415" s="37" t="str">
        <f aca="false">IF(H415&lt;&gt;"Eligible","Screened out",IF(COUNT(L415:M415)=0,"Not started",IF(COUNT(L415:M415)=1,"One read done",IF(O415="Yes",IF(ISNUMBER(P415),"Complete","Needs third read"),"Complete"))))</f>
        <v>Complete</v>
      </c>
      <c r="S415" s="37" t="n">
        <f aca="false">IF(Q415="","",COUNTIFS($C$5:$C$600,C415,$Q$5:$Q$600,"&gt;"&amp;Q415)+1)</f>
        <v>27</v>
      </c>
      <c r="T415" s="37" t="str">
        <f aca="false">IF(Q415="","",IF(Q415&gt;=Cutoff,"Yes","No"))</f>
        <v>No</v>
      </c>
      <c r="U415" s="49" t="n">
        <f aca="false">IF(T415="Yes",MIN(F415,INDEX(Settings!$G:$G,MATCH(C415,Settings!$E:$E,0))),0)</f>
        <v>0</v>
      </c>
      <c r="V415" s="49" t="str">
        <f aca="false">IF(T415="Yes",SUMIFS($U$5:$U$600,$C$5:$C$600,C415,$Q$5:$Q$600,"&gt;"&amp;Q415)+U415,"")</f>
        <v/>
      </c>
      <c r="W415" s="37" t="str">
        <f aca="false">IF(T415="Yes",IF(V415&lt;=INDEX(PoolList,MATCH(C415,ProgramList,0)),"Within pool","Over pool"),"")</f>
        <v/>
      </c>
      <c r="X415" s="37" t="str">
        <f aca="false">IF(O415="Yes",COUNTIF($O$5:O415,"Yes"),"")</f>
        <v/>
      </c>
    </row>
    <row r="416" customFormat="false" ht="15" hidden="false" customHeight="false" outlineLevel="0" collapsed="false">
      <c r="A416" s="35" t="s">
        <v>1015</v>
      </c>
      <c r="B416" s="35" t="s">
        <v>1016</v>
      </c>
      <c r="C416" s="35" t="s">
        <v>104</v>
      </c>
      <c r="D416" s="35" t="s">
        <v>174</v>
      </c>
      <c r="E416" s="35" t="s">
        <v>232</v>
      </c>
      <c r="F416" s="42" t="n">
        <v>88500</v>
      </c>
      <c r="G416" s="36" t="n">
        <v>45919</v>
      </c>
      <c r="H416" s="35" t="s">
        <v>54</v>
      </c>
      <c r="I416" s="35" t="s">
        <v>88</v>
      </c>
      <c r="J416" s="35" t="s">
        <v>91</v>
      </c>
      <c r="K416" s="35"/>
      <c r="L416" s="48" t="n">
        <f aca="false">IFERROR(AVERAGEIFS('Score Entry'!$M$5:$M$1276,'Score Entry'!$B$5:$B$1276,A416,'Score Entry'!$E$5:$E$1276,"Primary"),"")</f>
        <v>64</v>
      </c>
      <c r="M416" s="48" t="n">
        <f aca="false">IFERROR(AVERAGEIFS('Score Entry'!$M$5:$M$1276,'Score Entry'!$B$5:$B$1276,A416,'Score Entry'!$E$5:$E$1276,"Secondary"),"")</f>
        <v>60</v>
      </c>
      <c r="N416" s="48" t="n">
        <f aca="false">IF(COUNT(L416:M416)=2,ABS(L416-M416),"")</f>
        <v>4</v>
      </c>
      <c r="O416" s="37" t="str">
        <f aca="false">IF(N416="","",IF(N416&gt;=Threshold,"Yes","No"))</f>
        <v>No</v>
      </c>
      <c r="P416" s="48" t="str">
        <f aca="false">IFERROR(AVERAGEIFS('Score Entry'!$M$5:$M$1276,'Score Entry'!$B$5:$B$1276,A416,'Score Entry'!$E$5:$E$1276,"Third"),"")</f>
        <v/>
      </c>
      <c r="Q416" s="48" t="n">
        <f aca="false">IF(H416&lt;&gt;"Eligible","",IF(O416="Yes",IF(ISNUMBER(P416),ROUND(AVERAGE(L416,M416,P416),1),""),IF(O416="No",ROUND(AVERAGE(L416:M416),1),"")))</f>
        <v>62</v>
      </c>
      <c r="R416" s="37" t="str">
        <f aca="false">IF(H416&lt;&gt;"Eligible","Screened out",IF(COUNT(L416:M416)=0,"Not started",IF(COUNT(L416:M416)=1,"One read done",IF(O416="Yes",IF(ISNUMBER(P416),"Complete","Needs third read"),"Complete"))))</f>
        <v>Complete</v>
      </c>
      <c r="S416" s="37" t="n">
        <f aca="false">IF(Q416="","",COUNTIFS($C$5:$C$600,C416,$Q$5:$Q$600,"&gt;"&amp;Q416)+1)</f>
        <v>68</v>
      </c>
      <c r="T416" s="37" t="str">
        <f aca="false">IF(Q416="","",IF(Q416&gt;=Cutoff,"Yes","No"))</f>
        <v>No</v>
      </c>
      <c r="U416" s="49" t="n">
        <f aca="false">IF(T416="Yes",MIN(F416,INDEX(Settings!$G:$G,MATCH(C416,Settings!$E:$E,0))),0)</f>
        <v>0</v>
      </c>
      <c r="V416" s="49" t="str">
        <f aca="false">IF(T416="Yes",SUMIFS($U$5:$U$600,$C$5:$C$600,C416,$Q$5:$Q$600,"&gt;"&amp;Q416)+U416,"")</f>
        <v/>
      </c>
      <c r="W416" s="37" t="str">
        <f aca="false">IF(T416="Yes",IF(V416&lt;=INDEX(PoolList,MATCH(C416,ProgramList,0)),"Within pool","Over pool"),"")</f>
        <v/>
      </c>
      <c r="X416" s="37" t="str">
        <f aca="false">IF(O416="Yes",COUNTIF($O$5:O416,"Yes"),"")</f>
        <v/>
      </c>
    </row>
    <row r="417" customFormat="false" ht="15" hidden="false" customHeight="false" outlineLevel="0" collapsed="false">
      <c r="A417" s="35" t="s">
        <v>1017</v>
      </c>
      <c r="B417" s="35" t="s">
        <v>1018</v>
      </c>
      <c r="C417" s="35" t="s">
        <v>106</v>
      </c>
      <c r="D417" s="35" t="s">
        <v>174</v>
      </c>
      <c r="E417" s="35" t="s">
        <v>175</v>
      </c>
      <c r="F417" s="42" t="n">
        <v>46500</v>
      </c>
      <c r="G417" s="36" t="n">
        <v>45923</v>
      </c>
      <c r="H417" s="35" t="s">
        <v>54</v>
      </c>
      <c r="I417" s="35" t="s">
        <v>82</v>
      </c>
      <c r="J417" s="35" t="s">
        <v>88</v>
      </c>
      <c r="K417" s="35"/>
      <c r="L417" s="48" t="n">
        <f aca="false">IFERROR(AVERAGEIFS('Score Entry'!$M$5:$M$1276,'Score Entry'!$B$5:$B$1276,A417,'Score Entry'!$E$5:$E$1276,"Primary"),"")</f>
        <v>69</v>
      </c>
      <c r="M417" s="48" t="n">
        <f aca="false">IFERROR(AVERAGEIFS('Score Entry'!$M$5:$M$1276,'Score Entry'!$B$5:$B$1276,A417,'Score Entry'!$E$5:$E$1276,"Secondary"),"")</f>
        <v>82</v>
      </c>
      <c r="N417" s="48" t="n">
        <f aca="false">IF(COUNT(L417:M417)=2,ABS(L417-M417),"")</f>
        <v>13</v>
      </c>
      <c r="O417" s="37" t="str">
        <f aca="false">IF(N417="","",IF(N417&gt;=Threshold,"Yes","No"))</f>
        <v>No</v>
      </c>
      <c r="P417" s="48" t="str">
        <f aca="false">IFERROR(AVERAGEIFS('Score Entry'!$M$5:$M$1276,'Score Entry'!$B$5:$B$1276,A417,'Score Entry'!$E$5:$E$1276,"Third"),"")</f>
        <v/>
      </c>
      <c r="Q417" s="48" t="n">
        <f aca="false">IF(H417&lt;&gt;"Eligible","",IF(O417="Yes",IF(ISNUMBER(P417),ROUND(AVERAGE(L417,M417,P417),1),""),IF(O417="No",ROUND(AVERAGE(L417:M417),1),"")))</f>
        <v>75.5</v>
      </c>
      <c r="R417" s="37" t="str">
        <f aca="false">IF(H417&lt;&gt;"Eligible","Screened out",IF(COUNT(L417:M417)=0,"Not started",IF(COUNT(L417:M417)=1,"One read done",IF(O417="Yes",IF(ISNUMBER(P417),"Complete","Needs third read"),"Complete"))))</f>
        <v>Complete</v>
      </c>
      <c r="S417" s="37" t="n">
        <f aca="false">IF(Q417="","",COUNTIFS($C$5:$C$600,C417,$Q$5:$Q$600,"&gt;"&amp;Q417)+1)</f>
        <v>35</v>
      </c>
      <c r="T417" s="37" t="str">
        <f aca="false">IF(Q417="","",IF(Q417&gt;=Cutoff,"Yes","No"))</f>
        <v>No</v>
      </c>
      <c r="U417" s="49" t="n">
        <f aca="false">IF(T417="Yes",MIN(F417,INDEX(Settings!$G:$G,MATCH(C417,Settings!$E:$E,0))),0)</f>
        <v>0</v>
      </c>
      <c r="V417" s="49" t="str">
        <f aca="false">IF(T417="Yes",SUMIFS($U$5:$U$600,$C$5:$C$600,C417,$Q$5:$Q$600,"&gt;"&amp;Q417)+U417,"")</f>
        <v/>
      </c>
      <c r="W417" s="37" t="str">
        <f aca="false">IF(T417="Yes",IF(V417&lt;=INDEX(PoolList,MATCH(C417,ProgramList,0)),"Within pool","Over pool"),"")</f>
        <v/>
      </c>
      <c r="X417" s="37" t="str">
        <f aca="false">IF(O417="Yes",COUNTIF($O$5:O417,"Yes"),"")</f>
        <v/>
      </c>
    </row>
    <row r="418" customFormat="false" ht="15" hidden="false" customHeight="false" outlineLevel="0" collapsed="false">
      <c r="A418" s="35" t="s">
        <v>1019</v>
      </c>
      <c r="B418" s="35" t="s">
        <v>1020</v>
      </c>
      <c r="C418" s="35" t="s">
        <v>103</v>
      </c>
      <c r="D418" s="35" t="s">
        <v>190</v>
      </c>
      <c r="E418" s="35" t="s">
        <v>298</v>
      </c>
      <c r="F418" s="42" t="n">
        <v>33000</v>
      </c>
      <c r="G418" s="36" t="n">
        <v>45917</v>
      </c>
      <c r="H418" s="35" t="s">
        <v>54</v>
      </c>
      <c r="I418" s="35" t="s">
        <v>85</v>
      </c>
      <c r="J418" s="35" t="s">
        <v>91</v>
      </c>
      <c r="K418" s="35"/>
      <c r="L418" s="48" t="n">
        <f aca="false">IFERROR(AVERAGEIFS('Score Entry'!$M$5:$M$1276,'Score Entry'!$B$5:$B$1276,A418,'Score Entry'!$E$5:$E$1276,"Primary"),"")</f>
        <v>77</v>
      </c>
      <c r="M418" s="48" t="n">
        <f aca="false">IFERROR(AVERAGEIFS('Score Entry'!$M$5:$M$1276,'Score Entry'!$B$5:$B$1276,A418,'Score Entry'!$E$5:$E$1276,"Secondary"),"")</f>
        <v>85</v>
      </c>
      <c r="N418" s="48" t="n">
        <f aca="false">IF(COUNT(L418:M418)=2,ABS(L418-M418),"")</f>
        <v>8</v>
      </c>
      <c r="O418" s="37" t="str">
        <f aca="false">IF(N418="","",IF(N418&gt;=Threshold,"Yes","No"))</f>
        <v>No</v>
      </c>
      <c r="P418" s="48" t="str">
        <f aca="false">IFERROR(AVERAGEIFS('Score Entry'!$M$5:$M$1276,'Score Entry'!$B$5:$B$1276,A418,'Score Entry'!$E$5:$E$1276,"Third"),"")</f>
        <v/>
      </c>
      <c r="Q418" s="48" t="n">
        <f aca="false">IF(H418&lt;&gt;"Eligible","",IF(O418="Yes",IF(ISNUMBER(P418),ROUND(AVERAGE(L418,M418,P418),1),""),IF(O418="No",ROUND(AVERAGE(L418:M418),1),"")))</f>
        <v>81</v>
      </c>
      <c r="R418" s="37" t="str">
        <f aca="false">IF(H418&lt;&gt;"Eligible","Screened out",IF(COUNT(L418:M418)=0,"Not started",IF(COUNT(L418:M418)=1,"One read done",IF(O418="Yes",IF(ISNUMBER(P418),"Complete","Needs third read"),"Complete"))))</f>
        <v>Complete</v>
      </c>
      <c r="S418" s="37" t="n">
        <f aca="false">IF(Q418="","",COUNTIFS($C$5:$C$600,C418,$Q$5:$Q$600,"&gt;"&amp;Q418)+1)</f>
        <v>18</v>
      </c>
      <c r="T418" s="37" t="str">
        <f aca="false">IF(Q418="","",IF(Q418&gt;=Cutoff,"Yes","No"))</f>
        <v>No</v>
      </c>
      <c r="U418" s="49" t="n">
        <f aca="false">IF(T418="Yes",MIN(F418,INDEX(Settings!$G:$G,MATCH(C418,Settings!$E:$E,0))),0)</f>
        <v>0</v>
      </c>
      <c r="V418" s="49" t="str">
        <f aca="false">IF(T418="Yes",SUMIFS($U$5:$U$600,$C$5:$C$600,C418,$Q$5:$Q$600,"&gt;"&amp;Q418)+U418,"")</f>
        <v/>
      </c>
      <c r="W418" s="37" t="str">
        <f aca="false">IF(T418="Yes",IF(V418&lt;=INDEX(PoolList,MATCH(C418,ProgramList,0)),"Within pool","Over pool"),"")</f>
        <v/>
      </c>
      <c r="X418" s="37" t="str">
        <f aca="false">IF(O418="Yes",COUNTIF($O$5:O418,"Yes"),"")</f>
        <v/>
      </c>
    </row>
    <row r="419" customFormat="false" ht="15" hidden="false" customHeight="false" outlineLevel="0" collapsed="false">
      <c r="A419" s="35" t="s">
        <v>1021</v>
      </c>
      <c r="B419" s="35" t="s">
        <v>1022</v>
      </c>
      <c r="C419" s="35" t="s">
        <v>105</v>
      </c>
      <c r="D419" s="35" t="s">
        <v>174</v>
      </c>
      <c r="E419" s="35" t="s">
        <v>175</v>
      </c>
      <c r="F419" s="42" t="n">
        <v>111500</v>
      </c>
      <c r="G419" s="36" t="n">
        <v>45918</v>
      </c>
      <c r="H419" s="35" t="s">
        <v>54</v>
      </c>
      <c r="I419" s="35" t="s">
        <v>85</v>
      </c>
      <c r="J419" s="35" t="s">
        <v>78</v>
      </c>
      <c r="K419" s="35"/>
      <c r="L419" s="48" t="n">
        <f aca="false">IFERROR(AVERAGEIFS('Score Entry'!$M$5:$M$1276,'Score Entry'!$B$5:$B$1276,A419,'Score Entry'!$E$5:$E$1276,"Primary"),"")</f>
        <v>65</v>
      </c>
      <c r="M419" s="48" t="n">
        <f aca="false">IFERROR(AVERAGEIFS('Score Entry'!$M$5:$M$1276,'Score Entry'!$B$5:$B$1276,A419,'Score Entry'!$E$5:$E$1276,"Secondary"),"")</f>
        <v>69</v>
      </c>
      <c r="N419" s="48" t="n">
        <f aca="false">IF(COUNT(L419:M419)=2,ABS(L419-M419),"")</f>
        <v>4</v>
      </c>
      <c r="O419" s="37" t="str">
        <f aca="false">IF(N419="","",IF(N419&gt;=Threshold,"Yes","No"))</f>
        <v>No</v>
      </c>
      <c r="P419" s="48" t="str">
        <f aca="false">IFERROR(AVERAGEIFS('Score Entry'!$M$5:$M$1276,'Score Entry'!$B$5:$B$1276,A419,'Score Entry'!$E$5:$E$1276,"Third"),"")</f>
        <v/>
      </c>
      <c r="Q419" s="48" t="n">
        <f aca="false">IF(H419&lt;&gt;"Eligible","",IF(O419="Yes",IF(ISNUMBER(P419),ROUND(AVERAGE(L419,M419,P419),1),""),IF(O419="No",ROUND(AVERAGE(L419:M419),1),"")))</f>
        <v>67</v>
      </c>
      <c r="R419" s="37" t="str">
        <f aca="false">IF(H419&lt;&gt;"Eligible","Screened out",IF(COUNT(L419:M419)=0,"Not started",IF(COUNT(L419:M419)=1,"One read done",IF(O419="Yes",IF(ISNUMBER(P419),"Complete","Needs third read"),"Complete"))))</f>
        <v>Complete</v>
      </c>
      <c r="S419" s="37" t="n">
        <f aca="false">IF(Q419="","",COUNTIFS($C$5:$C$600,C419,$Q$5:$Q$600,"&gt;"&amp;Q419)+1)</f>
        <v>53</v>
      </c>
      <c r="T419" s="37" t="str">
        <f aca="false">IF(Q419="","",IF(Q419&gt;=Cutoff,"Yes","No"))</f>
        <v>No</v>
      </c>
      <c r="U419" s="49" t="n">
        <f aca="false">IF(T419="Yes",MIN(F419,INDEX(Settings!$G:$G,MATCH(C419,Settings!$E:$E,0))),0)</f>
        <v>0</v>
      </c>
      <c r="V419" s="49" t="str">
        <f aca="false">IF(T419="Yes",SUMIFS($U$5:$U$600,$C$5:$C$600,C419,$Q$5:$Q$600,"&gt;"&amp;Q419)+U419,"")</f>
        <v/>
      </c>
      <c r="W419" s="37" t="str">
        <f aca="false">IF(T419="Yes",IF(V419&lt;=INDEX(PoolList,MATCH(C419,ProgramList,0)),"Within pool","Over pool"),"")</f>
        <v/>
      </c>
      <c r="X419" s="37" t="str">
        <f aca="false">IF(O419="Yes",COUNTIF($O$5:O419,"Yes"),"")</f>
        <v/>
      </c>
    </row>
    <row r="420" customFormat="false" ht="15" hidden="false" customHeight="false" outlineLevel="0" collapsed="false">
      <c r="A420" s="35" t="s">
        <v>1023</v>
      </c>
      <c r="B420" s="35" t="s">
        <v>1024</v>
      </c>
      <c r="C420" s="35" t="s">
        <v>103</v>
      </c>
      <c r="D420" s="35" t="s">
        <v>174</v>
      </c>
      <c r="E420" s="35" t="s">
        <v>175</v>
      </c>
      <c r="F420" s="42" t="n">
        <v>42000</v>
      </c>
      <c r="G420" s="36" t="n">
        <v>45925</v>
      </c>
      <c r="H420" s="35" t="s">
        <v>54</v>
      </c>
      <c r="I420" s="35" t="s">
        <v>82</v>
      </c>
      <c r="J420" s="35" t="s">
        <v>85</v>
      </c>
      <c r="K420" s="35" t="s">
        <v>78</v>
      </c>
      <c r="L420" s="48" t="n">
        <f aca="false">IFERROR(AVERAGEIFS('Score Entry'!$M$5:$M$1276,'Score Entry'!$B$5:$B$1276,A420,'Score Entry'!$E$5:$E$1276,"Primary"),"")</f>
        <v>22</v>
      </c>
      <c r="M420" s="48" t="n">
        <f aca="false">IFERROR(AVERAGEIFS('Score Entry'!$M$5:$M$1276,'Score Entry'!$B$5:$B$1276,A420,'Score Entry'!$E$5:$E$1276,"Secondary"),"")</f>
        <v>42</v>
      </c>
      <c r="N420" s="48" t="n">
        <f aca="false">IF(COUNT(L420:M420)=2,ABS(L420-M420),"")</f>
        <v>20</v>
      </c>
      <c r="O420" s="37" t="str">
        <f aca="false">IF(N420="","",IF(N420&gt;=Threshold,"Yes","No"))</f>
        <v>Yes</v>
      </c>
      <c r="P420" s="48" t="str">
        <f aca="false">IFERROR(AVERAGEIFS('Score Entry'!$M$5:$M$1276,'Score Entry'!$B$5:$B$1276,A420,'Score Entry'!$E$5:$E$1276,"Third"),"")</f>
        <v/>
      </c>
      <c r="Q420" s="48" t="str">
        <f aca="false">IF(H420&lt;&gt;"Eligible","",IF(O420="Yes",IF(ISNUMBER(P420),ROUND(AVERAGE(L420,M420,P420),1),""),IF(O420="No",ROUND(AVERAGE(L420:M420),1),"")))</f>
        <v/>
      </c>
      <c r="R420" s="37" t="str">
        <f aca="false">IF(H420&lt;&gt;"Eligible","Screened out",IF(COUNT(L420:M420)=0,"Not started",IF(COUNT(L420:M420)=1,"One read done",IF(O420="Yes",IF(ISNUMBER(P420),"Complete","Needs third read"),"Complete"))))</f>
        <v>Needs third read</v>
      </c>
      <c r="S420" s="37" t="str">
        <f aca="false">IF(Q420="","",COUNTIFS($C$5:$C$600,C420,$Q$5:$Q$600,"&gt;"&amp;Q420)+1)</f>
        <v/>
      </c>
      <c r="T420" s="37" t="str">
        <f aca="false">IF(Q420="","",IF(Q420&gt;=Cutoff,"Yes","No"))</f>
        <v/>
      </c>
      <c r="U420" s="49" t="n">
        <f aca="false">IF(T420="Yes",MIN(F420,INDEX(Settings!$G:$G,MATCH(C420,Settings!$E:$E,0))),0)</f>
        <v>0</v>
      </c>
      <c r="V420" s="49" t="str">
        <f aca="false">IF(T420="Yes",SUMIFS($U$5:$U$600,$C$5:$C$600,C420,$Q$5:$Q$600,"&gt;"&amp;Q420)+U420,"")</f>
        <v/>
      </c>
      <c r="W420" s="37" t="str">
        <f aca="false">IF(T420="Yes",IF(V420&lt;=INDEX(PoolList,MATCH(C420,ProgramList,0)),"Within pool","Over pool"),"")</f>
        <v/>
      </c>
      <c r="X420" s="37" t="n">
        <f aca="false">IF(O420="Yes",COUNTIF($O$5:O420,"Yes"),"")</f>
        <v>51</v>
      </c>
    </row>
    <row r="421" customFormat="false" ht="15" hidden="false" customHeight="false" outlineLevel="0" collapsed="false">
      <c r="A421" s="35" t="s">
        <v>1025</v>
      </c>
      <c r="B421" s="35" t="s">
        <v>1026</v>
      </c>
      <c r="C421" s="35" t="s">
        <v>104</v>
      </c>
      <c r="D421" s="35" t="s">
        <v>239</v>
      </c>
      <c r="E421" s="35" t="s">
        <v>240</v>
      </c>
      <c r="F421" s="42" t="n">
        <v>58000</v>
      </c>
      <c r="G421" s="36" t="n">
        <v>45923</v>
      </c>
      <c r="H421" s="35" t="s">
        <v>54</v>
      </c>
      <c r="I421" s="35" t="s">
        <v>94</v>
      </c>
      <c r="J421" s="35" t="s">
        <v>78</v>
      </c>
      <c r="K421" s="35"/>
      <c r="L421" s="48" t="n">
        <f aca="false">IFERROR(AVERAGEIFS('Score Entry'!$M$5:$M$1276,'Score Entry'!$B$5:$B$1276,A421,'Score Entry'!$E$5:$E$1276,"Primary"),"")</f>
        <v>31</v>
      </c>
      <c r="M421" s="48" t="n">
        <f aca="false">IFERROR(AVERAGEIFS('Score Entry'!$M$5:$M$1276,'Score Entry'!$B$5:$B$1276,A421,'Score Entry'!$E$5:$E$1276,"Secondary"),"")</f>
        <v>40</v>
      </c>
      <c r="N421" s="48" t="n">
        <f aca="false">IF(COUNT(L421:M421)=2,ABS(L421-M421),"")</f>
        <v>9</v>
      </c>
      <c r="O421" s="37" t="str">
        <f aca="false">IF(N421="","",IF(N421&gt;=Threshold,"Yes","No"))</f>
        <v>No</v>
      </c>
      <c r="P421" s="48" t="str">
        <f aca="false">IFERROR(AVERAGEIFS('Score Entry'!$M$5:$M$1276,'Score Entry'!$B$5:$B$1276,A421,'Score Entry'!$E$5:$E$1276,"Third"),"")</f>
        <v/>
      </c>
      <c r="Q421" s="48" t="n">
        <f aca="false">IF(H421&lt;&gt;"Eligible","",IF(O421="Yes",IF(ISNUMBER(P421),ROUND(AVERAGE(L421,M421,P421),1),""),IF(O421="No",ROUND(AVERAGE(L421:M421),1),"")))</f>
        <v>35.5</v>
      </c>
      <c r="R421" s="37" t="str">
        <f aca="false">IF(H421&lt;&gt;"Eligible","Screened out",IF(COUNT(L421:M421)=0,"Not started",IF(COUNT(L421:M421)=1,"One read done",IF(O421="Yes",IF(ISNUMBER(P421),"Complete","Needs third read"),"Complete"))))</f>
        <v>Complete</v>
      </c>
      <c r="S421" s="37" t="n">
        <f aca="false">IF(Q421="","",COUNTIFS($C$5:$C$600,C421,$Q$5:$Q$600,"&gt;"&amp;Q421)+1)</f>
        <v>103</v>
      </c>
      <c r="T421" s="37" t="str">
        <f aca="false">IF(Q421="","",IF(Q421&gt;=Cutoff,"Yes","No"))</f>
        <v>No</v>
      </c>
      <c r="U421" s="49" t="n">
        <f aca="false">IF(T421="Yes",MIN(F421,INDEX(Settings!$G:$G,MATCH(C421,Settings!$E:$E,0))),0)</f>
        <v>0</v>
      </c>
      <c r="V421" s="49" t="str">
        <f aca="false">IF(T421="Yes",SUMIFS($U$5:$U$600,$C$5:$C$600,C421,$Q$5:$Q$600,"&gt;"&amp;Q421)+U421,"")</f>
        <v/>
      </c>
      <c r="W421" s="37" t="str">
        <f aca="false">IF(T421="Yes",IF(V421&lt;=INDEX(PoolList,MATCH(C421,ProgramList,0)),"Within pool","Over pool"),"")</f>
        <v/>
      </c>
      <c r="X421" s="37" t="str">
        <f aca="false">IF(O421="Yes",COUNTIF($O$5:O421,"Yes"),"")</f>
        <v/>
      </c>
    </row>
    <row r="422" customFormat="false" ht="15" hidden="false" customHeight="false" outlineLevel="0" collapsed="false">
      <c r="A422" s="35" t="s">
        <v>1027</v>
      </c>
      <c r="B422" s="35" t="s">
        <v>1028</v>
      </c>
      <c r="C422" s="35" t="s">
        <v>104</v>
      </c>
      <c r="D422" s="35" t="s">
        <v>174</v>
      </c>
      <c r="E422" s="35" t="s">
        <v>232</v>
      </c>
      <c r="F422" s="42" t="n">
        <v>89000</v>
      </c>
      <c r="G422" s="36" t="n">
        <v>45916</v>
      </c>
      <c r="H422" s="35" t="s">
        <v>54</v>
      </c>
      <c r="I422" s="35" t="s">
        <v>88</v>
      </c>
      <c r="J422" s="35" t="s">
        <v>91</v>
      </c>
      <c r="K422" s="35"/>
      <c r="L422" s="48" t="n">
        <f aca="false">IFERROR(AVERAGEIFS('Score Entry'!$M$5:$M$1276,'Score Entry'!$B$5:$B$1276,A422,'Score Entry'!$E$5:$E$1276,"Primary"),"")</f>
        <v>43</v>
      </c>
      <c r="M422" s="48" t="str">
        <f aca="false">IFERROR(AVERAGEIFS('Score Entry'!$M$5:$M$1276,'Score Entry'!$B$5:$B$1276,A422,'Score Entry'!$E$5:$E$1276,"Secondary"),"")</f>
        <v/>
      </c>
      <c r="N422" s="48" t="str">
        <f aca="false">IF(COUNT(L422:M422)=2,ABS(L422-M422),"")</f>
        <v/>
      </c>
      <c r="O422" s="37" t="str">
        <f aca="false">IF(N422="","",IF(N422&gt;=Threshold,"Yes","No"))</f>
        <v/>
      </c>
      <c r="P422" s="48" t="str">
        <f aca="false">IFERROR(AVERAGEIFS('Score Entry'!$M$5:$M$1276,'Score Entry'!$B$5:$B$1276,A422,'Score Entry'!$E$5:$E$1276,"Third"),"")</f>
        <v/>
      </c>
      <c r="Q422" s="48" t="str">
        <f aca="false">IF(H422&lt;&gt;"Eligible","",IF(O422="Yes",IF(ISNUMBER(P422),ROUND(AVERAGE(L422,M422,P422),1),""),IF(O422="No",ROUND(AVERAGE(L422:M422),1),"")))</f>
        <v/>
      </c>
      <c r="R422" s="37" t="str">
        <f aca="false">IF(H422&lt;&gt;"Eligible","Screened out",IF(COUNT(L422:M422)=0,"Not started",IF(COUNT(L422:M422)=1,"One read done",IF(O422="Yes",IF(ISNUMBER(P422),"Complete","Needs third read"),"Complete"))))</f>
        <v>One read done</v>
      </c>
      <c r="S422" s="37" t="str">
        <f aca="false">IF(Q422="","",COUNTIFS($C$5:$C$600,C422,$Q$5:$Q$600,"&gt;"&amp;Q422)+1)</f>
        <v/>
      </c>
      <c r="T422" s="37" t="str">
        <f aca="false">IF(Q422="","",IF(Q422&gt;=Cutoff,"Yes","No"))</f>
        <v/>
      </c>
      <c r="U422" s="49" t="n">
        <f aca="false">IF(T422="Yes",MIN(F422,INDEX(Settings!$G:$G,MATCH(C422,Settings!$E:$E,0))),0)</f>
        <v>0</v>
      </c>
      <c r="V422" s="49" t="str">
        <f aca="false">IF(T422="Yes",SUMIFS($U$5:$U$600,$C$5:$C$600,C422,$Q$5:$Q$600,"&gt;"&amp;Q422)+U422,"")</f>
        <v/>
      </c>
      <c r="W422" s="37" t="str">
        <f aca="false">IF(T422="Yes",IF(V422&lt;=INDEX(PoolList,MATCH(C422,ProgramList,0)),"Within pool","Over pool"),"")</f>
        <v/>
      </c>
      <c r="X422" s="37" t="str">
        <f aca="false">IF(O422="Yes",COUNTIF($O$5:O422,"Yes"),"")</f>
        <v/>
      </c>
    </row>
    <row r="423" customFormat="false" ht="15" hidden="false" customHeight="false" outlineLevel="0" collapsed="false">
      <c r="A423" s="35" t="s">
        <v>1029</v>
      </c>
      <c r="B423" s="35" t="s">
        <v>1030</v>
      </c>
      <c r="C423" s="35" t="s">
        <v>105</v>
      </c>
      <c r="D423" s="35" t="s">
        <v>180</v>
      </c>
      <c r="E423" s="35" t="s">
        <v>269</v>
      </c>
      <c r="F423" s="42" t="n">
        <v>133000</v>
      </c>
      <c r="G423" s="36" t="n">
        <v>45914</v>
      </c>
      <c r="H423" s="35" t="s">
        <v>54</v>
      </c>
      <c r="I423" s="35" t="s">
        <v>85</v>
      </c>
      <c r="J423" s="35" t="s">
        <v>82</v>
      </c>
      <c r="K423" s="35"/>
      <c r="L423" s="48" t="n">
        <f aca="false">IFERROR(AVERAGEIFS('Score Entry'!$M$5:$M$1276,'Score Entry'!$B$5:$B$1276,A423,'Score Entry'!$E$5:$E$1276,"Primary"),"")</f>
        <v>62</v>
      </c>
      <c r="M423" s="48" t="n">
        <f aca="false">IFERROR(AVERAGEIFS('Score Entry'!$M$5:$M$1276,'Score Entry'!$B$5:$B$1276,A423,'Score Entry'!$E$5:$E$1276,"Secondary"),"")</f>
        <v>76</v>
      </c>
      <c r="N423" s="48" t="n">
        <f aca="false">IF(COUNT(L423:M423)=2,ABS(L423-M423),"")</f>
        <v>14</v>
      </c>
      <c r="O423" s="37" t="str">
        <f aca="false">IF(N423="","",IF(N423&gt;=Threshold,"Yes","No"))</f>
        <v>No</v>
      </c>
      <c r="P423" s="48" t="str">
        <f aca="false">IFERROR(AVERAGEIFS('Score Entry'!$M$5:$M$1276,'Score Entry'!$B$5:$B$1276,A423,'Score Entry'!$E$5:$E$1276,"Third"),"")</f>
        <v/>
      </c>
      <c r="Q423" s="48" t="n">
        <f aca="false">IF(H423&lt;&gt;"Eligible","",IF(O423="Yes",IF(ISNUMBER(P423),ROUND(AVERAGE(L423,M423,P423),1),""),IF(O423="No",ROUND(AVERAGE(L423:M423),1),"")))</f>
        <v>69</v>
      </c>
      <c r="R423" s="37" t="str">
        <f aca="false">IF(H423&lt;&gt;"Eligible","Screened out",IF(COUNT(L423:M423)=0,"Not started",IF(COUNT(L423:M423)=1,"One read done",IF(O423="Yes",IF(ISNUMBER(P423),"Complete","Needs third read"),"Complete"))))</f>
        <v>Complete</v>
      </c>
      <c r="S423" s="37" t="n">
        <f aca="false">IF(Q423="","",COUNTIFS($C$5:$C$600,C423,$Q$5:$Q$600,"&gt;"&amp;Q423)+1)</f>
        <v>42</v>
      </c>
      <c r="T423" s="37" t="str">
        <f aca="false">IF(Q423="","",IF(Q423&gt;=Cutoff,"Yes","No"))</f>
        <v>No</v>
      </c>
      <c r="U423" s="49" t="n">
        <f aca="false">IF(T423="Yes",MIN(F423,INDEX(Settings!$G:$G,MATCH(C423,Settings!$E:$E,0))),0)</f>
        <v>0</v>
      </c>
      <c r="V423" s="49" t="str">
        <f aca="false">IF(T423="Yes",SUMIFS($U$5:$U$600,$C$5:$C$600,C423,$Q$5:$Q$600,"&gt;"&amp;Q423)+U423,"")</f>
        <v/>
      </c>
      <c r="W423" s="37" t="str">
        <f aca="false">IF(T423="Yes",IF(V423&lt;=INDEX(PoolList,MATCH(C423,ProgramList,0)),"Within pool","Over pool"),"")</f>
        <v/>
      </c>
      <c r="X423" s="37" t="str">
        <f aca="false">IF(O423="Yes",COUNTIF($O$5:O423,"Yes"),"")</f>
        <v/>
      </c>
    </row>
    <row r="424" customFormat="false" ht="15" hidden="false" customHeight="false" outlineLevel="0" collapsed="false">
      <c r="A424" s="35" t="s">
        <v>1031</v>
      </c>
      <c r="B424" s="35" t="s">
        <v>1032</v>
      </c>
      <c r="C424" s="35" t="s">
        <v>105</v>
      </c>
      <c r="D424" s="35" t="s">
        <v>174</v>
      </c>
      <c r="E424" s="35" t="s">
        <v>175</v>
      </c>
      <c r="F424" s="42" t="n">
        <v>48500</v>
      </c>
      <c r="G424" s="36" t="n">
        <v>45917</v>
      </c>
      <c r="H424" s="35" t="s">
        <v>54</v>
      </c>
      <c r="I424" s="35" t="s">
        <v>88</v>
      </c>
      <c r="J424" s="35" t="s">
        <v>78</v>
      </c>
      <c r="K424" s="35" t="s">
        <v>85</v>
      </c>
      <c r="L424" s="48" t="n">
        <f aca="false">IFERROR(AVERAGEIFS('Score Entry'!$M$5:$M$1276,'Score Entry'!$B$5:$B$1276,A424,'Score Entry'!$E$5:$E$1276,"Primary"),"")</f>
        <v>41</v>
      </c>
      <c r="M424" s="48" t="n">
        <f aca="false">IFERROR(AVERAGEIFS('Score Entry'!$M$5:$M$1276,'Score Entry'!$B$5:$B$1276,A424,'Score Entry'!$E$5:$E$1276,"Secondary"),"")</f>
        <v>59</v>
      </c>
      <c r="N424" s="48" t="n">
        <f aca="false">IF(COUNT(L424:M424)=2,ABS(L424-M424),"")</f>
        <v>18</v>
      </c>
      <c r="O424" s="37" t="str">
        <f aca="false">IF(N424="","",IF(N424&gt;=Threshold,"Yes","No"))</f>
        <v>Yes</v>
      </c>
      <c r="P424" s="48" t="n">
        <f aca="false">IFERROR(AVERAGEIFS('Score Entry'!$M$5:$M$1276,'Score Entry'!$B$5:$B$1276,A424,'Score Entry'!$E$5:$E$1276,"Third"),"")</f>
        <v>51</v>
      </c>
      <c r="Q424" s="48" t="n">
        <f aca="false">IF(H424&lt;&gt;"Eligible","",IF(O424="Yes",IF(ISNUMBER(P424),ROUND(AVERAGE(L424,M424,P424),1),""),IF(O424="No",ROUND(AVERAGE(L424:M424),1),"")))</f>
        <v>50.3</v>
      </c>
      <c r="R424" s="37" t="str">
        <f aca="false">IF(H424&lt;&gt;"Eligible","Screened out",IF(COUNT(L424:M424)=0,"Not started",IF(COUNT(L424:M424)=1,"One read done",IF(O424="Yes",IF(ISNUMBER(P424),"Complete","Needs third read"),"Complete"))))</f>
        <v>Complete</v>
      </c>
      <c r="S424" s="37" t="n">
        <f aca="false">IF(Q424="","",COUNTIFS($C$5:$C$600,C424,$Q$5:$Q$600,"&gt;"&amp;Q424)+1)</f>
        <v>92</v>
      </c>
      <c r="T424" s="37" t="str">
        <f aca="false">IF(Q424="","",IF(Q424&gt;=Cutoff,"Yes","No"))</f>
        <v>No</v>
      </c>
      <c r="U424" s="49" t="n">
        <f aca="false">IF(T424="Yes",MIN(F424,INDEX(Settings!$G:$G,MATCH(C424,Settings!$E:$E,0))),0)</f>
        <v>0</v>
      </c>
      <c r="V424" s="49" t="str">
        <f aca="false">IF(T424="Yes",SUMIFS($U$5:$U$600,$C$5:$C$600,C424,$Q$5:$Q$600,"&gt;"&amp;Q424)+U424,"")</f>
        <v/>
      </c>
      <c r="W424" s="37" t="str">
        <f aca="false">IF(T424="Yes",IF(V424&lt;=INDEX(PoolList,MATCH(C424,ProgramList,0)),"Within pool","Over pool"),"")</f>
        <v/>
      </c>
      <c r="X424" s="37" t="n">
        <f aca="false">IF(O424="Yes",COUNTIF($O$5:O424,"Yes"),"")</f>
        <v>52</v>
      </c>
    </row>
    <row r="425" customFormat="false" ht="15" hidden="false" customHeight="false" outlineLevel="0" collapsed="false">
      <c r="A425" s="35" t="s">
        <v>1033</v>
      </c>
      <c r="B425" s="35" t="s">
        <v>1034</v>
      </c>
      <c r="C425" s="35" t="s">
        <v>104</v>
      </c>
      <c r="D425" s="35" t="s">
        <v>221</v>
      </c>
      <c r="E425" s="35" t="s">
        <v>227</v>
      </c>
      <c r="F425" s="42" t="n">
        <v>250000</v>
      </c>
      <c r="G425" s="36" t="n">
        <v>45927</v>
      </c>
      <c r="H425" s="35" t="s">
        <v>54</v>
      </c>
      <c r="I425" s="35" t="s">
        <v>91</v>
      </c>
      <c r="J425" s="35" t="s">
        <v>82</v>
      </c>
      <c r="K425" s="35"/>
      <c r="L425" s="48" t="n">
        <f aca="false">IFERROR(AVERAGEIFS('Score Entry'!$M$5:$M$1276,'Score Entry'!$B$5:$B$1276,A425,'Score Entry'!$E$5:$E$1276,"Primary"),"")</f>
        <v>71</v>
      </c>
      <c r="M425" s="48" t="n">
        <f aca="false">IFERROR(AVERAGEIFS('Score Entry'!$M$5:$M$1276,'Score Entry'!$B$5:$B$1276,A425,'Score Entry'!$E$5:$E$1276,"Secondary"),"")</f>
        <v>71</v>
      </c>
      <c r="N425" s="48" t="n">
        <f aca="false">IF(COUNT(L425:M425)=2,ABS(L425-M425),"")</f>
        <v>0</v>
      </c>
      <c r="O425" s="37" t="str">
        <f aca="false">IF(N425="","",IF(N425&gt;=Threshold,"Yes","No"))</f>
        <v>No</v>
      </c>
      <c r="P425" s="48" t="str">
        <f aca="false">IFERROR(AVERAGEIFS('Score Entry'!$M$5:$M$1276,'Score Entry'!$B$5:$B$1276,A425,'Score Entry'!$E$5:$E$1276,"Third"),"")</f>
        <v/>
      </c>
      <c r="Q425" s="48" t="n">
        <f aca="false">IF(H425&lt;&gt;"Eligible","",IF(O425="Yes",IF(ISNUMBER(P425),ROUND(AVERAGE(L425,M425,P425),1),""),IF(O425="No",ROUND(AVERAGE(L425:M425),1),"")))</f>
        <v>71</v>
      </c>
      <c r="R425" s="37" t="str">
        <f aca="false">IF(H425&lt;&gt;"Eligible","Screened out",IF(COUNT(L425:M425)=0,"Not started",IF(COUNT(L425:M425)=1,"One read done",IF(O425="Yes",IF(ISNUMBER(P425),"Complete","Needs third read"),"Complete"))))</f>
        <v>Complete</v>
      </c>
      <c r="S425" s="37" t="n">
        <f aca="false">IF(Q425="","",COUNTIFS($C$5:$C$600,C425,$Q$5:$Q$600,"&gt;"&amp;Q425)+1)</f>
        <v>46</v>
      </c>
      <c r="T425" s="37" t="str">
        <f aca="false">IF(Q425="","",IF(Q425&gt;=Cutoff,"Yes","No"))</f>
        <v>No</v>
      </c>
      <c r="U425" s="49" t="n">
        <f aca="false">IF(T425="Yes",MIN(F425,INDEX(Settings!$G:$G,MATCH(C425,Settings!$E:$E,0))),0)</f>
        <v>0</v>
      </c>
      <c r="V425" s="49" t="str">
        <f aca="false">IF(T425="Yes",SUMIFS($U$5:$U$600,$C$5:$C$600,C425,$Q$5:$Q$600,"&gt;"&amp;Q425)+U425,"")</f>
        <v/>
      </c>
      <c r="W425" s="37" t="str">
        <f aca="false">IF(T425="Yes",IF(V425&lt;=INDEX(PoolList,MATCH(C425,ProgramList,0)),"Within pool","Over pool"),"")</f>
        <v/>
      </c>
      <c r="X425" s="37" t="str">
        <f aca="false">IF(O425="Yes",COUNTIF($O$5:O425,"Yes"),"")</f>
        <v/>
      </c>
    </row>
    <row r="426" customFormat="false" ht="15" hidden="false" customHeight="false" outlineLevel="0" collapsed="false">
      <c r="A426" s="35" t="s">
        <v>1035</v>
      </c>
      <c r="B426" s="35" t="s">
        <v>1036</v>
      </c>
      <c r="C426" s="35" t="s">
        <v>106</v>
      </c>
      <c r="D426" s="35" t="s">
        <v>180</v>
      </c>
      <c r="E426" s="35" t="s">
        <v>181</v>
      </c>
      <c r="F426" s="42" t="n">
        <v>110000</v>
      </c>
      <c r="G426" s="36" t="n">
        <v>45912</v>
      </c>
      <c r="H426" s="35" t="s">
        <v>54</v>
      </c>
      <c r="I426" s="35" t="s">
        <v>85</v>
      </c>
      <c r="J426" s="35" t="s">
        <v>88</v>
      </c>
      <c r="K426" s="35"/>
      <c r="L426" s="48" t="n">
        <f aca="false">IFERROR(AVERAGEIFS('Score Entry'!$M$5:$M$1276,'Score Entry'!$B$5:$B$1276,A426,'Score Entry'!$E$5:$E$1276,"Primary"),"")</f>
        <v>60</v>
      </c>
      <c r="M426" s="48" t="n">
        <f aca="false">IFERROR(AVERAGEIFS('Score Entry'!$M$5:$M$1276,'Score Entry'!$B$5:$B$1276,A426,'Score Entry'!$E$5:$E$1276,"Secondary"),"")</f>
        <v>75</v>
      </c>
      <c r="N426" s="48" t="n">
        <f aca="false">IF(COUNT(L426:M426)=2,ABS(L426-M426),"")</f>
        <v>15</v>
      </c>
      <c r="O426" s="37" t="str">
        <f aca="false">IF(N426="","",IF(N426&gt;=Threshold,"Yes","No"))</f>
        <v>No</v>
      </c>
      <c r="P426" s="48" t="str">
        <f aca="false">IFERROR(AVERAGEIFS('Score Entry'!$M$5:$M$1276,'Score Entry'!$B$5:$B$1276,A426,'Score Entry'!$E$5:$E$1276,"Third"),"")</f>
        <v/>
      </c>
      <c r="Q426" s="48" t="n">
        <f aca="false">IF(H426&lt;&gt;"Eligible","",IF(O426="Yes",IF(ISNUMBER(P426),ROUND(AVERAGE(L426,M426,P426),1),""),IF(O426="No",ROUND(AVERAGE(L426:M426),1),"")))</f>
        <v>67.5</v>
      </c>
      <c r="R426" s="37" t="str">
        <f aca="false">IF(H426&lt;&gt;"Eligible","Screened out",IF(COUNT(L426:M426)=0,"Not started",IF(COUNT(L426:M426)=1,"One read done",IF(O426="Yes",IF(ISNUMBER(P426),"Complete","Needs third read"),"Complete"))))</f>
        <v>Complete</v>
      </c>
      <c r="S426" s="37" t="n">
        <f aca="false">IF(Q426="","",COUNTIFS($C$5:$C$600,C426,$Q$5:$Q$600,"&gt;"&amp;Q426)+1)</f>
        <v>64</v>
      </c>
      <c r="T426" s="37" t="str">
        <f aca="false">IF(Q426="","",IF(Q426&gt;=Cutoff,"Yes","No"))</f>
        <v>No</v>
      </c>
      <c r="U426" s="49" t="n">
        <f aca="false">IF(T426="Yes",MIN(F426,INDEX(Settings!$G:$G,MATCH(C426,Settings!$E:$E,0))),0)</f>
        <v>0</v>
      </c>
      <c r="V426" s="49" t="str">
        <f aca="false">IF(T426="Yes",SUMIFS($U$5:$U$600,$C$5:$C$600,C426,$Q$5:$Q$600,"&gt;"&amp;Q426)+U426,"")</f>
        <v/>
      </c>
      <c r="W426" s="37" t="str">
        <f aca="false">IF(T426="Yes",IF(V426&lt;=INDEX(PoolList,MATCH(C426,ProgramList,0)),"Within pool","Over pool"),"")</f>
        <v/>
      </c>
      <c r="X426" s="37" t="str">
        <f aca="false">IF(O426="Yes",COUNTIF($O$5:O426,"Yes"),"")</f>
        <v/>
      </c>
    </row>
    <row r="427" customFormat="false" ht="15" hidden="false" customHeight="false" outlineLevel="0" collapsed="false">
      <c r="A427" s="35" t="s">
        <v>1037</v>
      </c>
      <c r="B427" s="35" t="s">
        <v>1038</v>
      </c>
      <c r="C427" s="35" t="s">
        <v>105</v>
      </c>
      <c r="D427" s="35" t="s">
        <v>174</v>
      </c>
      <c r="E427" s="35" t="s">
        <v>175</v>
      </c>
      <c r="F427" s="42" t="n">
        <v>108500</v>
      </c>
      <c r="G427" s="36" t="n">
        <v>45912</v>
      </c>
      <c r="H427" s="35" t="s">
        <v>96</v>
      </c>
      <c r="I427" s="35"/>
      <c r="J427" s="35"/>
      <c r="K427" s="35"/>
      <c r="L427" s="48" t="str">
        <f aca="false">IFERROR(AVERAGEIFS('Score Entry'!$M$5:$M$1276,'Score Entry'!$B$5:$B$1276,A427,'Score Entry'!$E$5:$E$1276,"Primary"),"")</f>
        <v/>
      </c>
      <c r="M427" s="48" t="str">
        <f aca="false">IFERROR(AVERAGEIFS('Score Entry'!$M$5:$M$1276,'Score Entry'!$B$5:$B$1276,A427,'Score Entry'!$E$5:$E$1276,"Secondary"),"")</f>
        <v/>
      </c>
      <c r="N427" s="48" t="str">
        <f aca="false">IF(COUNT(L427:M427)=2,ABS(L427-M427),"")</f>
        <v/>
      </c>
      <c r="O427" s="37" t="str">
        <f aca="false">IF(N427="","",IF(N427&gt;=Threshold,"Yes","No"))</f>
        <v/>
      </c>
      <c r="P427" s="48" t="str">
        <f aca="false">IFERROR(AVERAGEIFS('Score Entry'!$M$5:$M$1276,'Score Entry'!$B$5:$B$1276,A427,'Score Entry'!$E$5:$E$1276,"Third"),"")</f>
        <v/>
      </c>
      <c r="Q427" s="48" t="str">
        <f aca="false">IF(H427&lt;&gt;"Eligible","",IF(O427="Yes",IF(ISNUMBER(P427),ROUND(AVERAGE(L427,M427,P427),1),""),IF(O427="No",ROUND(AVERAGE(L427:M427),1),"")))</f>
        <v/>
      </c>
      <c r="R427" s="37" t="str">
        <f aca="false">IF(H427&lt;&gt;"Eligible","Screened out",IF(COUNT(L427:M427)=0,"Not started",IF(COUNT(L427:M427)=1,"One read done",IF(O427="Yes",IF(ISNUMBER(P427),"Complete","Needs third read"),"Complete"))))</f>
        <v>Screened out</v>
      </c>
      <c r="S427" s="37" t="str">
        <f aca="false">IF(Q427="","",COUNTIFS($C$5:$C$600,C427,$Q$5:$Q$600,"&gt;"&amp;Q427)+1)</f>
        <v/>
      </c>
      <c r="T427" s="37" t="str">
        <f aca="false">IF(Q427="","",IF(Q427&gt;=Cutoff,"Yes","No"))</f>
        <v/>
      </c>
      <c r="U427" s="49" t="n">
        <f aca="false">IF(T427="Yes",MIN(F427,INDEX(Settings!$G:$G,MATCH(C427,Settings!$E:$E,0))),0)</f>
        <v>0</v>
      </c>
      <c r="V427" s="49" t="str">
        <f aca="false">IF(T427="Yes",SUMIFS($U$5:$U$600,$C$5:$C$600,C427,$Q$5:$Q$600,"&gt;"&amp;Q427)+U427,"")</f>
        <v/>
      </c>
      <c r="W427" s="37" t="str">
        <f aca="false">IF(T427="Yes",IF(V427&lt;=INDEX(PoolList,MATCH(C427,ProgramList,0)),"Within pool","Over pool"),"")</f>
        <v/>
      </c>
      <c r="X427" s="37" t="str">
        <f aca="false">IF(O427="Yes",COUNTIF($O$5:O427,"Yes"),"")</f>
        <v/>
      </c>
    </row>
    <row r="428" customFormat="false" ht="15" hidden="false" customHeight="false" outlineLevel="0" collapsed="false">
      <c r="A428" s="35" t="s">
        <v>1039</v>
      </c>
      <c r="B428" s="35" t="s">
        <v>1040</v>
      </c>
      <c r="C428" s="35" t="s">
        <v>106</v>
      </c>
      <c r="D428" s="35" t="s">
        <v>174</v>
      </c>
      <c r="E428" s="35" t="s">
        <v>175</v>
      </c>
      <c r="F428" s="42" t="n">
        <v>30000</v>
      </c>
      <c r="G428" s="36" t="n">
        <v>45915</v>
      </c>
      <c r="H428" s="35" t="s">
        <v>54</v>
      </c>
      <c r="I428" s="35" t="s">
        <v>94</v>
      </c>
      <c r="J428" s="35" t="s">
        <v>85</v>
      </c>
      <c r="K428" s="35"/>
      <c r="L428" s="48" t="n">
        <f aca="false">IFERROR(AVERAGEIFS('Score Entry'!$M$5:$M$1276,'Score Entry'!$B$5:$B$1276,A428,'Score Entry'!$E$5:$E$1276,"Primary"),"")</f>
        <v>52</v>
      </c>
      <c r="M428" s="48" t="n">
        <f aca="false">IFERROR(AVERAGEIFS('Score Entry'!$M$5:$M$1276,'Score Entry'!$B$5:$B$1276,A428,'Score Entry'!$E$5:$E$1276,"Secondary"),"")</f>
        <v>48</v>
      </c>
      <c r="N428" s="48" t="n">
        <f aca="false">IF(COUNT(L428:M428)=2,ABS(L428-M428),"")</f>
        <v>4</v>
      </c>
      <c r="O428" s="37" t="str">
        <f aca="false">IF(N428="","",IF(N428&gt;=Threshold,"Yes","No"))</f>
        <v>No</v>
      </c>
      <c r="P428" s="48" t="str">
        <f aca="false">IFERROR(AVERAGEIFS('Score Entry'!$M$5:$M$1276,'Score Entry'!$B$5:$B$1276,A428,'Score Entry'!$E$5:$E$1276,"Third"),"")</f>
        <v/>
      </c>
      <c r="Q428" s="48" t="n">
        <f aca="false">IF(H428&lt;&gt;"Eligible","",IF(O428="Yes",IF(ISNUMBER(P428),ROUND(AVERAGE(L428,M428,P428),1),""),IF(O428="No",ROUND(AVERAGE(L428:M428),1),"")))</f>
        <v>50</v>
      </c>
      <c r="R428" s="37" t="str">
        <f aca="false">IF(H428&lt;&gt;"Eligible","Screened out",IF(COUNT(L428:M428)=0,"Not started",IF(COUNT(L428:M428)=1,"One read done",IF(O428="Yes",IF(ISNUMBER(P428),"Complete","Needs third read"),"Complete"))))</f>
        <v>Complete</v>
      </c>
      <c r="S428" s="37" t="n">
        <f aca="false">IF(Q428="","",COUNTIFS($C$5:$C$600,C428,$Q$5:$Q$600,"&gt;"&amp;Q428)+1)</f>
        <v>107</v>
      </c>
      <c r="T428" s="37" t="str">
        <f aca="false">IF(Q428="","",IF(Q428&gt;=Cutoff,"Yes","No"))</f>
        <v>No</v>
      </c>
      <c r="U428" s="49" t="n">
        <f aca="false">IF(T428="Yes",MIN(F428,INDEX(Settings!$G:$G,MATCH(C428,Settings!$E:$E,0))),0)</f>
        <v>0</v>
      </c>
      <c r="V428" s="49" t="str">
        <f aca="false">IF(T428="Yes",SUMIFS($U$5:$U$600,$C$5:$C$600,C428,$Q$5:$Q$600,"&gt;"&amp;Q428)+U428,"")</f>
        <v/>
      </c>
      <c r="W428" s="37" t="str">
        <f aca="false">IF(T428="Yes",IF(V428&lt;=INDEX(PoolList,MATCH(C428,ProgramList,0)),"Within pool","Over pool"),"")</f>
        <v/>
      </c>
      <c r="X428" s="37" t="str">
        <f aca="false">IF(O428="Yes",COUNTIF($O$5:O428,"Yes"),"")</f>
        <v/>
      </c>
    </row>
    <row r="429" customFormat="false" ht="15" hidden="false" customHeight="false" outlineLevel="0" collapsed="false">
      <c r="A429" s="35" t="s">
        <v>1041</v>
      </c>
      <c r="B429" s="35" t="s">
        <v>1042</v>
      </c>
      <c r="C429" s="35" t="s">
        <v>104</v>
      </c>
      <c r="D429" s="35" t="s">
        <v>180</v>
      </c>
      <c r="E429" s="35" t="s">
        <v>269</v>
      </c>
      <c r="F429" s="42" t="n">
        <v>82500</v>
      </c>
      <c r="G429" s="36" t="n">
        <v>45922</v>
      </c>
      <c r="H429" s="35" t="s">
        <v>54</v>
      </c>
      <c r="I429" s="35" t="s">
        <v>94</v>
      </c>
      <c r="J429" s="35" t="s">
        <v>78</v>
      </c>
      <c r="K429" s="35"/>
      <c r="L429" s="48" t="n">
        <f aca="false">IFERROR(AVERAGEIFS('Score Entry'!$M$5:$M$1276,'Score Entry'!$B$5:$B$1276,A429,'Score Entry'!$E$5:$E$1276,"Primary"),"")</f>
        <v>48</v>
      </c>
      <c r="M429" s="48" t="n">
        <f aca="false">IFERROR(AVERAGEIFS('Score Entry'!$M$5:$M$1276,'Score Entry'!$B$5:$B$1276,A429,'Score Entry'!$E$5:$E$1276,"Secondary"),"")</f>
        <v>64</v>
      </c>
      <c r="N429" s="48" t="n">
        <f aca="false">IF(COUNT(L429:M429)=2,ABS(L429-M429),"")</f>
        <v>16</v>
      </c>
      <c r="O429" s="37" t="str">
        <f aca="false">IF(N429="","",IF(N429&gt;=Threshold,"Yes","No"))</f>
        <v>No</v>
      </c>
      <c r="P429" s="48" t="str">
        <f aca="false">IFERROR(AVERAGEIFS('Score Entry'!$M$5:$M$1276,'Score Entry'!$B$5:$B$1276,A429,'Score Entry'!$E$5:$E$1276,"Third"),"")</f>
        <v/>
      </c>
      <c r="Q429" s="48" t="n">
        <f aca="false">IF(H429&lt;&gt;"Eligible","",IF(O429="Yes",IF(ISNUMBER(P429),ROUND(AVERAGE(L429,M429,P429),1),""),IF(O429="No",ROUND(AVERAGE(L429:M429),1),"")))</f>
        <v>56</v>
      </c>
      <c r="R429" s="37" t="str">
        <f aca="false">IF(H429&lt;&gt;"Eligible","Screened out",IF(COUNT(L429:M429)=0,"Not started",IF(COUNT(L429:M429)=1,"One read done",IF(O429="Yes",IF(ISNUMBER(P429),"Complete","Needs third read"),"Complete"))))</f>
        <v>Complete</v>
      </c>
      <c r="S429" s="37" t="n">
        <f aca="false">IF(Q429="","",COUNTIFS($C$5:$C$600,C429,$Q$5:$Q$600,"&gt;"&amp;Q429)+1)</f>
        <v>88</v>
      </c>
      <c r="T429" s="37" t="str">
        <f aca="false">IF(Q429="","",IF(Q429&gt;=Cutoff,"Yes","No"))</f>
        <v>No</v>
      </c>
      <c r="U429" s="49" t="n">
        <f aca="false">IF(T429="Yes",MIN(F429,INDEX(Settings!$G:$G,MATCH(C429,Settings!$E:$E,0))),0)</f>
        <v>0</v>
      </c>
      <c r="V429" s="49" t="str">
        <f aca="false">IF(T429="Yes",SUMIFS($U$5:$U$600,$C$5:$C$600,C429,$Q$5:$Q$600,"&gt;"&amp;Q429)+U429,"")</f>
        <v/>
      </c>
      <c r="W429" s="37" t="str">
        <f aca="false">IF(T429="Yes",IF(V429&lt;=INDEX(PoolList,MATCH(C429,ProgramList,0)),"Within pool","Over pool"),"")</f>
        <v/>
      </c>
      <c r="X429" s="37" t="str">
        <f aca="false">IF(O429="Yes",COUNTIF($O$5:O429,"Yes"),"")</f>
        <v/>
      </c>
    </row>
    <row r="430" customFormat="false" ht="15" hidden="false" customHeight="false" outlineLevel="0" collapsed="false">
      <c r="A430" s="35" t="s">
        <v>1043</v>
      </c>
      <c r="B430" s="35" t="s">
        <v>1044</v>
      </c>
      <c r="C430" s="35" t="s">
        <v>104</v>
      </c>
      <c r="D430" s="35" t="s">
        <v>174</v>
      </c>
      <c r="E430" s="35" t="s">
        <v>175</v>
      </c>
      <c r="F430" s="42" t="n">
        <v>139000</v>
      </c>
      <c r="G430" s="36" t="n">
        <v>45925</v>
      </c>
      <c r="H430" s="35" t="s">
        <v>54</v>
      </c>
      <c r="I430" s="35" t="s">
        <v>91</v>
      </c>
      <c r="J430" s="35" t="s">
        <v>82</v>
      </c>
      <c r="K430" s="35"/>
      <c r="L430" s="48" t="n">
        <f aca="false">IFERROR(AVERAGEIFS('Score Entry'!$M$5:$M$1276,'Score Entry'!$B$5:$B$1276,A430,'Score Entry'!$E$5:$E$1276,"Primary"),"")</f>
        <v>100</v>
      </c>
      <c r="M430" s="48" t="n">
        <f aca="false">IFERROR(AVERAGEIFS('Score Entry'!$M$5:$M$1276,'Score Entry'!$B$5:$B$1276,A430,'Score Entry'!$E$5:$E$1276,"Secondary"),"")</f>
        <v>86</v>
      </c>
      <c r="N430" s="48" t="n">
        <f aca="false">IF(COUNT(L430:M430)=2,ABS(L430-M430),"")</f>
        <v>14</v>
      </c>
      <c r="O430" s="37" t="str">
        <f aca="false">IF(N430="","",IF(N430&gt;=Threshold,"Yes","No"))</f>
        <v>No</v>
      </c>
      <c r="P430" s="48" t="str">
        <f aca="false">IFERROR(AVERAGEIFS('Score Entry'!$M$5:$M$1276,'Score Entry'!$B$5:$B$1276,A430,'Score Entry'!$E$5:$E$1276,"Third"),"")</f>
        <v/>
      </c>
      <c r="Q430" s="48" t="n">
        <f aca="false">IF(H430&lt;&gt;"Eligible","",IF(O430="Yes",IF(ISNUMBER(P430),ROUND(AVERAGE(L430,M430,P430),1),""),IF(O430="No",ROUND(AVERAGE(L430:M430),1),"")))</f>
        <v>93</v>
      </c>
      <c r="R430" s="37" t="str">
        <f aca="false">IF(H430&lt;&gt;"Eligible","Screened out",IF(COUNT(L430:M430)=0,"Not started",IF(COUNT(L430:M430)=1,"One read done",IF(O430="Yes",IF(ISNUMBER(P430),"Complete","Needs third read"),"Complete"))))</f>
        <v>Complete</v>
      </c>
      <c r="S430" s="37" t="n">
        <f aca="false">IF(Q430="","",COUNTIFS($C$5:$C$600,C430,$Q$5:$Q$600,"&gt;"&amp;Q430)+1)</f>
        <v>7</v>
      </c>
      <c r="T430" s="37" t="str">
        <f aca="false">IF(Q430="","",IF(Q430&gt;=Cutoff,"Yes","No"))</f>
        <v>Yes</v>
      </c>
      <c r="U430" s="49" t="n">
        <f aca="false">IF(T430="Yes",MIN(F430,INDEX(Settings!$G:$G,MATCH(C430,Settings!$E:$E,0))),0)</f>
        <v>139000</v>
      </c>
      <c r="V430" s="49" t="n">
        <f aca="false">IF(T430="Yes",SUMIFS($U$5:$U$600,$C$5:$C$600,C430,$Q$5:$Q$600,"&gt;"&amp;Q430)+U430,"")</f>
        <v>802000</v>
      </c>
      <c r="W430" s="37" t="str">
        <f aca="false">IF(T430="Yes",IF(V430&lt;=INDEX(PoolList,MATCH(C430,ProgramList,0)),"Within pool","Over pool"),"")</f>
        <v>Within pool</v>
      </c>
      <c r="X430" s="37" t="str">
        <f aca="false">IF(O430="Yes",COUNTIF($O$5:O430,"Yes"),"")</f>
        <v/>
      </c>
    </row>
    <row r="431" customFormat="false" ht="15" hidden="false" customHeight="false" outlineLevel="0" collapsed="false">
      <c r="A431" s="35" t="s">
        <v>1045</v>
      </c>
      <c r="B431" s="35" t="s">
        <v>1046</v>
      </c>
      <c r="C431" s="35" t="s">
        <v>105</v>
      </c>
      <c r="D431" s="35" t="s">
        <v>180</v>
      </c>
      <c r="E431" s="35" t="s">
        <v>252</v>
      </c>
      <c r="F431" s="42" t="n">
        <v>176500</v>
      </c>
      <c r="G431" s="36" t="n">
        <v>45908</v>
      </c>
      <c r="H431" s="35" t="s">
        <v>54</v>
      </c>
      <c r="I431" s="35" t="s">
        <v>88</v>
      </c>
      <c r="J431" s="35" t="s">
        <v>91</v>
      </c>
      <c r="K431" s="35"/>
      <c r="L431" s="48" t="n">
        <f aca="false">IFERROR(AVERAGEIFS('Score Entry'!$M$5:$M$1276,'Score Entry'!$B$5:$B$1276,A431,'Score Entry'!$E$5:$E$1276,"Primary"),"")</f>
        <v>68</v>
      </c>
      <c r="M431" s="48" t="n">
        <f aca="false">IFERROR(AVERAGEIFS('Score Entry'!$M$5:$M$1276,'Score Entry'!$B$5:$B$1276,A431,'Score Entry'!$E$5:$E$1276,"Secondary"),"")</f>
        <v>71</v>
      </c>
      <c r="N431" s="48" t="n">
        <f aca="false">IF(COUNT(L431:M431)=2,ABS(L431-M431),"")</f>
        <v>3</v>
      </c>
      <c r="O431" s="37" t="str">
        <f aca="false">IF(N431="","",IF(N431&gt;=Threshold,"Yes","No"))</f>
        <v>No</v>
      </c>
      <c r="P431" s="48" t="str">
        <f aca="false">IFERROR(AVERAGEIFS('Score Entry'!$M$5:$M$1276,'Score Entry'!$B$5:$B$1276,A431,'Score Entry'!$E$5:$E$1276,"Third"),"")</f>
        <v/>
      </c>
      <c r="Q431" s="48" t="n">
        <f aca="false">IF(H431&lt;&gt;"Eligible","",IF(O431="Yes",IF(ISNUMBER(P431),ROUND(AVERAGE(L431,M431,P431),1),""),IF(O431="No",ROUND(AVERAGE(L431:M431),1),"")))</f>
        <v>69.5</v>
      </c>
      <c r="R431" s="37" t="str">
        <f aca="false">IF(H431&lt;&gt;"Eligible","Screened out",IF(COUNT(L431:M431)=0,"Not started",IF(COUNT(L431:M431)=1,"One read done",IF(O431="Yes",IF(ISNUMBER(P431),"Complete","Needs third read"),"Complete"))))</f>
        <v>Complete</v>
      </c>
      <c r="S431" s="37" t="n">
        <f aca="false">IF(Q431="","",COUNTIFS($C$5:$C$600,C431,$Q$5:$Q$600,"&gt;"&amp;Q431)+1)</f>
        <v>41</v>
      </c>
      <c r="T431" s="37" t="str">
        <f aca="false">IF(Q431="","",IF(Q431&gt;=Cutoff,"Yes","No"))</f>
        <v>No</v>
      </c>
      <c r="U431" s="49" t="n">
        <f aca="false">IF(T431="Yes",MIN(F431,INDEX(Settings!$G:$G,MATCH(C431,Settings!$E:$E,0))),0)</f>
        <v>0</v>
      </c>
      <c r="V431" s="49" t="str">
        <f aca="false">IF(T431="Yes",SUMIFS($U$5:$U$600,$C$5:$C$600,C431,$Q$5:$Q$600,"&gt;"&amp;Q431)+U431,"")</f>
        <v/>
      </c>
      <c r="W431" s="37" t="str">
        <f aca="false">IF(T431="Yes",IF(V431&lt;=INDEX(PoolList,MATCH(C431,ProgramList,0)),"Within pool","Over pool"),"")</f>
        <v/>
      </c>
      <c r="X431" s="37" t="str">
        <f aca="false">IF(O431="Yes",COUNTIF($O$5:O431,"Yes"),"")</f>
        <v/>
      </c>
    </row>
    <row r="432" customFormat="false" ht="15" hidden="false" customHeight="false" outlineLevel="0" collapsed="false">
      <c r="A432" s="35" t="s">
        <v>1047</v>
      </c>
      <c r="B432" s="35" t="s">
        <v>1048</v>
      </c>
      <c r="C432" s="35" t="s">
        <v>103</v>
      </c>
      <c r="D432" s="35" t="s">
        <v>239</v>
      </c>
      <c r="E432" s="35" t="s">
        <v>247</v>
      </c>
      <c r="F432" s="42" t="n">
        <v>84500</v>
      </c>
      <c r="G432" s="36" t="n">
        <v>45918</v>
      </c>
      <c r="H432" s="35" t="s">
        <v>54</v>
      </c>
      <c r="I432" s="35" t="s">
        <v>78</v>
      </c>
      <c r="J432" s="35" t="s">
        <v>85</v>
      </c>
      <c r="K432" s="35"/>
      <c r="L432" s="48" t="n">
        <f aca="false">IFERROR(AVERAGEIFS('Score Entry'!$M$5:$M$1276,'Score Entry'!$B$5:$B$1276,A432,'Score Entry'!$E$5:$E$1276,"Primary"),"")</f>
        <v>78</v>
      </c>
      <c r="M432" s="48" t="n">
        <f aca="false">IFERROR(AVERAGEIFS('Score Entry'!$M$5:$M$1276,'Score Entry'!$B$5:$B$1276,A432,'Score Entry'!$E$5:$E$1276,"Secondary"),"")</f>
        <v>78</v>
      </c>
      <c r="N432" s="48" t="n">
        <f aca="false">IF(COUNT(L432:M432)=2,ABS(L432-M432),"")</f>
        <v>0</v>
      </c>
      <c r="O432" s="37" t="str">
        <f aca="false">IF(N432="","",IF(N432&gt;=Threshold,"Yes","No"))</f>
        <v>No</v>
      </c>
      <c r="P432" s="48" t="str">
        <f aca="false">IFERROR(AVERAGEIFS('Score Entry'!$M$5:$M$1276,'Score Entry'!$B$5:$B$1276,A432,'Score Entry'!$E$5:$E$1276,"Third"),"")</f>
        <v/>
      </c>
      <c r="Q432" s="48" t="n">
        <f aca="false">IF(H432&lt;&gt;"Eligible","",IF(O432="Yes",IF(ISNUMBER(P432),ROUND(AVERAGE(L432,M432,P432),1),""),IF(O432="No",ROUND(AVERAGE(L432:M432),1),"")))</f>
        <v>78</v>
      </c>
      <c r="R432" s="37" t="str">
        <f aca="false">IF(H432&lt;&gt;"Eligible","Screened out",IF(COUNT(L432:M432)=0,"Not started",IF(COUNT(L432:M432)=1,"One read done",IF(O432="Yes",IF(ISNUMBER(P432),"Complete","Needs third read"),"Complete"))))</f>
        <v>Complete</v>
      </c>
      <c r="S432" s="37" t="n">
        <f aca="false">IF(Q432="","",COUNTIFS($C$5:$C$600,C432,$Q$5:$Q$600,"&gt;"&amp;Q432)+1)</f>
        <v>27</v>
      </c>
      <c r="T432" s="37" t="str">
        <f aca="false">IF(Q432="","",IF(Q432&gt;=Cutoff,"Yes","No"))</f>
        <v>No</v>
      </c>
      <c r="U432" s="49" t="n">
        <f aca="false">IF(T432="Yes",MIN(F432,INDEX(Settings!$G:$G,MATCH(C432,Settings!$E:$E,0))),0)</f>
        <v>0</v>
      </c>
      <c r="V432" s="49" t="str">
        <f aca="false">IF(T432="Yes",SUMIFS($U$5:$U$600,$C$5:$C$600,C432,$Q$5:$Q$600,"&gt;"&amp;Q432)+U432,"")</f>
        <v/>
      </c>
      <c r="W432" s="37" t="str">
        <f aca="false">IF(T432="Yes",IF(V432&lt;=INDEX(PoolList,MATCH(C432,ProgramList,0)),"Within pool","Over pool"),"")</f>
        <v/>
      </c>
      <c r="X432" s="37" t="str">
        <f aca="false">IF(O432="Yes",COUNTIF($O$5:O432,"Yes"),"")</f>
        <v/>
      </c>
    </row>
    <row r="433" customFormat="false" ht="15" hidden="false" customHeight="false" outlineLevel="0" collapsed="false">
      <c r="A433" s="35" t="s">
        <v>1049</v>
      </c>
      <c r="B433" s="35" t="s">
        <v>1050</v>
      </c>
      <c r="C433" s="35" t="s">
        <v>103</v>
      </c>
      <c r="D433" s="35" t="s">
        <v>239</v>
      </c>
      <c r="E433" s="35" t="s">
        <v>255</v>
      </c>
      <c r="F433" s="42" t="n">
        <v>124500</v>
      </c>
      <c r="G433" s="36" t="n">
        <v>45926</v>
      </c>
      <c r="H433" s="35" t="s">
        <v>54</v>
      </c>
      <c r="I433" s="35" t="s">
        <v>85</v>
      </c>
      <c r="J433" s="35" t="s">
        <v>82</v>
      </c>
      <c r="K433" s="35"/>
      <c r="L433" s="48" t="n">
        <f aca="false">IFERROR(AVERAGEIFS('Score Entry'!$M$5:$M$1276,'Score Entry'!$B$5:$B$1276,A433,'Score Entry'!$E$5:$E$1276,"Primary"),"")</f>
        <v>73</v>
      </c>
      <c r="M433" s="48" t="n">
        <f aca="false">IFERROR(AVERAGEIFS('Score Entry'!$M$5:$M$1276,'Score Entry'!$B$5:$B$1276,A433,'Score Entry'!$E$5:$E$1276,"Secondary"),"")</f>
        <v>77</v>
      </c>
      <c r="N433" s="48" t="n">
        <f aca="false">IF(COUNT(L433:M433)=2,ABS(L433-M433),"")</f>
        <v>4</v>
      </c>
      <c r="O433" s="37" t="str">
        <f aca="false">IF(N433="","",IF(N433&gt;=Threshold,"Yes","No"))</f>
        <v>No</v>
      </c>
      <c r="P433" s="48" t="str">
        <f aca="false">IFERROR(AVERAGEIFS('Score Entry'!$M$5:$M$1276,'Score Entry'!$B$5:$B$1276,A433,'Score Entry'!$E$5:$E$1276,"Third"),"")</f>
        <v/>
      </c>
      <c r="Q433" s="48" t="n">
        <f aca="false">IF(H433&lt;&gt;"Eligible","",IF(O433="Yes",IF(ISNUMBER(P433),ROUND(AVERAGE(L433,M433,P433),1),""),IF(O433="No",ROUND(AVERAGE(L433:M433),1),"")))</f>
        <v>75</v>
      </c>
      <c r="R433" s="37" t="str">
        <f aca="false">IF(H433&lt;&gt;"Eligible","Screened out",IF(COUNT(L433:M433)=0,"Not started",IF(COUNT(L433:M433)=1,"One read done",IF(O433="Yes",IF(ISNUMBER(P433),"Complete","Needs third read"),"Complete"))))</f>
        <v>Complete</v>
      </c>
      <c r="S433" s="37" t="n">
        <f aca="false">IF(Q433="","",COUNTIFS($C$5:$C$600,C433,$Q$5:$Q$600,"&gt;"&amp;Q433)+1)</f>
        <v>44</v>
      </c>
      <c r="T433" s="37" t="str">
        <f aca="false">IF(Q433="","",IF(Q433&gt;=Cutoff,"Yes","No"))</f>
        <v>No</v>
      </c>
      <c r="U433" s="49" t="n">
        <f aca="false">IF(T433="Yes",MIN(F433,INDEX(Settings!$G:$G,MATCH(C433,Settings!$E:$E,0))),0)</f>
        <v>0</v>
      </c>
      <c r="V433" s="49" t="str">
        <f aca="false">IF(T433="Yes",SUMIFS($U$5:$U$600,$C$5:$C$600,C433,$Q$5:$Q$600,"&gt;"&amp;Q433)+U433,"")</f>
        <v/>
      </c>
      <c r="W433" s="37" t="str">
        <f aca="false">IF(T433="Yes",IF(V433&lt;=INDEX(PoolList,MATCH(C433,ProgramList,0)),"Within pool","Over pool"),"")</f>
        <v/>
      </c>
      <c r="X433" s="37" t="str">
        <f aca="false">IF(O433="Yes",COUNTIF($O$5:O433,"Yes"),"")</f>
        <v/>
      </c>
    </row>
    <row r="434" customFormat="false" ht="15" hidden="false" customHeight="false" outlineLevel="0" collapsed="false">
      <c r="A434" s="35" t="s">
        <v>1051</v>
      </c>
      <c r="B434" s="35" t="s">
        <v>1052</v>
      </c>
      <c r="C434" s="35" t="s">
        <v>104</v>
      </c>
      <c r="D434" s="35" t="s">
        <v>190</v>
      </c>
      <c r="E434" s="35" t="s">
        <v>363</v>
      </c>
      <c r="F434" s="42" t="n">
        <v>85000</v>
      </c>
      <c r="G434" s="36" t="n">
        <v>45924</v>
      </c>
      <c r="H434" s="35" t="s">
        <v>54</v>
      </c>
      <c r="I434" s="35" t="s">
        <v>82</v>
      </c>
      <c r="J434" s="35" t="s">
        <v>88</v>
      </c>
      <c r="K434" s="35"/>
      <c r="L434" s="48" t="n">
        <f aca="false">IFERROR(AVERAGEIFS('Score Entry'!$M$5:$M$1276,'Score Entry'!$B$5:$B$1276,A434,'Score Entry'!$E$5:$E$1276,"Primary"),"")</f>
        <v>90</v>
      </c>
      <c r="M434" s="48" t="n">
        <f aca="false">IFERROR(AVERAGEIFS('Score Entry'!$M$5:$M$1276,'Score Entry'!$B$5:$B$1276,A434,'Score Entry'!$E$5:$E$1276,"Secondary"),"")</f>
        <v>87</v>
      </c>
      <c r="N434" s="48" t="n">
        <f aca="false">IF(COUNT(L434:M434)=2,ABS(L434-M434),"")</f>
        <v>3</v>
      </c>
      <c r="O434" s="37" t="str">
        <f aca="false">IF(N434="","",IF(N434&gt;=Threshold,"Yes","No"))</f>
        <v>No</v>
      </c>
      <c r="P434" s="48" t="str">
        <f aca="false">IFERROR(AVERAGEIFS('Score Entry'!$M$5:$M$1276,'Score Entry'!$B$5:$B$1276,A434,'Score Entry'!$E$5:$E$1276,"Third"),"")</f>
        <v/>
      </c>
      <c r="Q434" s="48" t="n">
        <f aca="false">IF(H434&lt;&gt;"Eligible","",IF(O434="Yes",IF(ISNUMBER(P434),ROUND(AVERAGE(L434,M434,P434),1),""),IF(O434="No",ROUND(AVERAGE(L434:M434),1),"")))</f>
        <v>88.5</v>
      </c>
      <c r="R434" s="37" t="str">
        <f aca="false">IF(H434&lt;&gt;"Eligible","Screened out",IF(COUNT(L434:M434)=0,"Not started",IF(COUNT(L434:M434)=1,"One read done",IF(O434="Yes",IF(ISNUMBER(P434),"Complete","Needs third read"),"Complete"))))</f>
        <v>Complete</v>
      </c>
      <c r="S434" s="37" t="n">
        <f aca="false">IF(Q434="","",COUNTIFS($C$5:$C$600,C434,$Q$5:$Q$600,"&gt;"&amp;Q434)+1)</f>
        <v>11</v>
      </c>
      <c r="T434" s="37" t="str">
        <f aca="false">IF(Q434="","",IF(Q434&gt;=Cutoff,"Yes","No"))</f>
        <v>Yes</v>
      </c>
      <c r="U434" s="49" t="n">
        <f aca="false">IF(T434="Yes",MIN(F434,INDEX(Settings!$G:$G,MATCH(C434,Settings!$E:$E,0))),0)</f>
        <v>85000</v>
      </c>
      <c r="V434" s="49" t="n">
        <f aca="false">IF(T434="Yes",SUMIFS($U$5:$U$600,$C$5:$C$600,C434,$Q$5:$Q$600,"&gt;"&amp;Q434)+U434,"")</f>
        <v>1101500</v>
      </c>
      <c r="W434" s="37" t="str">
        <f aca="false">IF(T434="Yes",IF(V434&lt;=INDEX(PoolList,MATCH(C434,ProgramList,0)),"Within pool","Over pool"),"")</f>
        <v>Over pool</v>
      </c>
      <c r="X434" s="37" t="str">
        <f aca="false">IF(O434="Yes",COUNTIF($O$5:O434,"Yes"),"")</f>
        <v/>
      </c>
    </row>
    <row r="435" customFormat="false" ht="15" hidden="false" customHeight="false" outlineLevel="0" collapsed="false">
      <c r="A435" s="35" t="s">
        <v>1053</v>
      </c>
      <c r="B435" s="35" t="s">
        <v>1054</v>
      </c>
      <c r="C435" s="35" t="s">
        <v>105</v>
      </c>
      <c r="D435" s="35" t="s">
        <v>239</v>
      </c>
      <c r="E435" s="35" t="s">
        <v>247</v>
      </c>
      <c r="F435" s="42" t="n">
        <v>76500</v>
      </c>
      <c r="G435" s="36" t="n">
        <v>45927</v>
      </c>
      <c r="H435" s="35" t="s">
        <v>54</v>
      </c>
      <c r="I435" s="35" t="s">
        <v>78</v>
      </c>
      <c r="J435" s="35" t="s">
        <v>94</v>
      </c>
      <c r="K435" s="35"/>
      <c r="L435" s="48" t="n">
        <f aca="false">IFERROR(AVERAGEIFS('Score Entry'!$M$5:$M$1276,'Score Entry'!$B$5:$B$1276,A435,'Score Entry'!$E$5:$E$1276,"Primary"),"")</f>
        <v>80</v>
      </c>
      <c r="M435" s="48" t="n">
        <f aca="false">IFERROR(AVERAGEIFS('Score Entry'!$M$5:$M$1276,'Score Entry'!$B$5:$B$1276,A435,'Score Entry'!$E$5:$E$1276,"Secondary"),"")</f>
        <v>77</v>
      </c>
      <c r="N435" s="48" t="n">
        <f aca="false">IF(COUNT(L435:M435)=2,ABS(L435-M435),"")</f>
        <v>3</v>
      </c>
      <c r="O435" s="37" t="str">
        <f aca="false">IF(N435="","",IF(N435&gt;=Threshold,"Yes","No"))</f>
        <v>No</v>
      </c>
      <c r="P435" s="48" t="str">
        <f aca="false">IFERROR(AVERAGEIFS('Score Entry'!$M$5:$M$1276,'Score Entry'!$B$5:$B$1276,A435,'Score Entry'!$E$5:$E$1276,"Third"),"")</f>
        <v/>
      </c>
      <c r="Q435" s="48" t="n">
        <f aca="false">IF(H435&lt;&gt;"Eligible","",IF(O435="Yes",IF(ISNUMBER(P435),ROUND(AVERAGE(L435,M435,P435),1),""),IF(O435="No",ROUND(AVERAGE(L435:M435),1),"")))</f>
        <v>78.5</v>
      </c>
      <c r="R435" s="37" t="str">
        <f aca="false">IF(H435&lt;&gt;"Eligible","Screened out",IF(COUNT(L435:M435)=0,"Not started",IF(COUNT(L435:M435)=1,"One read done",IF(O435="Yes",IF(ISNUMBER(P435),"Complete","Needs third read"),"Complete"))))</f>
        <v>Complete</v>
      </c>
      <c r="S435" s="37" t="n">
        <f aca="false">IF(Q435="","",COUNTIFS($C$5:$C$600,C435,$Q$5:$Q$600,"&gt;"&amp;Q435)+1)</f>
        <v>20</v>
      </c>
      <c r="T435" s="37" t="str">
        <f aca="false">IF(Q435="","",IF(Q435&gt;=Cutoff,"Yes","No"))</f>
        <v>No</v>
      </c>
      <c r="U435" s="49" t="n">
        <f aca="false">IF(T435="Yes",MIN(F435,INDEX(Settings!$G:$G,MATCH(C435,Settings!$E:$E,0))),0)</f>
        <v>0</v>
      </c>
      <c r="V435" s="49" t="str">
        <f aca="false">IF(T435="Yes",SUMIFS($U$5:$U$600,$C$5:$C$600,C435,$Q$5:$Q$600,"&gt;"&amp;Q435)+U435,"")</f>
        <v/>
      </c>
      <c r="W435" s="37" t="str">
        <f aca="false">IF(T435="Yes",IF(V435&lt;=INDEX(PoolList,MATCH(C435,ProgramList,0)),"Within pool","Over pool"),"")</f>
        <v/>
      </c>
      <c r="X435" s="37" t="str">
        <f aca="false">IF(O435="Yes",COUNTIF($O$5:O435,"Yes"),"")</f>
        <v/>
      </c>
    </row>
    <row r="436" customFormat="false" ht="15" hidden="false" customHeight="false" outlineLevel="0" collapsed="false">
      <c r="A436" s="35" t="s">
        <v>1055</v>
      </c>
      <c r="B436" s="35" t="s">
        <v>1056</v>
      </c>
      <c r="C436" s="35" t="s">
        <v>103</v>
      </c>
      <c r="D436" s="35" t="s">
        <v>174</v>
      </c>
      <c r="E436" s="35" t="s">
        <v>175</v>
      </c>
      <c r="F436" s="42" t="n">
        <v>103000</v>
      </c>
      <c r="G436" s="36" t="n">
        <v>45914</v>
      </c>
      <c r="H436" s="35" t="s">
        <v>54</v>
      </c>
      <c r="I436" s="35" t="s">
        <v>91</v>
      </c>
      <c r="J436" s="35" t="s">
        <v>94</v>
      </c>
      <c r="K436" s="35"/>
      <c r="L436" s="48" t="n">
        <f aca="false">IFERROR(AVERAGEIFS('Score Entry'!$M$5:$M$1276,'Score Entry'!$B$5:$B$1276,A436,'Score Entry'!$E$5:$E$1276,"Primary"),"")</f>
        <v>80</v>
      </c>
      <c r="M436" s="48" t="n">
        <f aca="false">IFERROR(AVERAGEIFS('Score Entry'!$M$5:$M$1276,'Score Entry'!$B$5:$B$1276,A436,'Score Entry'!$E$5:$E$1276,"Secondary"),"")</f>
        <v>74</v>
      </c>
      <c r="N436" s="48" t="n">
        <f aca="false">IF(COUNT(L436:M436)=2,ABS(L436-M436),"")</f>
        <v>6</v>
      </c>
      <c r="O436" s="37" t="str">
        <f aca="false">IF(N436="","",IF(N436&gt;=Threshold,"Yes","No"))</f>
        <v>No</v>
      </c>
      <c r="P436" s="48" t="str">
        <f aca="false">IFERROR(AVERAGEIFS('Score Entry'!$M$5:$M$1276,'Score Entry'!$B$5:$B$1276,A436,'Score Entry'!$E$5:$E$1276,"Third"),"")</f>
        <v/>
      </c>
      <c r="Q436" s="48" t="n">
        <f aca="false">IF(H436&lt;&gt;"Eligible","",IF(O436="Yes",IF(ISNUMBER(P436),ROUND(AVERAGE(L436,M436,P436),1),""),IF(O436="No",ROUND(AVERAGE(L436:M436),1),"")))</f>
        <v>77</v>
      </c>
      <c r="R436" s="37" t="str">
        <f aca="false">IF(H436&lt;&gt;"Eligible","Screened out",IF(COUNT(L436:M436)=0,"Not started",IF(COUNT(L436:M436)=1,"One read done",IF(O436="Yes",IF(ISNUMBER(P436),"Complete","Needs third read"),"Complete"))))</f>
        <v>Complete</v>
      </c>
      <c r="S436" s="37" t="n">
        <f aca="false">IF(Q436="","",COUNTIFS($C$5:$C$600,C436,$Q$5:$Q$600,"&gt;"&amp;Q436)+1)</f>
        <v>29</v>
      </c>
      <c r="T436" s="37" t="str">
        <f aca="false">IF(Q436="","",IF(Q436&gt;=Cutoff,"Yes","No"))</f>
        <v>No</v>
      </c>
      <c r="U436" s="49" t="n">
        <f aca="false">IF(T436="Yes",MIN(F436,INDEX(Settings!$G:$G,MATCH(C436,Settings!$E:$E,0))),0)</f>
        <v>0</v>
      </c>
      <c r="V436" s="49" t="str">
        <f aca="false">IF(T436="Yes",SUMIFS($U$5:$U$600,$C$5:$C$600,C436,$Q$5:$Q$600,"&gt;"&amp;Q436)+U436,"")</f>
        <v/>
      </c>
      <c r="W436" s="37" t="str">
        <f aca="false">IF(T436="Yes",IF(V436&lt;=INDEX(PoolList,MATCH(C436,ProgramList,0)),"Within pool","Over pool"),"")</f>
        <v/>
      </c>
      <c r="X436" s="37" t="str">
        <f aca="false">IF(O436="Yes",COUNTIF($O$5:O436,"Yes"),"")</f>
        <v/>
      </c>
    </row>
    <row r="437" customFormat="false" ht="15" hidden="false" customHeight="false" outlineLevel="0" collapsed="false">
      <c r="A437" s="35" t="s">
        <v>1057</v>
      </c>
      <c r="B437" s="35" t="s">
        <v>1058</v>
      </c>
      <c r="C437" s="35" t="s">
        <v>106</v>
      </c>
      <c r="D437" s="35" t="s">
        <v>239</v>
      </c>
      <c r="E437" s="35" t="s">
        <v>554</v>
      </c>
      <c r="F437" s="42" t="n">
        <v>250000</v>
      </c>
      <c r="G437" s="36" t="n">
        <v>45924</v>
      </c>
      <c r="H437" s="35" t="s">
        <v>54</v>
      </c>
      <c r="I437" s="35" t="s">
        <v>91</v>
      </c>
      <c r="J437" s="35" t="s">
        <v>85</v>
      </c>
      <c r="K437" s="35"/>
      <c r="L437" s="48" t="n">
        <f aca="false">IFERROR(AVERAGEIFS('Score Entry'!$M$5:$M$1276,'Score Entry'!$B$5:$B$1276,A437,'Score Entry'!$E$5:$E$1276,"Primary"),"")</f>
        <v>65</v>
      </c>
      <c r="M437" s="48" t="n">
        <f aca="false">IFERROR(AVERAGEIFS('Score Entry'!$M$5:$M$1276,'Score Entry'!$B$5:$B$1276,A437,'Score Entry'!$E$5:$E$1276,"Secondary"),"")</f>
        <v>67</v>
      </c>
      <c r="N437" s="48" t="n">
        <f aca="false">IF(COUNT(L437:M437)=2,ABS(L437-M437),"")</f>
        <v>2</v>
      </c>
      <c r="O437" s="37" t="str">
        <f aca="false">IF(N437="","",IF(N437&gt;=Threshold,"Yes","No"))</f>
        <v>No</v>
      </c>
      <c r="P437" s="48" t="str">
        <f aca="false">IFERROR(AVERAGEIFS('Score Entry'!$M$5:$M$1276,'Score Entry'!$B$5:$B$1276,A437,'Score Entry'!$E$5:$E$1276,"Third"),"")</f>
        <v/>
      </c>
      <c r="Q437" s="48" t="n">
        <f aca="false">IF(H437&lt;&gt;"Eligible","",IF(O437="Yes",IF(ISNUMBER(P437),ROUND(AVERAGE(L437,M437,P437),1),""),IF(O437="No",ROUND(AVERAGE(L437:M437),1),"")))</f>
        <v>66</v>
      </c>
      <c r="R437" s="37" t="str">
        <f aca="false">IF(H437&lt;&gt;"Eligible","Screened out",IF(COUNT(L437:M437)=0,"Not started",IF(COUNT(L437:M437)=1,"One read done",IF(O437="Yes",IF(ISNUMBER(P437),"Complete","Needs third read"),"Complete"))))</f>
        <v>Complete</v>
      </c>
      <c r="S437" s="37" t="n">
        <f aca="false">IF(Q437="","",COUNTIFS($C$5:$C$600,C437,$Q$5:$Q$600,"&gt;"&amp;Q437)+1)</f>
        <v>67</v>
      </c>
      <c r="T437" s="37" t="str">
        <f aca="false">IF(Q437="","",IF(Q437&gt;=Cutoff,"Yes","No"))</f>
        <v>No</v>
      </c>
      <c r="U437" s="49" t="n">
        <f aca="false">IF(T437="Yes",MIN(F437,INDEX(Settings!$G:$G,MATCH(C437,Settings!$E:$E,0))),0)</f>
        <v>0</v>
      </c>
      <c r="V437" s="49" t="str">
        <f aca="false">IF(T437="Yes",SUMIFS($U$5:$U$600,$C$5:$C$600,C437,$Q$5:$Q$600,"&gt;"&amp;Q437)+U437,"")</f>
        <v/>
      </c>
      <c r="W437" s="37" t="str">
        <f aca="false">IF(T437="Yes",IF(V437&lt;=INDEX(PoolList,MATCH(C437,ProgramList,0)),"Within pool","Over pool"),"")</f>
        <v/>
      </c>
      <c r="X437" s="37" t="str">
        <f aca="false">IF(O437="Yes",COUNTIF($O$5:O437,"Yes"),"")</f>
        <v/>
      </c>
    </row>
    <row r="438" customFormat="false" ht="15" hidden="false" customHeight="false" outlineLevel="0" collapsed="false">
      <c r="A438" s="35" t="s">
        <v>1059</v>
      </c>
      <c r="B438" s="35" t="s">
        <v>1060</v>
      </c>
      <c r="C438" s="35" t="s">
        <v>103</v>
      </c>
      <c r="D438" s="35" t="s">
        <v>180</v>
      </c>
      <c r="E438" s="35" t="s">
        <v>269</v>
      </c>
      <c r="F438" s="42" t="n">
        <v>130000</v>
      </c>
      <c r="G438" s="36" t="n">
        <v>45921</v>
      </c>
      <c r="H438" s="35" t="s">
        <v>54</v>
      </c>
      <c r="I438" s="35" t="s">
        <v>82</v>
      </c>
      <c r="J438" s="35" t="s">
        <v>88</v>
      </c>
      <c r="K438" s="35"/>
      <c r="L438" s="48" t="n">
        <f aca="false">IFERROR(AVERAGEIFS('Score Entry'!$M$5:$M$1276,'Score Entry'!$B$5:$B$1276,A438,'Score Entry'!$E$5:$E$1276,"Primary"),"")</f>
        <v>79</v>
      </c>
      <c r="M438" s="48" t="n">
        <f aca="false">IFERROR(AVERAGEIFS('Score Entry'!$M$5:$M$1276,'Score Entry'!$B$5:$B$1276,A438,'Score Entry'!$E$5:$E$1276,"Secondary"),"")</f>
        <v>74</v>
      </c>
      <c r="N438" s="48" t="n">
        <f aca="false">IF(COUNT(L438:M438)=2,ABS(L438-M438),"")</f>
        <v>5</v>
      </c>
      <c r="O438" s="37" t="str">
        <f aca="false">IF(N438="","",IF(N438&gt;=Threshold,"Yes","No"))</f>
        <v>No</v>
      </c>
      <c r="P438" s="48" t="str">
        <f aca="false">IFERROR(AVERAGEIFS('Score Entry'!$M$5:$M$1276,'Score Entry'!$B$5:$B$1276,A438,'Score Entry'!$E$5:$E$1276,"Third"),"")</f>
        <v/>
      </c>
      <c r="Q438" s="48" t="n">
        <f aca="false">IF(H438&lt;&gt;"Eligible","",IF(O438="Yes",IF(ISNUMBER(P438),ROUND(AVERAGE(L438,M438,P438),1),""),IF(O438="No",ROUND(AVERAGE(L438:M438),1),"")))</f>
        <v>76.5</v>
      </c>
      <c r="R438" s="37" t="str">
        <f aca="false">IF(H438&lt;&gt;"Eligible","Screened out",IF(COUNT(L438:M438)=0,"Not started",IF(COUNT(L438:M438)=1,"One read done",IF(O438="Yes",IF(ISNUMBER(P438),"Complete","Needs third read"),"Complete"))))</f>
        <v>Complete</v>
      </c>
      <c r="S438" s="37" t="n">
        <f aca="false">IF(Q438="","",COUNTIFS($C$5:$C$600,C438,$Q$5:$Q$600,"&gt;"&amp;Q438)+1)</f>
        <v>33</v>
      </c>
      <c r="T438" s="37" t="str">
        <f aca="false">IF(Q438="","",IF(Q438&gt;=Cutoff,"Yes","No"))</f>
        <v>No</v>
      </c>
      <c r="U438" s="49" t="n">
        <f aca="false">IF(T438="Yes",MIN(F438,INDEX(Settings!$G:$G,MATCH(C438,Settings!$E:$E,0))),0)</f>
        <v>0</v>
      </c>
      <c r="V438" s="49" t="str">
        <f aca="false">IF(T438="Yes",SUMIFS($U$5:$U$600,$C$5:$C$600,C438,$Q$5:$Q$600,"&gt;"&amp;Q438)+U438,"")</f>
        <v/>
      </c>
      <c r="W438" s="37" t="str">
        <f aca="false">IF(T438="Yes",IF(V438&lt;=INDEX(PoolList,MATCH(C438,ProgramList,0)),"Within pool","Over pool"),"")</f>
        <v/>
      </c>
      <c r="X438" s="37" t="str">
        <f aca="false">IF(O438="Yes",COUNTIF($O$5:O438,"Yes"),"")</f>
        <v/>
      </c>
    </row>
    <row r="439" customFormat="false" ht="15" hidden="false" customHeight="false" outlineLevel="0" collapsed="false">
      <c r="A439" s="35" t="s">
        <v>1061</v>
      </c>
      <c r="B439" s="35" t="s">
        <v>1062</v>
      </c>
      <c r="C439" s="35" t="s">
        <v>106</v>
      </c>
      <c r="D439" s="35" t="s">
        <v>174</v>
      </c>
      <c r="E439" s="35" t="s">
        <v>175</v>
      </c>
      <c r="F439" s="42" t="n">
        <v>131500</v>
      </c>
      <c r="G439" s="36" t="n">
        <v>45923</v>
      </c>
      <c r="H439" s="35" t="s">
        <v>54</v>
      </c>
      <c r="I439" s="35" t="s">
        <v>85</v>
      </c>
      <c r="J439" s="35" t="s">
        <v>91</v>
      </c>
      <c r="K439" s="35" t="s">
        <v>94</v>
      </c>
      <c r="L439" s="48" t="n">
        <f aca="false">IFERROR(AVERAGEIFS('Score Entry'!$M$5:$M$1276,'Score Entry'!$B$5:$B$1276,A439,'Score Entry'!$E$5:$E$1276,"Primary"),"")</f>
        <v>91</v>
      </c>
      <c r="M439" s="48" t="n">
        <f aca="false">IFERROR(AVERAGEIFS('Score Entry'!$M$5:$M$1276,'Score Entry'!$B$5:$B$1276,A439,'Score Entry'!$E$5:$E$1276,"Secondary"),"")</f>
        <v>51</v>
      </c>
      <c r="N439" s="48" t="n">
        <f aca="false">IF(COUNT(L439:M439)=2,ABS(L439-M439),"")</f>
        <v>40</v>
      </c>
      <c r="O439" s="37" t="str">
        <f aca="false">IF(N439="","",IF(N439&gt;=Threshold,"Yes","No"))</f>
        <v>Yes</v>
      </c>
      <c r="P439" s="48" t="str">
        <f aca="false">IFERROR(AVERAGEIFS('Score Entry'!$M$5:$M$1276,'Score Entry'!$B$5:$B$1276,A439,'Score Entry'!$E$5:$E$1276,"Third"),"")</f>
        <v/>
      </c>
      <c r="Q439" s="48" t="str">
        <f aca="false">IF(H439&lt;&gt;"Eligible","",IF(O439="Yes",IF(ISNUMBER(P439),ROUND(AVERAGE(L439,M439,P439),1),""),IF(O439="No",ROUND(AVERAGE(L439:M439),1),"")))</f>
        <v/>
      </c>
      <c r="R439" s="37" t="str">
        <f aca="false">IF(H439&lt;&gt;"Eligible","Screened out",IF(COUNT(L439:M439)=0,"Not started",IF(COUNT(L439:M439)=1,"One read done",IF(O439="Yes",IF(ISNUMBER(P439),"Complete","Needs third read"),"Complete"))))</f>
        <v>Needs third read</v>
      </c>
      <c r="S439" s="37" t="str">
        <f aca="false">IF(Q439="","",COUNTIFS($C$5:$C$600,C439,$Q$5:$Q$600,"&gt;"&amp;Q439)+1)</f>
        <v/>
      </c>
      <c r="T439" s="37" t="str">
        <f aca="false">IF(Q439="","",IF(Q439&gt;=Cutoff,"Yes","No"))</f>
        <v/>
      </c>
      <c r="U439" s="49" t="n">
        <f aca="false">IF(T439="Yes",MIN(F439,INDEX(Settings!$G:$G,MATCH(C439,Settings!$E:$E,0))),0)</f>
        <v>0</v>
      </c>
      <c r="V439" s="49" t="str">
        <f aca="false">IF(T439="Yes",SUMIFS($U$5:$U$600,$C$5:$C$600,C439,$Q$5:$Q$600,"&gt;"&amp;Q439)+U439,"")</f>
        <v/>
      </c>
      <c r="W439" s="37" t="str">
        <f aca="false">IF(T439="Yes",IF(V439&lt;=INDEX(PoolList,MATCH(C439,ProgramList,0)),"Within pool","Over pool"),"")</f>
        <v/>
      </c>
      <c r="X439" s="37" t="n">
        <f aca="false">IF(O439="Yes",COUNTIF($O$5:O439,"Yes"),"")</f>
        <v>53</v>
      </c>
    </row>
    <row r="440" customFormat="false" ht="15" hidden="false" customHeight="false" outlineLevel="0" collapsed="false">
      <c r="A440" s="35" t="s">
        <v>1063</v>
      </c>
      <c r="B440" s="35" t="s">
        <v>1064</v>
      </c>
      <c r="C440" s="35" t="s">
        <v>105</v>
      </c>
      <c r="D440" s="35" t="s">
        <v>180</v>
      </c>
      <c r="E440" s="35" t="s">
        <v>252</v>
      </c>
      <c r="F440" s="42" t="n">
        <v>61500</v>
      </c>
      <c r="G440" s="36" t="n">
        <v>45917</v>
      </c>
      <c r="H440" s="35" t="s">
        <v>54</v>
      </c>
      <c r="I440" s="35" t="s">
        <v>78</v>
      </c>
      <c r="J440" s="35" t="s">
        <v>82</v>
      </c>
      <c r="K440" s="35"/>
      <c r="L440" s="48" t="n">
        <f aca="false">IFERROR(AVERAGEIFS('Score Entry'!$M$5:$M$1276,'Score Entry'!$B$5:$B$1276,A440,'Score Entry'!$E$5:$E$1276,"Primary"),"")</f>
        <v>72</v>
      </c>
      <c r="M440" s="48" t="n">
        <f aca="false">IFERROR(AVERAGEIFS('Score Entry'!$M$5:$M$1276,'Score Entry'!$B$5:$B$1276,A440,'Score Entry'!$E$5:$E$1276,"Secondary"),"")</f>
        <v>58</v>
      </c>
      <c r="N440" s="48" t="n">
        <f aca="false">IF(COUNT(L440:M440)=2,ABS(L440-M440),"")</f>
        <v>14</v>
      </c>
      <c r="O440" s="37" t="str">
        <f aca="false">IF(N440="","",IF(N440&gt;=Threshold,"Yes","No"))</f>
        <v>No</v>
      </c>
      <c r="P440" s="48" t="str">
        <f aca="false">IFERROR(AVERAGEIFS('Score Entry'!$M$5:$M$1276,'Score Entry'!$B$5:$B$1276,A440,'Score Entry'!$E$5:$E$1276,"Third"),"")</f>
        <v/>
      </c>
      <c r="Q440" s="48" t="n">
        <f aca="false">IF(H440&lt;&gt;"Eligible","",IF(O440="Yes",IF(ISNUMBER(P440),ROUND(AVERAGE(L440,M440,P440),1),""),IF(O440="No",ROUND(AVERAGE(L440:M440),1),"")))</f>
        <v>65</v>
      </c>
      <c r="R440" s="37" t="str">
        <f aca="false">IF(H440&lt;&gt;"Eligible","Screened out",IF(COUNT(L440:M440)=0,"Not started",IF(COUNT(L440:M440)=1,"One read done",IF(O440="Yes",IF(ISNUMBER(P440),"Complete","Needs third read"),"Complete"))))</f>
        <v>Complete</v>
      </c>
      <c r="S440" s="37" t="n">
        <f aca="false">IF(Q440="","",COUNTIFS($C$5:$C$600,C440,$Q$5:$Q$600,"&gt;"&amp;Q440)+1)</f>
        <v>60</v>
      </c>
      <c r="T440" s="37" t="str">
        <f aca="false">IF(Q440="","",IF(Q440&gt;=Cutoff,"Yes","No"))</f>
        <v>No</v>
      </c>
      <c r="U440" s="49" t="n">
        <f aca="false">IF(T440="Yes",MIN(F440,INDEX(Settings!$G:$G,MATCH(C440,Settings!$E:$E,0))),0)</f>
        <v>0</v>
      </c>
      <c r="V440" s="49" t="str">
        <f aca="false">IF(T440="Yes",SUMIFS($U$5:$U$600,$C$5:$C$600,C440,$Q$5:$Q$600,"&gt;"&amp;Q440)+U440,"")</f>
        <v/>
      </c>
      <c r="W440" s="37" t="str">
        <f aca="false">IF(T440="Yes",IF(V440&lt;=INDEX(PoolList,MATCH(C440,ProgramList,0)),"Within pool","Over pool"),"")</f>
        <v/>
      </c>
      <c r="X440" s="37" t="str">
        <f aca="false">IF(O440="Yes",COUNTIF($O$5:O440,"Yes"),"")</f>
        <v/>
      </c>
    </row>
    <row r="441" customFormat="false" ht="15" hidden="false" customHeight="false" outlineLevel="0" collapsed="false">
      <c r="A441" s="35" t="s">
        <v>1065</v>
      </c>
      <c r="B441" s="35" t="s">
        <v>1066</v>
      </c>
      <c r="C441" s="35" t="s">
        <v>103</v>
      </c>
      <c r="D441" s="35" t="s">
        <v>180</v>
      </c>
      <c r="E441" s="35" t="s">
        <v>269</v>
      </c>
      <c r="F441" s="42" t="n">
        <v>147000</v>
      </c>
      <c r="G441" s="36" t="n">
        <v>45910</v>
      </c>
      <c r="H441" s="35" t="s">
        <v>54</v>
      </c>
      <c r="I441" s="35" t="s">
        <v>78</v>
      </c>
      <c r="J441" s="35" t="s">
        <v>88</v>
      </c>
      <c r="K441" s="35"/>
      <c r="L441" s="48" t="n">
        <f aca="false">IFERROR(AVERAGEIFS('Score Entry'!$M$5:$M$1276,'Score Entry'!$B$5:$B$1276,A441,'Score Entry'!$E$5:$E$1276,"Primary"),"")</f>
        <v>100</v>
      </c>
      <c r="M441" s="48" t="n">
        <f aca="false">IFERROR(AVERAGEIFS('Score Entry'!$M$5:$M$1276,'Score Entry'!$B$5:$B$1276,A441,'Score Entry'!$E$5:$E$1276,"Secondary"),"")</f>
        <v>93</v>
      </c>
      <c r="N441" s="48" t="n">
        <f aca="false">IF(COUNT(L441:M441)=2,ABS(L441-M441),"")</f>
        <v>7</v>
      </c>
      <c r="O441" s="37" t="str">
        <f aca="false">IF(N441="","",IF(N441&gt;=Threshold,"Yes","No"))</f>
        <v>No</v>
      </c>
      <c r="P441" s="48" t="str">
        <f aca="false">IFERROR(AVERAGEIFS('Score Entry'!$M$5:$M$1276,'Score Entry'!$B$5:$B$1276,A441,'Score Entry'!$E$5:$E$1276,"Third"),"")</f>
        <v/>
      </c>
      <c r="Q441" s="48" t="n">
        <f aca="false">IF(H441&lt;&gt;"Eligible","",IF(O441="Yes",IF(ISNUMBER(P441),ROUND(AVERAGE(L441,M441,P441),1),""),IF(O441="No",ROUND(AVERAGE(L441:M441),1),"")))</f>
        <v>96.5</v>
      </c>
      <c r="R441" s="37" t="str">
        <f aca="false">IF(H441&lt;&gt;"Eligible","Screened out",IF(COUNT(L441:M441)=0,"Not started",IF(COUNT(L441:M441)=1,"One read done",IF(O441="Yes",IF(ISNUMBER(P441),"Complete","Needs third read"),"Complete"))))</f>
        <v>Complete</v>
      </c>
      <c r="S441" s="37" t="n">
        <f aca="false">IF(Q441="","",COUNTIFS($C$5:$C$600,C441,$Q$5:$Q$600,"&gt;"&amp;Q441)+1)</f>
        <v>2</v>
      </c>
      <c r="T441" s="37" t="str">
        <f aca="false">IF(Q441="","",IF(Q441&gt;=Cutoff,"Yes","No"))</f>
        <v>Yes</v>
      </c>
      <c r="U441" s="49" t="n">
        <f aca="false">IF(T441="Yes",MIN(F441,INDEX(Settings!$G:$G,MATCH(C441,Settings!$E:$E,0))),0)</f>
        <v>147000</v>
      </c>
      <c r="V441" s="49" t="n">
        <f aca="false">IF(T441="Yes",SUMIFS($U$5:$U$600,$C$5:$C$600,C441,$Q$5:$Q$600,"&gt;"&amp;Q441)+U441,"")</f>
        <v>225500</v>
      </c>
      <c r="W441" s="37" t="str">
        <f aca="false">IF(T441="Yes",IF(V441&lt;=INDEX(PoolList,MATCH(C441,ProgramList,0)),"Within pool","Over pool"),"")</f>
        <v>Within pool</v>
      </c>
      <c r="X441" s="37" t="str">
        <f aca="false">IF(O441="Yes",COUNTIF($O$5:O441,"Yes"),"")</f>
        <v/>
      </c>
    </row>
    <row r="442" customFormat="false" ht="15" hidden="false" customHeight="false" outlineLevel="0" collapsed="false">
      <c r="A442" s="35" t="s">
        <v>1067</v>
      </c>
      <c r="B442" s="35" t="s">
        <v>1068</v>
      </c>
      <c r="C442" s="35" t="s">
        <v>104</v>
      </c>
      <c r="D442" s="35" t="s">
        <v>190</v>
      </c>
      <c r="E442" s="35" t="s">
        <v>363</v>
      </c>
      <c r="F442" s="42" t="n">
        <v>31000</v>
      </c>
      <c r="G442" s="36" t="n">
        <v>45913</v>
      </c>
      <c r="H442" s="35" t="s">
        <v>54</v>
      </c>
      <c r="I442" s="35" t="s">
        <v>85</v>
      </c>
      <c r="J442" s="35" t="s">
        <v>94</v>
      </c>
      <c r="K442" s="35"/>
      <c r="L442" s="48" t="n">
        <f aca="false">IFERROR(AVERAGEIFS('Score Entry'!$M$5:$M$1276,'Score Entry'!$B$5:$B$1276,A442,'Score Entry'!$E$5:$E$1276,"Primary"),"")</f>
        <v>49</v>
      </c>
      <c r="M442" s="48" t="n">
        <f aca="false">IFERROR(AVERAGEIFS('Score Entry'!$M$5:$M$1276,'Score Entry'!$B$5:$B$1276,A442,'Score Entry'!$E$5:$E$1276,"Secondary"),"")</f>
        <v>53</v>
      </c>
      <c r="N442" s="48" t="n">
        <f aca="false">IF(COUNT(L442:M442)=2,ABS(L442-M442),"")</f>
        <v>4</v>
      </c>
      <c r="O442" s="37" t="str">
        <f aca="false">IF(N442="","",IF(N442&gt;=Threshold,"Yes","No"))</f>
        <v>No</v>
      </c>
      <c r="P442" s="48" t="str">
        <f aca="false">IFERROR(AVERAGEIFS('Score Entry'!$M$5:$M$1276,'Score Entry'!$B$5:$B$1276,A442,'Score Entry'!$E$5:$E$1276,"Third"),"")</f>
        <v/>
      </c>
      <c r="Q442" s="48" t="n">
        <f aca="false">IF(H442&lt;&gt;"Eligible","",IF(O442="Yes",IF(ISNUMBER(P442),ROUND(AVERAGE(L442,M442,P442),1),""),IF(O442="No",ROUND(AVERAGE(L442:M442),1),"")))</f>
        <v>51</v>
      </c>
      <c r="R442" s="37" t="str">
        <f aca="false">IF(H442&lt;&gt;"Eligible","Screened out",IF(COUNT(L442:M442)=0,"Not started",IF(COUNT(L442:M442)=1,"One read done",IF(O442="Yes",IF(ISNUMBER(P442),"Complete","Needs third read"),"Complete"))))</f>
        <v>Complete</v>
      </c>
      <c r="S442" s="37" t="n">
        <f aca="false">IF(Q442="","",COUNTIFS($C$5:$C$600,C442,$Q$5:$Q$600,"&gt;"&amp;Q442)+1)</f>
        <v>95</v>
      </c>
      <c r="T442" s="37" t="str">
        <f aca="false">IF(Q442="","",IF(Q442&gt;=Cutoff,"Yes","No"))</f>
        <v>No</v>
      </c>
      <c r="U442" s="49" t="n">
        <f aca="false">IF(T442="Yes",MIN(F442,INDEX(Settings!$G:$G,MATCH(C442,Settings!$E:$E,0))),0)</f>
        <v>0</v>
      </c>
      <c r="V442" s="49" t="str">
        <f aca="false">IF(T442="Yes",SUMIFS($U$5:$U$600,$C$5:$C$600,C442,$Q$5:$Q$600,"&gt;"&amp;Q442)+U442,"")</f>
        <v/>
      </c>
      <c r="W442" s="37" t="str">
        <f aca="false">IF(T442="Yes",IF(V442&lt;=INDEX(PoolList,MATCH(C442,ProgramList,0)),"Within pool","Over pool"),"")</f>
        <v/>
      </c>
      <c r="X442" s="37" t="str">
        <f aca="false">IF(O442="Yes",COUNTIF($O$5:O442,"Yes"),"")</f>
        <v/>
      </c>
    </row>
    <row r="443" customFormat="false" ht="15" hidden="false" customHeight="false" outlineLevel="0" collapsed="false">
      <c r="A443" s="35" t="s">
        <v>1069</v>
      </c>
      <c r="B443" s="35" t="s">
        <v>1070</v>
      </c>
      <c r="C443" s="35" t="s">
        <v>105</v>
      </c>
      <c r="D443" s="35" t="s">
        <v>174</v>
      </c>
      <c r="E443" s="35" t="s">
        <v>175</v>
      </c>
      <c r="F443" s="42" t="n">
        <v>34500</v>
      </c>
      <c r="G443" s="36" t="n">
        <v>45911</v>
      </c>
      <c r="H443" s="35" t="s">
        <v>54</v>
      </c>
      <c r="I443" s="35" t="s">
        <v>82</v>
      </c>
      <c r="J443" s="35" t="s">
        <v>88</v>
      </c>
      <c r="K443" s="35" t="s">
        <v>78</v>
      </c>
      <c r="L443" s="48" t="n">
        <f aca="false">IFERROR(AVERAGEIFS('Score Entry'!$M$5:$M$1276,'Score Entry'!$B$5:$B$1276,A443,'Score Entry'!$E$5:$E$1276,"Primary"),"")</f>
        <v>66</v>
      </c>
      <c r="M443" s="48" t="n">
        <f aca="false">IFERROR(AVERAGEIFS('Score Entry'!$M$5:$M$1276,'Score Entry'!$B$5:$B$1276,A443,'Score Entry'!$E$5:$E$1276,"Secondary"),"")</f>
        <v>30</v>
      </c>
      <c r="N443" s="48" t="n">
        <f aca="false">IF(COUNT(L443:M443)=2,ABS(L443-M443),"")</f>
        <v>36</v>
      </c>
      <c r="O443" s="37" t="str">
        <f aca="false">IF(N443="","",IF(N443&gt;=Threshold,"Yes","No"))</f>
        <v>Yes</v>
      </c>
      <c r="P443" s="48" t="n">
        <f aca="false">IFERROR(AVERAGEIFS('Score Entry'!$M$5:$M$1276,'Score Entry'!$B$5:$B$1276,A443,'Score Entry'!$E$5:$E$1276,"Third"),"")</f>
        <v>60</v>
      </c>
      <c r="Q443" s="48" t="n">
        <f aca="false">IF(H443&lt;&gt;"Eligible","",IF(O443="Yes",IF(ISNUMBER(P443),ROUND(AVERAGE(L443,M443,P443),1),""),IF(O443="No",ROUND(AVERAGE(L443:M443),1),"")))</f>
        <v>52</v>
      </c>
      <c r="R443" s="37" t="str">
        <f aca="false">IF(H443&lt;&gt;"Eligible","Screened out",IF(COUNT(L443:M443)=0,"Not started",IF(COUNT(L443:M443)=1,"One read done",IF(O443="Yes",IF(ISNUMBER(P443),"Complete","Needs third read"),"Complete"))))</f>
        <v>Complete</v>
      </c>
      <c r="S443" s="37" t="n">
        <f aca="false">IF(Q443="","",COUNTIFS($C$5:$C$600,C443,$Q$5:$Q$600,"&gt;"&amp;Q443)+1)</f>
        <v>88</v>
      </c>
      <c r="T443" s="37" t="str">
        <f aca="false">IF(Q443="","",IF(Q443&gt;=Cutoff,"Yes","No"))</f>
        <v>No</v>
      </c>
      <c r="U443" s="49" t="n">
        <f aca="false">IF(T443="Yes",MIN(F443,INDEX(Settings!$G:$G,MATCH(C443,Settings!$E:$E,0))),0)</f>
        <v>0</v>
      </c>
      <c r="V443" s="49" t="str">
        <f aca="false">IF(T443="Yes",SUMIFS($U$5:$U$600,$C$5:$C$600,C443,$Q$5:$Q$600,"&gt;"&amp;Q443)+U443,"")</f>
        <v/>
      </c>
      <c r="W443" s="37" t="str">
        <f aca="false">IF(T443="Yes",IF(V443&lt;=INDEX(PoolList,MATCH(C443,ProgramList,0)),"Within pool","Over pool"),"")</f>
        <v/>
      </c>
      <c r="X443" s="37" t="n">
        <f aca="false">IF(O443="Yes",COUNTIF($O$5:O443,"Yes"),"")</f>
        <v>54</v>
      </c>
    </row>
    <row r="444" customFormat="false" ht="15" hidden="false" customHeight="false" outlineLevel="0" collapsed="false">
      <c r="A444" s="35" t="s">
        <v>1071</v>
      </c>
      <c r="B444" s="35" t="s">
        <v>1072</v>
      </c>
      <c r="C444" s="35" t="s">
        <v>106</v>
      </c>
      <c r="D444" s="35" t="s">
        <v>174</v>
      </c>
      <c r="E444" s="35" t="s">
        <v>175</v>
      </c>
      <c r="F444" s="42" t="n">
        <v>138500</v>
      </c>
      <c r="G444" s="36" t="n">
        <v>45924</v>
      </c>
      <c r="H444" s="35" t="s">
        <v>54</v>
      </c>
      <c r="I444" s="35" t="s">
        <v>91</v>
      </c>
      <c r="J444" s="35" t="s">
        <v>78</v>
      </c>
      <c r="K444" s="35"/>
      <c r="L444" s="48" t="n">
        <f aca="false">IFERROR(AVERAGEIFS('Score Entry'!$M$5:$M$1276,'Score Entry'!$B$5:$B$1276,A444,'Score Entry'!$E$5:$E$1276,"Primary"),"")</f>
        <v>51</v>
      </c>
      <c r="M444" s="48" t="n">
        <f aca="false">IFERROR(AVERAGEIFS('Score Entry'!$M$5:$M$1276,'Score Entry'!$B$5:$B$1276,A444,'Score Entry'!$E$5:$E$1276,"Secondary"),"")</f>
        <v>57</v>
      </c>
      <c r="N444" s="48" t="n">
        <f aca="false">IF(COUNT(L444:M444)=2,ABS(L444-M444),"")</f>
        <v>6</v>
      </c>
      <c r="O444" s="37" t="str">
        <f aca="false">IF(N444="","",IF(N444&gt;=Threshold,"Yes","No"))</f>
        <v>No</v>
      </c>
      <c r="P444" s="48" t="str">
        <f aca="false">IFERROR(AVERAGEIFS('Score Entry'!$M$5:$M$1276,'Score Entry'!$B$5:$B$1276,A444,'Score Entry'!$E$5:$E$1276,"Third"),"")</f>
        <v/>
      </c>
      <c r="Q444" s="48" t="n">
        <f aca="false">IF(H444&lt;&gt;"Eligible","",IF(O444="Yes",IF(ISNUMBER(P444),ROUND(AVERAGE(L444,M444,P444),1),""),IF(O444="No",ROUND(AVERAGE(L444:M444),1),"")))</f>
        <v>54</v>
      </c>
      <c r="R444" s="37" t="str">
        <f aca="false">IF(H444&lt;&gt;"Eligible","Screened out",IF(COUNT(L444:M444)=0,"Not started",IF(COUNT(L444:M444)=1,"One read done",IF(O444="Yes",IF(ISNUMBER(P444),"Complete","Needs third read"),"Complete"))))</f>
        <v>Complete</v>
      </c>
      <c r="S444" s="37" t="n">
        <f aca="false">IF(Q444="","",COUNTIFS($C$5:$C$600,C444,$Q$5:$Q$600,"&gt;"&amp;Q444)+1)</f>
        <v>100</v>
      </c>
      <c r="T444" s="37" t="str">
        <f aca="false">IF(Q444="","",IF(Q444&gt;=Cutoff,"Yes","No"))</f>
        <v>No</v>
      </c>
      <c r="U444" s="49" t="n">
        <f aca="false">IF(T444="Yes",MIN(F444,INDEX(Settings!$G:$G,MATCH(C444,Settings!$E:$E,0))),0)</f>
        <v>0</v>
      </c>
      <c r="V444" s="49" t="str">
        <f aca="false">IF(T444="Yes",SUMIFS($U$5:$U$600,$C$5:$C$600,C444,$Q$5:$Q$600,"&gt;"&amp;Q444)+U444,"")</f>
        <v/>
      </c>
      <c r="W444" s="37" t="str">
        <f aca="false">IF(T444="Yes",IF(V444&lt;=INDEX(PoolList,MATCH(C444,ProgramList,0)),"Within pool","Over pool"),"")</f>
        <v/>
      </c>
      <c r="X444" s="37" t="str">
        <f aca="false">IF(O444="Yes",COUNTIF($O$5:O444,"Yes"),"")</f>
        <v/>
      </c>
    </row>
    <row r="445" customFormat="false" ht="15" hidden="false" customHeight="false" outlineLevel="0" collapsed="false">
      <c r="A445" s="35" t="s">
        <v>1073</v>
      </c>
      <c r="B445" s="35" t="s">
        <v>1074</v>
      </c>
      <c r="C445" s="35" t="s">
        <v>103</v>
      </c>
      <c r="D445" s="35" t="s">
        <v>174</v>
      </c>
      <c r="E445" s="35" t="s">
        <v>175</v>
      </c>
      <c r="F445" s="42" t="n">
        <v>74500</v>
      </c>
      <c r="G445" s="36" t="n">
        <v>45927</v>
      </c>
      <c r="H445" s="35" t="s">
        <v>54</v>
      </c>
      <c r="I445" s="35" t="s">
        <v>85</v>
      </c>
      <c r="J445" s="35" t="s">
        <v>78</v>
      </c>
      <c r="K445" s="35"/>
      <c r="L445" s="48" t="n">
        <f aca="false">IFERROR(AVERAGEIFS('Score Entry'!$M$5:$M$1276,'Score Entry'!$B$5:$B$1276,A445,'Score Entry'!$E$5:$E$1276,"Primary"),"")</f>
        <v>80</v>
      </c>
      <c r="M445" s="48" t="n">
        <f aca="false">IFERROR(AVERAGEIFS('Score Entry'!$M$5:$M$1276,'Score Entry'!$B$5:$B$1276,A445,'Score Entry'!$E$5:$E$1276,"Secondary"),"")</f>
        <v>74</v>
      </c>
      <c r="N445" s="48" t="n">
        <f aca="false">IF(COUNT(L445:M445)=2,ABS(L445-M445),"")</f>
        <v>6</v>
      </c>
      <c r="O445" s="37" t="str">
        <f aca="false">IF(N445="","",IF(N445&gt;=Threshold,"Yes","No"))</f>
        <v>No</v>
      </c>
      <c r="P445" s="48" t="str">
        <f aca="false">IFERROR(AVERAGEIFS('Score Entry'!$M$5:$M$1276,'Score Entry'!$B$5:$B$1276,A445,'Score Entry'!$E$5:$E$1276,"Third"),"")</f>
        <v/>
      </c>
      <c r="Q445" s="48" t="n">
        <f aca="false">IF(H445&lt;&gt;"Eligible","",IF(O445="Yes",IF(ISNUMBER(P445),ROUND(AVERAGE(L445,M445,P445),1),""),IF(O445="No",ROUND(AVERAGE(L445:M445),1),"")))</f>
        <v>77</v>
      </c>
      <c r="R445" s="37" t="str">
        <f aca="false">IF(H445&lt;&gt;"Eligible","Screened out",IF(COUNT(L445:M445)=0,"Not started",IF(COUNT(L445:M445)=1,"One read done",IF(O445="Yes",IF(ISNUMBER(P445),"Complete","Needs third read"),"Complete"))))</f>
        <v>Complete</v>
      </c>
      <c r="S445" s="37" t="n">
        <f aca="false">IF(Q445="","",COUNTIFS($C$5:$C$600,C445,$Q$5:$Q$600,"&gt;"&amp;Q445)+1)</f>
        <v>29</v>
      </c>
      <c r="T445" s="37" t="str">
        <f aca="false">IF(Q445="","",IF(Q445&gt;=Cutoff,"Yes","No"))</f>
        <v>No</v>
      </c>
      <c r="U445" s="49" t="n">
        <f aca="false">IF(T445="Yes",MIN(F445,INDEX(Settings!$G:$G,MATCH(C445,Settings!$E:$E,0))),0)</f>
        <v>0</v>
      </c>
      <c r="V445" s="49" t="str">
        <f aca="false">IF(T445="Yes",SUMIFS($U$5:$U$600,$C$5:$C$600,C445,$Q$5:$Q$600,"&gt;"&amp;Q445)+U445,"")</f>
        <v/>
      </c>
      <c r="W445" s="37" t="str">
        <f aca="false">IF(T445="Yes",IF(V445&lt;=INDEX(PoolList,MATCH(C445,ProgramList,0)),"Within pool","Over pool"),"")</f>
        <v/>
      </c>
      <c r="X445" s="37" t="str">
        <f aca="false">IF(O445="Yes",COUNTIF($O$5:O445,"Yes"),"")</f>
        <v/>
      </c>
    </row>
    <row r="446" customFormat="false" ht="15" hidden="false" customHeight="false" outlineLevel="0" collapsed="false">
      <c r="A446" s="35" t="s">
        <v>1075</v>
      </c>
      <c r="B446" s="35" t="s">
        <v>1076</v>
      </c>
      <c r="C446" s="35" t="s">
        <v>106</v>
      </c>
      <c r="D446" s="35" t="s">
        <v>174</v>
      </c>
      <c r="E446" s="35" t="s">
        <v>175</v>
      </c>
      <c r="F446" s="42" t="n">
        <v>53500</v>
      </c>
      <c r="G446" s="36" t="n">
        <v>45927</v>
      </c>
      <c r="H446" s="35" t="s">
        <v>54</v>
      </c>
      <c r="I446" s="35" t="s">
        <v>85</v>
      </c>
      <c r="J446" s="35" t="s">
        <v>91</v>
      </c>
      <c r="K446" s="35"/>
      <c r="L446" s="48" t="n">
        <f aca="false">IFERROR(AVERAGEIFS('Score Entry'!$M$5:$M$1276,'Score Entry'!$B$5:$B$1276,A446,'Score Entry'!$E$5:$E$1276,"Primary"),"")</f>
        <v>78</v>
      </c>
      <c r="M446" s="48" t="str">
        <f aca="false">IFERROR(AVERAGEIFS('Score Entry'!$M$5:$M$1276,'Score Entry'!$B$5:$B$1276,A446,'Score Entry'!$E$5:$E$1276,"Secondary"),"")</f>
        <v/>
      </c>
      <c r="N446" s="48" t="str">
        <f aca="false">IF(COUNT(L446:M446)=2,ABS(L446-M446),"")</f>
        <v/>
      </c>
      <c r="O446" s="37" t="str">
        <f aca="false">IF(N446="","",IF(N446&gt;=Threshold,"Yes","No"))</f>
        <v/>
      </c>
      <c r="P446" s="48" t="str">
        <f aca="false">IFERROR(AVERAGEIFS('Score Entry'!$M$5:$M$1276,'Score Entry'!$B$5:$B$1276,A446,'Score Entry'!$E$5:$E$1276,"Third"),"")</f>
        <v/>
      </c>
      <c r="Q446" s="48" t="str">
        <f aca="false">IF(H446&lt;&gt;"Eligible","",IF(O446="Yes",IF(ISNUMBER(P446),ROUND(AVERAGE(L446,M446,P446),1),""),IF(O446="No",ROUND(AVERAGE(L446:M446),1),"")))</f>
        <v/>
      </c>
      <c r="R446" s="37" t="str">
        <f aca="false">IF(H446&lt;&gt;"Eligible","Screened out",IF(COUNT(L446:M446)=0,"Not started",IF(COUNT(L446:M446)=1,"One read done",IF(O446="Yes",IF(ISNUMBER(P446),"Complete","Needs third read"),"Complete"))))</f>
        <v>One read done</v>
      </c>
      <c r="S446" s="37" t="str">
        <f aca="false">IF(Q446="","",COUNTIFS($C$5:$C$600,C446,$Q$5:$Q$600,"&gt;"&amp;Q446)+1)</f>
        <v/>
      </c>
      <c r="T446" s="37" t="str">
        <f aca="false">IF(Q446="","",IF(Q446&gt;=Cutoff,"Yes","No"))</f>
        <v/>
      </c>
      <c r="U446" s="49" t="n">
        <f aca="false">IF(T446="Yes",MIN(F446,INDEX(Settings!$G:$G,MATCH(C446,Settings!$E:$E,0))),0)</f>
        <v>0</v>
      </c>
      <c r="V446" s="49" t="str">
        <f aca="false">IF(T446="Yes",SUMIFS($U$5:$U$600,$C$5:$C$600,C446,$Q$5:$Q$600,"&gt;"&amp;Q446)+U446,"")</f>
        <v/>
      </c>
      <c r="W446" s="37" t="str">
        <f aca="false">IF(T446="Yes",IF(V446&lt;=INDEX(PoolList,MATCH(C446,ProgramList,0)),"Within pool","Over pool"),"")</f>
        <v/>
      </c>
      <c r="X446" s="37" t="str">
        <f aca="false">IF(O446="Yes",COUNTIF($O$5:O446,"Yes"),"")</f>
        <v/>
      </c>
    </row>
    <row r="447" customFormat="false" ht="15" hidden="false" customHeight="false" outlineLevel="0" collapsed="false">
      <c r="A447" s="35" t="s">
        <v>1077</v>
      </c>
      <c r="B447" s="35" t="s">
        <v>1078</v>
      </c>
      <c r="C447" s="35" t="s">
        <v>106</v>
      </c>
      <c r="D447" s="35" t="s">
        <v>180</v>
      </c>
      <c r="E447" s="35" t="s">
        <v>181</v>
      </c>
      <c r="F447" s="42" t="n">
        <v>140000</v>
      </c>
      <c r="G447" s="36" t="n">
        <v>45926</v>
      </c>
      <c r="H447" s="35" t="s">
        <v>54</v>
      </c>
      <c r="I447" s="35" t="s">
        <v>88</v>
      </c>
      <c r="J447" s="35" t="s">
        <v>94</v>
      </c>
      <c r="K447" s="35" t="s">
        <v>82</v>
      </c>
      <c r="L447" s="48" t="n">
        <f aca="false">IFERROR(AVERAGEIFS('Score Entry'!$M$5:$M$1276,'Score Entry'!$B$5:$B$1276,A447,'Score Entry'!$E$5:$E$1276,"Primary"),"")</f>
        <v>23</v>
      </c>
      <c r="M447" s="48" t="n">
        <f aca="false">IFERROR(AVERAGEIFS('Score Entry'!$M$5:$M$1276,'Score Entry'!$B$5:$B$1276,A447,'Score Entry'!$E$5:$E$1276,"Secondary"),"")</f>
        <v>43</v>
      </c>
      <c r="N447" s="48" t="n">
        <f aca="false">IF(COUNT(L447:M447)=2,ABS(L447-M447),"")</f>
        <v>20</v>
      </c>
      <c r="O447" s="37" t="str">
        <f aca="false">IF(N447="","",IF(N447&gt;=Threshold,"Yes","No"))</f>
        <v>Yes</v>
      </c>
      <c r="P447" s="48" t="str">
        <f aca="false">IFERROR(AVERAGEIFS('Score Entry'!$M$5:$M$1276,'Score Entry'!$B$5:$B$1276,A447,'Score Entry'!$E$5:$E$1276,"Third"),"")</f>
        <v/>
      </c>
      <c r="Q447" s="48" t="str">
        <f aca="false">IF(H447&lt;&gt;"Eligible","",IF(O447="Yes",IF(ISNUMBER(P447),ROUND(AVERAGE(L447,M447,P447),1),""),IF(O447="No",ROUND(AVERAGE(L447:M447),1),"")))</f>
        <v/>
      </c>
      <c r="R447" s="37" t="str">
        <f aca="false">IF(H447&lt;&gt;"Eligible","Screened out",IF(COUNT(L447:M447)=0,"Not started",IF(COUNT(L447:M447)=1,"One read done",IF(O447="Yes",IF(ISNUMBER(P447),"Complete","Needs third read"),"Complete"))))</f>
        <v>Needs third read</v>
      </c>
      <c r="S447" s="37" t="str">
        <f aca="false">IF(Q447="","",COUNTIFS($C$5:$C$600,C447,$Q$5:$Q$600,"&gt;"&amp;Q447)+1)</f>
        <v/>
      </c>
      <c r="T447" s="37" t="str">
        <f aca="false">IF(Q447="","",IF(Q447&gt;=Cutoff,"Yes","No"))</f>
        <v/>
      </c>
      <c r="U447" s="49" t="n">
        <f aca="false">IF(T447="Yes",MIN(F447,INDEX(Settings!$G:$G,MATCH(C447,Settings!$E:$E,0))),0)</f>
        <v>0</v>
      </c>
      <c r="V447" s="49" t="str">
        <f aca="false">IF(T447="Yes",SUMIFS($U$5:$U$600,$C$5:$C$600,C447,$Q$5:$Q$600,"&gt;"&amp;Q447)+U447,"")</f>
        <v/>
      </c>
      <c r="W447" s="37" t="str">
        <f aca="false">IF(T447="Yes",IF(V447&lt;=INDEX(PoolList,MATCH(C447,ProgramList,0)),"Within pool","Over pool"),"")</f>
        <v/>
      </c>
      <c r="X447" s="37" t="n">
        <f aca="false">IF(O447="Yes",COUNTIF($O$5:O447,"Yes"),"")</f>
        <v>55</v>
      </c>
    </row>
    <row r="448" customFormat="false" ht="15" hidden="false" customHeight="false" outlineLevel="0" collapsed="false">
      <c r="A448" s="35" t="s">
        <v>1079</v>
      </c>
      <c r="B448" s="35" t="s">
        <v>1080</v>
      </c>
      <c r="C448" s="35" t="s">
        <v>103</v>
      </c>
      <c r="D448" s="35" t="s">
        <v>174</v>
      </c>
      <c r="E448" s="35" t="s">
        <v>175</v>
      </c>
      <c r="F448" s="42" t="n">
        <v>66500</v>
      </c>
      <c r="G448" s="36" t="n">
        <v>45919</v>
      </c>
      <c r="H448" s="35" t="s">
        <v>54</v>
      </c>
      <c r="I448" s="35" t="s">
        <v>82</v>
      </c>
      <c r="J448" s="35" t="s">
        <v>85</v>
      </c>
      <c r="K448" s="35" t="s">
        <v>88</v>
      </c>
      <c r="L448" s="48" t="n">
        <f aca="false">IFERROR(AVERAGEIFS('Score Entry'!$M$5:$M$1276,'Score Entry'!$B$5:$B$1276,A448,'Score Entry'!$E$5:$E$1276,"Primary"),"")</f>
        <v>37</v>
      </c>
      <c r="M448" s="48" t="n">
        <f aca="false">IFERROR(AVERAGEIFS('Score Entry'!$M$5:$M$1276,'Score Entry'!$B$5:$B$1276,A448,'Score Entry'!$E$5:$E$1276,"Secondary"),"")</f>
        <v>60</v>
      </c>
      <c r="N448" s="48" t="n">
        <f aca="false">IF(COUNT(L448:M448)=2,ABS(L448-M448),"")</f>
        <v>23</v>
      </c>
      <c r="O448" s="37" t="str">
        <f aca="false">IF(N448="","",IF(N448&gt;=Threshold,"Yes","No"))</f>
        <v>Yes</v>
      </c>
      <c r="P448" s="48" t="n">
        <f aca="false">IFERROR(AVERAGEIFS('Score Entry'!$M$5:$M$1276,'Score Entry'!$B$5:$B$1276,A448,'Score Entry'!$E$5:$E$1276,"Third"),"")</f>
        <v>47</v>
      </c>
      <c r="Q448" s="48" t="n">
        <f aca="false">IF(H448&lt;&gt;"Eligible","",IF(O448="Yes",IF(ISNUMBER(P448),ROUND(AVERAGE(L448,M448,P448),1),""),IF(O448="No",ROUND(AVERAGE(L448:M448),1),"")))</f>
        <v>48</v>
      </c>
      <c r="R448" s="37" t="str">
        <f aca="false">IF(H448&lt;&gt;"Eligible","Screened out",IF(COUNT(L448:M448)=0,"Not started",IF(COUNT(L448:M448)=1,"One read done",IF(O448="Yes",IF(ISNUMBER(P448),"Complete","Needs third read"),"Complete"))))</f>
        <v>Complete</v>
      </c>
      <c r="S448" s="37" t="n">
        <f aca="false">IF(Q448="","",COUNTIFS($C$5:$C$600,C448,$Q$5:$Q$600,"&gt;"&amp;Q448)+1)</f>
        <v>154</v>
      </c>
      <c r="T448" s="37" t="str">
        <f aca="false">IF(Q448="","",IF(Q448&gt;=Cutoff,"Yes","No"))</f>
        <v>No</v>
      </c>
      <c r="U448" s="49" t="n">
        <f aca="false">IF(T448="Yes",MIN(F448,INDEX(Settings!$G:$G,MATCH(C448,Settings!$E:$E,0))),0)</f>
        <v>0</v>
      </c>
      <c r="V448" s="49" t="str">
        <f aca="false">IF(T448="Yes",SUMIFS($U$5:$U$600,$C$5:$C$600,C448,$Q$5:$Q$600,"&gt;"&amp;Q448)+U448,"")</f>
        <v/>
      </c>
      <c r="W448" s="37" t="str">
        <f aca="false">IF(T448="Yes",IF(V448&lt;=INDEX(PoolList,MATCH(C448,ProgramList,0)),"Within pool","Over pool"),"")</f>
        <v/>
      </c>
      <c r="X448" s="37" t="n">
        <f aca="false">IF(O448="Yes",COUNTIF($O$5:O448,"Yes"),"")</f>
        <v>56</v>
      </c>
    </row>
    <row r="449" customFormat="false" ht="15" hidden="false" customHeight="false" outlineLevel="0" collapsed="false">
      <c r="A449" s="35" t="s">
        <v>1081</v>
      </c>
      <c r="B449" s="35" t="s">
        <v>1082</v>
      </c>
      <c r="C449" s="35" t="s">
        <v>106</v>
      </c>
      <c r="D449" s="35" t="s">
        <v>180</v>
      </c>
      <c r="E449" s="35" t="s">
        <v>218</v>
      </c>
      <c r="F449" s="42" t="n">
        <v>78000</v>
      </c>
      <c r="G449" s="36" t="n">
        <v>45927</v>
      </c>
      <c r="H449" s="35" t="s">
        <v>54</v>
      </c>
      <c r="I449" s="35" t="s">
        <v>88</v>
      </c>
      <c r="J449" s="35" t="s">
        <v>94</v>
      </c>
      <c r="K449" s="35"/>
      <c r="L449" s="48" t="n">
        <f aca="false">IFERROR(AVERAGEIFS('Score Entry'!$M$5:$M$1276,'Score Entry'!$B$5:$B$1276,A449,'Score Entry'!$E$5:$E$1276,"Primary"),"")</f>
        <v>66</v>
      </c>
      <c r="M449" s="48" t="n">
        <f aca="false">IFERROR(AVERAGEIFS('Score Entry'!$M$5:$M$1276,'Score Entry'!$B$5:$B$1276,A449,'Score Entry'!$E$5:$E$1276,"Secondary"),"")</f>
        <v>72</v>
      </c>
      <c r="N449" s="48" t="n">
        <f aca="false">IF(COUNT(L449:M449)=2,ABS(L449-M449),"")</f>
        <v>6</v>
      </c>
      <c r="O449" s="37" t="str">
        <f aca="false">IF(N449="","",IF(N449&gt;=Threshold,"Yes","No"))</f>
        <v>No</v>
      </c>
      <c r="P449" s="48" t="str">
        <f aca="false">IFERROR(AVERAGEIFS('Score Entry'!$M$5:$M$1276,'Score Entry'!$B$5:$B$1276,A449,'Score Entry'!$E$5:$E$1276,"Third"),"")</f>
        <v/>
      </c>
      <c r="Q449" s="48" t="n">
        <f aca="false">IF(H449&lt;&gt;"Eligible","",IF(O449="Yes",IF(ISNUMBER(P449),ROUND(AVERAGE(L449,M449,P449),1),""),IF(O449="No",ROUND(AVERAGE(L449:M449),1),"")))</f>
        <v>69</v>
      </c>
      <c r="R449" s="37" t="str">
        <f aca="false">IF(H449&lt;&gt;"Eligible","Screened out",IF(COUNT(L449:M449)=0,"Not started",IF(COUNT(L449:M449)=1,"One read done",IF(O449="Yes",IF(ISNUMBER(P449),"Complete","Needs third read"),"Complete"))))</f>
        <v>Complete</v>
      </c>
      <c r="S449" s="37" t="n">
        <f aca="false">IF(Q449="","",COUNTIFS($C$5:$C$600,C449,$Q$5:$Q$600,"&gt;"&amp;Q449)+1)</f>
        <v>56</v>
      </c>
      <c r="T449" s="37" t="str">
        <f aca="false">IF(Q449="","",IF(Q449&gt;=Cutoff,"Yes","No"))</f>
        <v>No</v>
      </c>
      <c r="U449" s="49" t="n">
        <f aca="false">IF(T449="Yes",MIN(F449,INDEX(Settings!$G:$G,MATCH(C449,Settings!$E:$E,0))),0)</f>
        <v>0</v>
      </c>
      <c r="V449" s="49" t="str">
        <f aca="false">IF(T449="Yes",SUMIFS($U$5:$U$600,$C$5:$C$600,C449,$Q$5:$Q$600,"&gt;"&amp;Q449)+U449,"")</f>
        <v/>
      </c>
      <c r="W449" s="37" t="str">
        <f aca="false">IF(T449="Yes",IF(V449&lt;=INDEX(PoolList,MATCH(C449,ProgramList,0)),"Within pool","Over pool"),"")</f>
        <v/>
      </c>
      <c r="X449" s="37" t="str">
        <f aca="false">IF(O449="Yes",COUNTIF($O$5:O449,"Yes"),"")</f>
        <v/>
      </c>
    </row>
    <row r="450" customFormat="false" ht="15" hidden="false" customHeight="false" outlineLevel="0" collapsed="false">
      <c r="A450" s="35" t="s">
        <v>1083</v>
      </c>
      <c r="B450" s="35" t="s">
        <v>1084</v>
      </c>
      <c r="C450" s="35" t="s">
        <v>104</v>
      </c>
      <c r="D450" s="35" t="s">
        <v>174</v>
      </c>
      <c r="E450" s="35" t="s">
        <v>175</v>
      </c>
      <c r="F450" s="42" t="n">
        <v>59000</v>
      </c>
      <c r="G450" s="36" t="n">
        <v>45918</v>
      </c>
      <c r="H450" s="35" t="s">
        <v>54</v>
      </c>
      <c r="I450" s="35" t="s">
        <v>82</v>
      </c>
      <c r="J450" s="35" t="s">
        <v>78</v>
      </c>
      <c r="K450" s="35"/>
      <c r="L450" s="48" t="n">
        <f aca="false">IFERROR(AVERAGEIFS('Score Entry'!$M$5:$M$1276,'Score Entry'!$B$5:$B$1276,A450,'Score Entry'!$E$5:$E$1276,"Primary"),"")</f>
        <v>73</v>
      </c>
      <c r="M450" s="48" t="n">
        <f aca="false">IFERROR(AVERAGEIFS('Score Entry'!$M$5:$M$1276,'Score Entry'!$B$5:$B$1276,A450,'Score Entry'!$E$5:$E$1276,"Secondary"),"")</f>
        <v>82</v>
      </c>
      <c r="N450" s="48" t="n">
        <f aca="false">IF(COUNT(L450:M450)=2,ABS(L450-M450),"")</f>
        <v>9</v>
      </c>
      <c r="O450" s="37" t="str">
        <f aca="false">IF(N450="","",IF(N450&gt;=Threshold,"Yes","No"))</f>
        <v>No</v>
      </c>
      <c r="P450" s="48" t="str">
        <f aca="false">IFERROR(AVERAGEIFS('Score Entry'!$M$5:$M$1276,'Score Entry'!$B$5:$B$1276,A450,'Score Entry'!$E$5:$E$1276,"Third"),"")</f>
        <v/>
      </c>
      <c r="Q450" s="48" t="n">
        <f aca="false">IF(H450&lt;&gt;"Eligible","",IF(O450="Yes",IF(ISNUMBER(P450),ROUND(AVERAGE(L450,M450,P450),1),""),IF(O450="No",ROUND(AVERAGE(L450:M450),1),"")))</f>
        <v>77.5</v>
      </c>
      <c r="R450" s="37" t="str">
        <f aca="false">IF(H450&lt;&gt;"Eligible","Screened out",IF(COUNT(L450:M450)=0,"Not started",IF(COUNT(L450:M450)=1,"One read done",IF(O450="Yes",IF(ISNUMBER(P450),"Complete","Needs third read"),"Complete"))))</f>
        <v>Complete</v>
      </c>
      <c r="S450" s="37" t="n">
        <f aca="false">IF(Q450="","",COUNTIFS($C$5:$C$600,C450,$Q$5:$Q$600,"&gt;"&amp;Q450)+1)</f>
        <v>29</v>
      </c>
      <c r="T450" s="37" t="str">
        <f aca="false">IF(Q450="","",IF(Q450&gt;=Cutoff,"Yes","No"))</f>
        <v>No</v>
      </c>
      <c r="U450" s="49" t="n">
        <f aca="false">IF(T450="Yes",MIN(F450,INDEX(Settings!$G:$G,MATCH(C450,Settings!$E:$E,0))),0)</f>
        <v>0</v>
      </c>
      <c r="V450" s="49" t="str">
        <f aca="false">IF(T450="Yes",SUMIFS($U$5:$U$600,$C$5:$C$600,C450,$Q$5:$Q$600,"&gt;"&amp;Q450)+U450,"")</f>
        <v/>
      </c>
      <c r="W450" s="37" t="str">
        <f aca="false">IF(T450="Yes",IF(V450&lt;=INDEX(PoolList,MATCH(C450,ProgramList,0)),"Within pool","Over pool"),"")</f>
        <v/>
      </c>
      <c r="X450" s="37" t="str">
        <f aca="false">IF(O450="Yes",COUNTIF($O$5:O450,"Yes"),"")</f>
        <v/>
      </c>
    </row>
    <row r="451" customFormat="false" ht="15" hidden="false" customHeight="false" outlineLevel="0" collapsed="false">
      <c r="A451" s="35" t="s">
        <v>1085</v>
      </c>
      <c r="B451" s="35" t="s">
        <v>1086</v>
      </c>
      <c r="C451" s="35" t="s">
        <v>106</v>
      </c>
      <c r="D451" s="35" t="s">
        <v>174</v>
      </c>
      <c r="E451" s="35" t="s">
        <v>232</v>
      </c>
      <c r="F451" s="42" t="n">
        <v>105500</v>
      </c>
      <c r="G451" s="36" t="n">
        <v>45918</v>
      </c>
      <c r="H451" s="35" t="s">
        <v>54</v>
      </c>
      <c r="I451" s="35" t="s">
        <v>91</v>
      </c>
      <c r="J451" s="35" t="s">
        <v>82</v>
      </c>
      <c r="K451" s="35"/>
      <c r="L451" s="48" t="n">
        <f aca="false">IFERROR(AVERAGEIFS('Score Entry'!$M$5:$M$1276,'Score Entry'!$B$5:$B$1276,A451,'Score Entry'!$E$5:$E$1276,"Primary"),"")</f>
        <v>39</v>
      </c>
      <c r="M451" s="48" t="n">
        <f aca="false">IFERROR(AVERAGEIFS('Score Entry'!$M$5:$M$1276,'Score Entry'!$B$5:$B$1276,A451,'Score Entry'!$E$5:$E$1276,"Secondary"),"")</f>
        <v>35</v>
      </c>
      <c r="N451" s="48" t="n">
        <f aca="false">IF(COUNT(L451:M451)=2,ABS(L451-M451),"")</f>
        <v>4</v>
      </c>
      <c r="O451" s="37" t="str">
        <f aca="false">IF(N451="","",IF(N451&gt;=Threshold,"Yes","No"))</f>
        <v>No</v>
      </c>
      <c r="P451" s="48" t="str">
        <f aca="false">IFERROR(AVERAGEIFS('Score Entry'!$M$5:$M$1276,'Score Entry'!$B$5:$B$1276,A451,'Score Entry'!$E$5:$E$1276,"Third"),"")</f>
        <v/>
      </c>
      <c r="Q451" s="48" t="n">
        <f aca="false">IF(H451&lt;&gt;"Eligible","",IF(O451="Yes",IF(ISNUMBER(P451),ROUND(AVERAGE(L451,M451,P451),1),""),IF(O451="No",ROUND(AVERAGE(L451:M451),1),"")))</f>
        <v>37</v>
      </c>
      <c r="R451" s="37" t="str">
        <f aca="false">IF(H451&lt;&gt;"Eligible","Screened out",IF(COUNT(L451:M451)=0,"Not started",IF(COUNT(L451:M451)=1,"One read done",IF(O451="Yes",IF(ISNUMBER(P451),"Complete","Needs third read"),"Complete"))))</f>
        <v>Complete</v>
      </c>
      <c r="S451" s="37" t="n">
        <f aca="false">IF(Q451="","",COUNTIFS($C$5:$C$600,C451,$Q$5:$Q$600,"&gt;"&amp;Q451)+1)</f>
        <v>122</v>
      </c>
      <c r="T451" s="37" t="str">
        <f aca="false">IF(Q451="","",IF(Q451&gt;=Cutoff,"Yes","No"))</f>
        <v>No</v>
      </c>
      <c r="U451" s="49" t="n">
        <f aca="false">IF(T451="Yes",MIN(F451,INDEX(Settings!$G:$G,MATCH(C451,Settings!$E:$E,0))),0)</f>
        <v>0</v>
      </c>
      <c r="V451" s="49" t="str">
        <f aca="false">IF(T451="Yes",SUMIFS($U$5:$U$600,$C$5:$C$600,C451,$Q$5:$Q$600,"&gt;"&amp;Q451)+U451,"")</f>
        <v/>
      </c>
      <c r="W451" s="37" t="str">
        <f aca="false">IF(T451="Yes",IF(V451&lt;=INDEX(PoolList,MATCH(C451,ProgramList,0)),"Within pool","Over pool"),"")</f>
        <v/>
      </c>
      <c r="X451" s="37" t="str">
        <f aca="false">IF(O451="Yes",COUNTIF($O$5:O451,"Yes"),"")</f>
        <v/>
      </c>
    </row>
    <row r="452" customFormat="false" ht="15" hidden="false" customHeight="false" outlineLevel="0" collapsed="false">
      <c r="A452" s="35" t="s">
        <v>1087</v>
      </c>
      <c r="B452" s="35" t="s">
        <v>1088</v>
      </c>
      <c r="C452" s="35" t="s">
        <v>105</v>
      </c>
      <c r="D452" s="35" t="s">
        <v>174</v>
      </c>
      <c r="E452" s="35" t="s">
        <v>175</v>
      </c>
      <c r="F452" s="42" t="n">
        <v>45000</v>
      </c>
      <c r="G452" s="36" t="n">
        <v>45921</v>
      </c>
      <c r="H452" s="35" t="s">
        <v>96</v>
      </c>
      <c r="I452" s="35"/>
      <c r="J452" s="35"/>
      <c r="K452" s="35"/>
      <c r="L452" s="48" t="str">
        <f aca="false">IFERROR(AVERAGEIFS('Score Entry'!$M$5:$M$1276,'Score Entry'!$B$5:$B$1276,A452,'Score Entry'!$E$5:$E$1276,"Primary"),"")</f>
        <v/>
      </c>
      <c r="M452" s="48" t="str">
        <f aca="false">IFERROR(AVERAGEIFS('Score Entry'!$M$5:$M$1276,'Score Entry'!$B$5:$B$1276,A452,'Score Entry'!$E$5:$E$1276,"Secondary"),"")</f>
        <v/>
      </c>
      <c r="N452" s="48" t="str">
        <f aca="false">IF(COUNT(L452:M452)=2,ABS(L452-M452),"")</f>
        <v/>
      </c>
      <c r="O452" s="37" t="str">
        <f aca="false">IF(N452="","",IF(N452&gt;=Threshold,"Yes","No"))</f>
        <v/>
      </c>
      <c r="P452" s="48" t="str">
        <f aca="false">IFERROR(AVERAGEIFS('Score Entry'!$M$5:$M$1276,'Score Entry'!$B$5:$B$1276,A452,'Score Entry'!$E$5:$E$1276,"Third"),"")</f>
        <v/>
      </c>
      <c r="Q452" s="48" t="str">
        <f aca="false">IF(H452&lt;&gt;"Eligible","",IF(O452="Yes",IF(ISNUMBER(P452),ROUND(AVERAGE(L452,M452,P452),1),""),IF(O452="No",ROUND(AVERAGE(L452:M452),1),"")))</f>
        <v/>
      </c>
      <c r="R452" s="37" t="str">
        <f aca="false">IF(H452&lt;&gt;"Eligible","Screened out",IF(COUNT(L452:M452)=0,"Not started",IF(COUNT(L452:M452)=1,"One read done",IF(O452="Yes",IF(ISNUMBER(P452),"Complete","Needs third read"),"Complete"))))</f>
        <v>Screened out</v>
      </c>
      <c r="S452" s="37" t="str">
        <f aca="false">IF(Q452="","",COUNTIFS($C$5:$C$600,C452,$Q$5:$Q$600,"&gt;"&amp;Q452)+1)</f>
        <v/>
      </c>
      <c r="T452" s="37" t="str">
        <f aca="false">IF(Q452="","",IF(Q452&gt;=Cutoff,"Yes","No"))</f>
        <v/>
      </c>
      <c r="U452" s="49" t="n">
        <f aca="false">IF(T452="Yes",MIN(F452,INDEX(Settings!$G:$G,MATCH(C452,Settings!$E:$E,0))),0)</f>
        <v>0</v>
      </c>
      <c r="V452" s="49" t="str">
        <f aca="false">IF(T452="Yes",SUMIFS($U$5:$U$600,$C$5:$C$600,C452,$Q$5:$Q$600,"&gt;"&amp;Q452)+U452,"")</f>
        <v/>
      </c>
      <c r="W452" s="37" t="str">
        <f aca="false">IF(T452="Yes",IF(V452&lt;=INDEX(PoolList,MATCH(C452,ProgramList,0)),"Within pool","Over pool"),"")</f>
        <v/>
      </c>
      <c r="X452" s="37" t="str">
        <f aca="false">IF(O452="Yes",COUNTIF($O$5:O452,"Yes"),"")</f>
        <v/>
      </c>
    </row>
    <row r="453" customFormat="false" ht="15" hidden="false" customHeight="false" outlineLevel="0" collapsed="false">
      <c r="A453" s="35" t="s">
        <v>1089</v>
      </c>
      <c r="B453" s="35" t="s">
        <v>1090</v>
      </c>
      <c r="C453" s="35" t="s">
        <v>106</v>
      </c>
      <c r="D453" s="35" t="s">
        <v>174</v>
      </c>
      <c r="E453" s="35" t="s">
        <v>175</v>
      </c>
      <c r="F453" s="42" t="n">
        <v>160000</v>
      </c>
      <c r="G453" s="36" t="n">
        <v>45918</v>
      </c>
      <c r="H453" s="35" t="s">
        <v>54</v>
      </c>
      <c r="I453" s="35" t="s">
        <v>85</v>
      </c>
      <c r="J453" s="35" t="s">
        <v>91</v>
      </c>
      <c r="K453" s="35"/>
      <c r="L453" s="48" t="n">
        <f aca="false">IFERROR(AVERAGEIFS('Score Entry'!$M$5:$M$1276,'Score Entry'!$B$5:$B$1276,A453,'Score Entry'!$E$5:$E$1276,"Primary"),"")</f>
        <v>53</v>
      </c>
      <c r="M453" s="48" t="str">
        <f aca="false">IFERROR(AVERAGEIFS('Score Entry'!$M$5:$M$1276,'Score Entry'!$B$5:$B$1276,A453,'Score Entry'!$E$5:$E$1276,"Secondary"),"")</f>
        <v/>
      </c>
      <c r="N453" s="48" t="str">
        <f aca="false">IF(COUNT(L453:M453)=2,ABS(L453-M453),"")</f>
        <v/>
      </c>
      <c r="O453" s="37" t="str">
        <f aca="false">IF(N453="","",IF(N453&gt;=Threshold,"Yes","No"))</f>
        <v/>
      </c>
      <c r="P453" s="48" t="str">
        <f aca="false">IFERROR(AVERAGEIFS('Score Entry'!$M$5:$M$1276,'Score Entry'!$B$5:$B$1276,A453,'Score Entry'!$E$5:$E$1276,"Third"),"")</f>
        <v/>
      </c>
      <c r="Q453" s="48" t="str">
        <f aca="false">IF(H453&lt;&gt;"Eligible","",IF(O453="Yes",IF(ISNUMBER(P453),ROUND(AVERAGE(L453,M453,P453),1),""),IF(O453="No",ROUND(AVERAGE(L453:M453),1),"")))</f>
        <v/>
      </c>
      <c r="R453" s="37" t="str">
        <f aca="false">IF(H453&lt;&gt;"Eligible","Screened out",IF(COUNT(L453:M453)=0,"Not started",IF(COUNT(L453:M453)=1,"One read done",IF(O453="Yes",IF(ISNUMBER(P453),"Complete","Needs third read"),"Complete"))))</f>
        <v>One read done</v>
      </c>
      <c r="S453" s="37" t="str">
        <f aca="false">IF(Q453="","",COUNTIFS($C$5:$C$600,C453,$Q$5:$Q$600,"&gt;"&amp;Q453)+1)</f>
        <v/>
      </c>
      <c r="T453" s="37" t="str">
        <f aca="false">IF(Q453="","",IF(Q453&gt;=Cutoff,"Yes","No"))</f>
        <v/>
      </c>
      <c r="U453" s="49" t="n">
        <f aca="false">IF(T453="Yes",MIN(F453,INDEX(Settings!$G:$G,MATCH(C453,Settings!$E:$E,0))),0)</f>
        <v>0</v>
      </c>
      <c r="V453" s="49" t="str">
        <f aca="false">IF(T453="Yes",SUMIFS($U$5:$U$600,$C$5:$C$600,C453,$Q$5:$Q$600,"&gt;"&amp;Q453)+U453,"")</f>
        <v/>
      </c>
      <c r="W453" s="37" t="str">
        <f aca="false">IF(T453="Yes",IF(V453&lt;=INDEX(PoolList,MATCH(C453,ProgramList,0)),"Within pool","Over pool"),"")</f>
        <v/>
      </c>
      <c r="X453" s="37" t="str">
        <f aca="false">IF(O453="Yes",COUNTIF($O$5:O453,"Yes"),"")</f>
        <v/>
      </c>
    </row>
    <row r="454" customFormat="false" ht="15" hidden="false" customHeight="false" outlineLevel="0" collapsed="false">
      <c r="A454" s="35" t="s">
        <v>1091</v>
      </c>
      <c r="B454" s="35" t="s">
        <v>1092</v>
      </c>
      <c r="C454" s="35" t="s">
        <v>106</v>
      </c>
      <c r="D454" s="35" t="s">
        <v>174</v>
      </c>
      <c r="E454" s="35" t="s">
        <v>175</v>
      </c>
      <c r="F454" s="42" t="n">
        <v>35500</v>
      </c>
      <c r="G454" s="36" t="n">
        <v>45927</v>
      </c>
      <c r="H454" s="35" t="s">
        <v>54</v>
      </c>
      <c r="I454" s="35" t="s">
        <v>88</v>
      </c>
      <c r="J454" s="35" t="s">
        <v>78</v>
      </c>
      <c r="K454" s="35"/>
      <c r="L454" s="48" t="n">
        <f aca="false">IFERROR(AVERAGEIFS('Score Entry'!$M$5:$M$1276,'Score Entry'!$B$5:$B$1276,A454,'Score Entry'!$E$5:$E$1276,"Primary"),"")</f>
        <v>88</v>
      </c>
      <c r="M454" s="48" t="n">
        <f aca="false">IFERROR(AVERAGEIFS('Score Entry'!$M$5:$M$1276,'Score Entry'!$B$5:$B$1276,A454,'Score Entry'!$E$5:$E$1276,"Secondary"),"")</f>
        <v>89</v>
      </c>
      <c r="N454" s="48" t="n">
        <f aca="false">IF(COUNT(L454:M454)=2,ABS(L454-M454),"")</f>
        <v>1</v>
      </c>
      <c r="O454" s="37" t="str">
        <f aca="false">IF(N454="","",IF(N454&gt;=Threshold,"Yes","No"))</f>
        <v>No</v>
      </c>
      <c r="P454" s="48" t="str">
        <f aca="false">IFERROR(AVERAGEIFS('Score Entry'!$M$5:$M$1276,'Score Entry'!$B$5:$B$1276,A454,'Score Entry'!$E$5:$E$1276,"Third"),"")</f>
        <v/>
      </c>
      <c r="Q454" s="48" t="n">
        <f aca="false">IF(H454&lt;&gt;"Eligible","",IF(O454="Yes",IF(ISNUMBER(P454),ROUND(AVERAGE(L454,M454,P454),1),""),IF(O454="No",ROUND(AVERAGE(L454:M454),1),"")))</f>
        <v>88.5</v>
      </c>
      <c r="R454" s="37" t="str">
        <f aca="false">IF(H454&lt;&gt;"Eligible","Screened out",IF(COUNT(L454:M454)=0,"Not started",IF(COUNT(L454:M454)=1,"One read done",IF(O454="Yes",IF(ISNUMBER(P454),"Complete","Needs third read"),"Complete"))))</f>
        <v>Complete</v>
      </c>
      <c r="S454" s="37" t="n">
        <f aca="false">IF(Q454="","",COUNTIFS($C$5:$C$600,C454,$Q$5:$Q$600,"&gt;"&amp;Q454)+1)</f>
        <v>8</v>
      </c>
      <c r="T454" s="37" t="str">
        <f aca="false">IF(Q454="","",IF(Q454&gt;=Cutoff,"Yes","No"))</f>
        <v>Yes</v>
      </c>
      <c r="U454" s="49" t="n">
        <f aca="false">IF(T454="Yes",MIN(F454,INDEX(Settings!$G:$G,MATCH(C454,Settings!$E:$E,0))),0)</f>
        <v>35500</v>
      </c>
      <c r="V454" s="49" t="n">
        <f aca="false">IF(T454="Yes",SUMIFS($U$5:$U$600,$C$5:$C$600,C454,$Q$5:$Q$600,"&gt;"&amp;Q454)+U454,"")</f>
        <v>487000</v>
      </c>
      <c r="W454" s="37" t="str">
        <f aca="false">IF(T454="Yes",IF(V454&lt;=INDEX(PoolList,MATCH(C454,ProgramList,0)),"Within pool","Over pool"),"")</f>
        <v>Within pool</v>
      </c>
      <c r="X454" s="37" t="str">
        <f aca="false">IF(O454="Yes",COUNTIF($O$5:O454,"Yes"),"")</f>
        <v/>
      </c>
    </row>
    <row r="455" customFormat="false" ht="15" hidden="false" customHeight="false" outlineLevel="0" collapsed="false">
      <c r="A455" s="35" t="s">
        <v>1093</v>
      </c>
      <c r="B455" s="35" t="s">
        <v>1094</v>
      </c>
      <c r="C455" s="35" t="s">
        <v>104</v>
      </c>
      <c r="D455" s="35" t="s">
        <v>174</v>
      </c>
      <c r="E455" s="35" t="s">
        <v>175</v>
      </c>
      <c r="F455" s="42" t="n">
        <v>184000</v>
      </c>
      <c r="G455" s="36" t="n">
        <v>45912</v>
      </c>
      <c r="H455" s="35" t="s">
        <v>54</v>
      </c>
      <c r="I455" s="35" t="s">
        <v>85</v>
      </c>
      <c r="J455" s="35" t="s">
        <v>78</v>
      </c>
      <c r="K455" s="35"/>
      <c r="L455" s="48" t="n">
        <f aca="false">IFERROR(AVERAGEIFS('Score Entry'!$M$5:$M$1276,'Score Entry'!$B$5:$B$1276,A455,'Score Entry'!$E$5:$E$1276,"Primary"),"")</f>
        <v>68</v>
      </c>
      <c r="M455" s="48" t="n">
        <f aca="false">IFERROR(AVERAGEIFS('Score Entry'!$M$5:$M$1276,'Score Entry'!$B$5:$B$1276,A455,'Score Entry'!$E$5:$E$1276,"Secondary"),"")</f>
        <v>60</v>
      </c>
      <c r="N455" s="48" t="n">
        <f aca="false">IF(COUNT(L455:M455)=2,ABS(L455-M455),"")</f>
        <v>8</v>
      </c>
      <c r="O455" s="37" t="str">
        <f aca="false">IF(N455="","",IF(N455&gt;=Threshold,"Yes","No"))</f>
        <v>No</v>
      </c>
      <c r="P455" s="48" t="str">
        <f aca="false">IFERROR(AVERAGEIFS('Score Entry'!$M$5:$M$1276,'Score Entry'!$B$5:$B$1276,A455,'Score Entry'!$E$5:$E$1276,"Third"),"")</f>
        <v/>
      </c>
      <c r="Q455" s="48" t="n">
        <f aca="false">IF(H455&lt;&gt;"Eligible","",IF(O455="Yes",IF(ISNUMBER(P455),ROUND(AVERAGE(L455,M455,P455),1),""),IF(O455="No",ROUND(AVERAGE(L455:M455),1),"")))</f>
        <v>64</v>
      </c>
      <c r="R455" s="37" t="str">
        <f aca="false">IF(H455&lt;&gt;"Eligible","Screened out",IF(COUNT(L455:M455)=0,"Not started",IF(COUNT(L455:M455)=1,"One read done",IF(O455="Yes",IF(ISNUMBER(P455),"Complete","Needs third read"),"Complete"))))</f>
        <v>Complete</v>
      </c>
      <c r="S455" s="37" t="n">
        <f aca="false">IF(Q455="","",COUNTIFS($C$5:$C$600,C455,$Q$5:$Q$600,"&gt;"&amp;Q455)+1)</f>
        <v>60</v>
      </c>
      <c r="T455" s="37" t="str">
        <f aca="false">IF(Q455="","",IF(Q455&gt;=Cutoff,"Yes","No"))</f>
        <v>No</v>
      </c>
      <c r="U455" s="49" t="n">
        <f aca="false">IF(T455="Yes",MIN(F455,INDEX(Settings!$G:$G,MATCH(C455,Settings!$E:$E,0))),0)</f>
        <v>0</v>
      </c>
      <c r="V455" s="49" t="str">
        <f aca="false">IF(T455="Yes",SUMIFS($U$5:$U$600,$C$5:$C$600,C455,$Q$5:$Q$600,"&gt;"&amp;Q455)+U455,"")</f>
        <v/>
      </c>
      <c r="W455" s="37" t="str">
        <f aca="false">IF(T455="Yes",IF(V455&lt;=INDEX(PoolList,MATCH(C455,ProgramList,0)),"Within pool","Over pool"),"")</f>
        <v/>
      </c>
      <c r="X455" s="37" t="str">
        <f aca="false">IF(O455="Yes",COUNTIF($O$5:O455,"Yes"),"")</f>
        <v/>
      </c>
    </row>
    <row r="456" customFormat="false" ht="15" hidden="false" customHeight="false" outlineLevel="0" collapsed="false">
      <c r="A456" s="35" t="s">
        <v>1095</v>
      </c>
      <c r="B456" s="35" t="s">
        <v>1096</v>
      </c>
      <c r="C456" s="35" t="s">
        <v>103</v>
      </c>
      <c r="D456" s="35" t="s">
        <v>174</v>
      </c>
      <c r="E456" s="35" t="s">
        <v>175</v>
      </c>
      <c r="F456" s="42" t="n">
        <v>52000</v>
      </c>
      <c r="G456" s="36" t="n">
        <v>45921</v>
      </c>
      <c r="H456" s="35" t="s">
        <v>54</v>
      </c>
      <c r="I456" s="35" t="s">
        <v>94</v>
      </c>
      <c r="J456" s="35" t="s">
        <v>91</v>
      </c>
      <c r="K456" s="35"/>
      <c r="L456" s="48" t="n">
        <f aca="false">IFERROR(AVERAGEIFS('Score Entry'!$M$5:$M$1276,'Score Entry'!$B$5:$B$1276,A456,'Score Entry'!$E$5:$E$1276,"Primary"),"")</f>
        <v>46</v>
      </c>
      <c r="M456" s="48" t="n">
        <f aca="false">IFERROR(AVERAGEIFS('Score Entry'!$M$5:$M$1276,'Score Entry'!$B$5:$B$1276,A456,'Score Entry'!$E$5:$E$1276,"Secondary"),"")</f>
        <v>56</v>
      </c>
      <c r="N456" s="48" t="n">
        <f aca="false">IF(COUNT(L456:M456)=2,ABS(L456-M456),"")</f>
        <v>10</v>
      </c>
      <c r="O456" s="37" t="str">
        <f aca="false">IF(N456="","",IF(N456&gt;=Threshold,"Yes","No"))</f>
        <v>No</v>
      </c>
      <c r="P456" s="48" t="str">
        <f aca="false">IFERROR(AVERAGEIFS('Score Entry'!$M$5:$M$1276,'Score Entry'!$B$5:$B$1276,A456,'Score Entry'!$E$5:$E$1276,"Third"),"")</f>
        <v/>
      </c>
      <c r="Q456" s="48" t="n">
        <f aca="false">IF(H456&lt;&gt;"Eligible","",IF(O456="Yes",IF(ISNUMBER(P456),ROUND(AVERAGE(L456,M456,P456),1),""),IF(O456="No",ROUND(AVERAGE(L456:M456),1),"")))</f>
        <v>51</v>
      </c>
      <c r="R456" s="37" t="str">
        <f aca="false">IF(H456&lt;&gt;"Eligible","Screened out",IF(COUNT(L456:M456)=0,"Not started",IF(COUNT(L456:M456)=1,"One read done",IF(O456="Yes",IF(ISNUMBER(P456),"Complete","Needs third read"),"Complete"))))</f>
        <v>Complete</v>
      </c>
      <c r="S456" s="37" t="n">
        <f aca="false">IF(Q456="","",COUNTIFS($C$5:$C$600,C456,$Q$5:$Q$600,"&gt;"&amp;Q456)+1)</f>
        <v>149</v>
      </c>
      <c r="T456" s="37" t="str">
        <f aca="false">IF(Q456="","",IF(Q456&gt;=Cutoff,"Yes","No"))</f>
        <v>No</v>
      </c>
      <c r="U456" s="49" t="n">
        <f aca="false">IF(T456="Yes",MIN(F456,INDEX(Settings!$G:$G,MATCH(C456,Settings!$E:$E,0))),0)</f>
        <v>0</v>
      </c>
      <c r="V456" s="49" t="str">
        <f aca="false">IF(T456="Yes",SUMIFS($U$5:$U$600,$C$5:$C$600,C456,$Q$5:$Q$600,"&gt;"&amp;Q456)+U456,"")</f>
        <v/>
      </c>
      <c r="W456" s="37" t="str">
        <f aca="false">IF(T456="Yes",IF(V456&lt;=INDEX(PoolList,MATCH(C456,ProgramList,0)),"Within pool","Over pool"),"")</f>
        <v/>
      </c>
      <c r="X456" s="37" t="str">
        <f aca="false">IF(O456="Yes",COUNTIF($O$5:O456,"Yes"),"")</f>
        <v/>
      </c>
    </row>
    <row r="457" customFormat="false" ht="15" hidden="false" customHeight="false" outlineLevel="0" collapsed="false">
      <c r="A457" s="35" t="s">
        <v>1097</v>
      </c>
      <c r="B457" s="35" t="s">
        <v>1098</v>
      </c>
      <c r="C457" s="35" t="s">
        <v>106</v>
      </c>
      <c r="D457" s="35" t="s">
        <v>174</v>
      </c>
      <c r="E457" s="35" t="s">
        <v>175</v>
      </c>
      <c r="F457" s="42" t="n">
        <v>86000</v>
      </c>
      <c r="G457" s="36" t="n">
        <v>45924</v>
      </c>
      <c r="H457" s="35" t="s">
        <v>54</v>
      </c>
      <c r="I457" s="35" t="s">
        <v>82</v>
      </c>
      <c r="J457" s="35" t="s">
        <v>88</v>
      </c>
      <c r="K457" s="35"/>
      <c r="L457" s="48" t="n">
        <f aca="false">IFERROR(AVERAGEIFS('Score Entry'!$M$5:$M$1276,'Score Entry'!$B$5:$B$1276,A457,'Score Entry'!$E$5:$E$1276,"Primary"),"")</f>
        <v>96</v>
      </c>
      <c r="M457" s="48" t="str">
        <f aca="false">IFERROR(AVERAGEIFS('Score Entry'!$M$5:$M$1276,'Score Entry'!$B$5:$B$1276,A457,'Score Entry'!$E$5:$E$1276,"Secondary"),"")</f>
        <v/>
      </c>
      <c r="N457" s="48" t="str">
        <f aca="false">IF(COUNT(L457:M457)=2,ABS(L457-M457),"")</f>
        <v/>
      </c>
      <c r="O457" s="37" t="str">
        <f aca="false">IF(N457="","",IF(N457&gt;=Threshold,"Yes","No"))</f>
        <v/>
      </c>
      <c r="P457" s="48" t="str">
        <f aca="false">IFERROR(AVERAGEIFS('Score Entry'!$M$5:$M$1276,'Score Entry'!$B$5:$B$1276,A457,'Score Entry'!$E$5:$E$1276,"Third"),"")</f>
        <v/>
      </c>
      <c r="Q457" s="48" t="str">
        <f aca="false">IF(H457&lt;&gt;"Eligible","",IF(O457="Yes",IF(ISNUMBER(P457),ROUND(AVERAGE(L457,M457,P457),1),""),IF(O457="No",ROUND(AVERAGE(L457:M457),1),"")))</f>
        <v/>
      </c>
      <c r="R457" s="37" t="str">
        <f aca="false">IF(H457&lt;&gt;"Eligible","Screened out",IF(COUNT(L457:M457)=0,"Not started",IF(COUNT(L457:M457)=1,"One read done",IF(O457="Yes",IF(ISNUMBER(P457),"Complete","Needs third read"),"Complete"))))</f>
        <v>One read done</v>
      </c>
      <c r="S457" s="37" t="str">
        <f aca="false">IF(Q457="","",COUNTIFS($C$5:$C$600,C457,$Q$5:$Q$600,"&gt;"&amp;Q457)+1)</f>
        <v/>
      </c>
      <c r="T457" s="37" t="str">
        <f aca="false">IF(Q457="","",IF(Q457&gt;=Cutoff,"Yes","No"))</f>
        <v/>
      </c>
      <c r="U457" s="49" t="n">
        <f aca="false">IF(T457="Yes",MIN(F457,INDEX(Settings!$G:$G,MATCH(C457,Settings!$E:$E,0))),0)</f>
        <v>0</v>
      </c>
      <c r="V457" s="49" t="str">
        <f aca="false">IF(T457="Yes",SUMIFS($U$5:$U$600,$C$5:$C$600,C457,$Q$5:$Q$600,"&gt;"&amp;Q457)+U457,"")</f>
        <v/>
      </c>
      <c r="W457" s="37" t="str">
        <f aca="false">IF(T457="Yes",IF(V457&lt;=INDEX(PoolList,MATCH(C457,ProgramList,0)),"Within pool","Over pool"),"")</f>
        <v/>
      </c>
      <c r="X457" s="37" t="str">
        <f aca="false">IF(O457="Yes",COUNTIF($O$5:O457,"Yes"),"")</f>
        <v/>
      </c>
    </row>
    <row r="458" customFormat="false" ht="15" hidden="false" customHeight="false" outlineLevel="0" collapsed="false">
      <c r="A458" s="35" t="s">
        <v>1099</v>
      </c>
      <c r="B458" s="35" t="s">
        <v>1100</v>
      </c>
      <c r="C458" s="35" t="s">
        <v>103</v>
      </c>
      <c r="D458" s="35" t="s">
        <v>174</v>
      </c>
      <c r="E458" s="35" t="s">
        <v>175</v>
      </c>
      <c r="F458" s="42" t="n">
        <v>61000</v>
      </c>
      <c r="G458" s="36" t="n">
        <v>45916</v>
      </c>
      <c r="H458" s="35" t="s">
        <v>54</v>
      </c>
      <c r="I458" s="35" t="s">
        <v>85</v>
      </c>
      <c r="J458" s="35" t="s">
        <v>78</v>
      </c>
      <c r="K458" s="35"/>
      <c r="L458" s="48" t="n">
        <f aca="false">IFERROR(AVERAGEIFS('Score Entry'!$M$5:$M$1276,'Score Entry'!$B$5:$B$1276,A458,'Score Entry'!$E$5:$E$1276,"Primary"),"")</f>
        <v>66</v>
      </c>
      <c r="M458" s="48" t="n">
        <f aca="false">IFERROR(AVERAGEIFS('Score Entry'!$M$5:$M$1276,'Score Entry'!$B$5:$B$1276,A458,'Score Entry'!$E$5:$E$1276,"Secondary"),"")</f>
        <v>53</v>
      </c>
      <c r="N458" s="48" t="n">
        <f aca="false">IF(COUNT(L458:M458)=2,ABS(L458-M458),"")</f>
        <v>13</v>
      </c>
      <c r="O458" s="37" t="str">
        <f aca="false">IF(N458="","",IF(N458&gt;=Threshold,"Yes","No"))</f>
        <v>No</v>
      </c>
      <c r="P458" s="48" t="str">
        <f aca="false">IFERROR(AVERAGEIFS('Score Entry'!$M$5:$M$1276,'Score Entry'!$B$5:$B$1276,A458,'Score Entry'!$E$5:$E$1276,"Third"),"")</f>
        <v/>
      </c>
      <c r="Q458" s="48" t="n">
        <f aca="false">IF(H458&lt;&gt;"Eligible","",IF(O458="Yes",IF(ISNUMBER(P458),ROUND(AVERAGE(L458,M458,P458),1),""),IF(O458="No",ROUND(AVERAGE(L458:M458),1),"")))</f>
        <v>59.5</v>
      </c>
      <c r="R458" s="37" t="str">
        <f aca="false">IF(H458&lt;&gt;"Eligible","Screened out",IF(COUNT(L458:M458)=0,"Not started",IF(COUNT(L458:M458)=1,"One read done",IF(O458="Yes",IF(ISNUMBER(P458),"Complete","Needs third read"),"Complete"))))</f>
        <v>Complete</v>
      </c>
      <c r="S458" s="37" t="n">
        <f aca="false">IF(Q458="","",COUNTIFS($C$5:$C$600,C458,$Q$5:$Q$600,"&gt;"&amp;Q458)+1)</f>
        <v>114</v>
      </c>
      <c r="T458" s="37" t="str">
        <f aca="false">IF(Q458="","",IF(Q458&gt;=Cutoff,"Yes","No"))</f>
        <v>No</v>
      </c>
      <c r="U458" s="49" t="n">
        <f aca="false">IF(T458="Yes",MIN(F458,INDEX(Settings!$G:$G,MATCH(C458,Settings!$E:$E,0))),0)</f>
        <v>0</v>
      </c>
      <c r="V458" s="49" t="str">
        <f aca="false">IF(T458="Yes",SUMIFS($U$5:$U$600,$C$5:$C$600,C458,$Q$5:$Q$600,"&gt;"&amp;Q458)+U458,"")</f>
        <v/>
      </c>
      <c r="W458" s="37" t="str">
        <f aca="false">IF(T458="Yes",IF(V458&lt;=INDEX(PoolList,MATCH(C458,ProgramList,0)),"Within pool","Over pool"),"")</f>
        <v/>
      </c>
      <c r="X458" s="37" t="str">
        <f aca="false">IF(O458="Yes",COUNTIF($O$5:O458,"Yes"),"")</f>
        <v/>
      </c>
    </row>
    <row r="459" customFormat="false" ht="15" hidden="false" customHeight="false" outlineLevel="0" collapsed="false">
      <c r="A459" s="35" t="s">
        <v>1101</v>
      </c>
      <c r="B459" s="35" t="s">
        <v>1102</v>
      </c>
      <c r="C459" s="35" t="s">
        <v>104</v>
      </c>
      <c r="D459" s="35" t="s">
        <v>174</v>
      </c>
      <c r="E459" s="35" t="s">
        <v>232</v>
      </c>
      <c r="F459" s="42" t="n">
        <v>136500</v>
      </c>
      <c r="G459" s="36" t="n">
        <v>45914</v>
      </c>
      <c r="H459" s="35" t="s">
        <v>54</v>
      </c>
      <c r="I459" s="35" t="s">
        <v>85</v>
      </c>
      <c r="J459" s="35" t="s">
        <v>91</v>
      </c>
      <c r="K459" s="35"/>
      <c r="L459" s="48" t="n">
        <f aca="false">IFERROR(AVERAGEIFS('Score Entry'!$M$5:$M$1276,'Score Entry'!$B$5:$B$1276,A459,'Score Entry'!$E$5:$E$1276,"Primary"),"")</f>
        <v>51</v>
      </c>
      <c r="M459" s="48" t="n">
        <f aca="false">IFERROR(AVERAGEIFS('Score Entry'!$M$5:$M$1276,'Score Entry'!$B$5:$B$1276,A459,'Score Entry'!$E$5:$E$1276,"Secondary"),"")</f>
        <v>55</v>
      </c>
      <c r="N459" s="48" t="n">
        <f aca="false">IF(COUNT(L459:M459)=2,ABS(L459-M459),"")</f>
        <v>4</v>
      </c>
      <c r="O459" s="37" t="str">
        <f aca="false">IF(N459="","",IF(N459&gt;=Threshold,"Yes","No"))</f>
        <v>No</v>
      </c>
      <c r="P459" s="48" t="str">
        <f aca="false">IFERROR(AVERAGEIFS('Score Entry'!$M$5:$M$1276,'Score Entry'!$B$5:$B$1276,A459,'Score Entry'!$E$5:$E$1276,"Third"),"")</f>
        <v/>
      </c>
      <c r="Q459" s="48" t="n">
        <f aca="false">IF(H459&lt;&gt;"Eligible","",IF(O459="Yes",IF(ISNUMBER(P459),ROUND(AVERAGE(L459,M459,P459),1),""),IF(O459="No",ROUND(AVERAGE(L459:M459),1),"")))</f>
        <v>53</v>
      </c>
      <c r="R459" s="37" t="str">
        <f aca="false">IF(H459&lt;&gt;"Eligible","Screened out",IF(COUNT(L459:M459)=0,"Not started",IF(COUNT(L459:M459)=1,"One read done",IF(O459="Yes",IF(ISNUMBER(P459),"Complete","Needs third read"),"Complete"))))</f>
        <v>Complete</v>
      </c>
      <c r="S459" s="37" t="n">
        <f aca="false">IF(Q459="","",COUNTIFS($C$5:$C$600,C459,$Q$5:$Q$600,"&gt;"&amp;Q459)+1)</f>
        <v>92</v>
      </c>
      <c r="T459" s="37" t="str">
        <f aca="false">IF(Q459="","",IF(Q459&gt;=Cutoff,"Yes","No"))</f>
        <v>No</v>
      </c>
      <c r="U459" s="49" t="n">
        <f aca="false">IF(T459="Yes",MIN(F459,INDEX(Settings!$G:$G,MATCH(C459,Settings!$E:$E,0))),0)</f>
        <v>0</v>
      </c>
      <c r="V459" s="49" t="str">
        <f aca="false">IF(T459="Yes",SUMIFS($U$5:$U$600,$C$5:$C$600,C459,$Q$5:$Q$600,"&gt;"&amp;Q459)+U459,"")</f>
        <v/>
      </c>
      <c r="W459" s="37" t="str">
        <f aca="false">IF(T459="Yes",IF(V459&lt;=INDEX(PoolList,MATCH(C459,ProgramList,0)),"Within pool","Over pool"),"")</f>
        <v/>
      </c>
      <c r="X459" s="37" t="str">
        <f aca="false">IF(O459="Yes",COUNTIF($O$5:O459,"Yes"),"")</f>
        <v/>
      </c>
    </row>
    <row r="460" customFormat="false" ht="15" hidden="false" customHeight="false" outlineLevel="0" collapsed="false">
      <c r="A460" s="35" t="s">
        <v>1103</v>
      </c>
      <c r="B460" s="35" t="s">
        <v>1104</v>
      </c>
      <c r="C460" s="35" t="s">
        <v>105</v>
      </c>
      <c r="D460" s="35" t="s">
        <v>174</v>
      </c>
      <c r="E460" s="35" t="s">
        <v>232</v>
      </c>
      <c r="F460" s="42" t="n">
        <v>66500</v>
      </c>
      <c r="G460" s="36" t="n">
        <v>45912</v>
      </c>
      <c r="H460" s="35" t="s">
        <v>54</v>
      </c>
      <c r="I460" s="35" t="s">
        <v>88</v>
      </c>
      <c r="J460" s="35" t="s">
        <v>94</v>
      </c>
      <c r="K460" s="35"/>
      <c r="L460" s="48" t="n">
        <f aca="false">IFERROR(AVERAGEIFS('Score Entry'!$M$5:$M$1276,'Score Entry'!$B$5:$B$1276,A460,'Score Entry'!$E$5:$E$1276,"Primary"),"")</f>
        <v>80</v>
      </c>
      <c r="M460" s="48" t="n">
        <f aca="false">IFERROR(AVERAGEIFS('Score Entry'!$M$5:$M$1276,'Score Entry'!$B$5:$B$1276,A460,'Score Entry'!$E$5:$E$1276,"Secondary"),"")</f>
        <v>90</v>
      </c>
      <c r="N460" s="48" t="n">
        <f aca="false">IF(COUNT(L460:M460)=2,ABS(L460-M460),"")</f>
        <v>10</v>
      </c>
      <c r="O460" s="37" t="str">
        <f aca="false">IF(N460="","",IF(N460&gt;=Threshold,"Yes","No"))</f>
        <v>No</v>
      </c>
      <c r="P460" s="48" t="str">
        <f aca="false">IFERROR(AVERAGEIFS('Score Entry'!$M$5:$M$1276,'Score Entry'!$B$5:$B$1276,A460,'Score Entry'!$E$5:$E$1276,"Third"),"")</f>
        <v/>
      </c>
      <c r="Q460" s="48" t="n">
        <f aca="false">IF(H460&lt;&gt;"Eligible","",IF(O460="Yes",IF(ISNUMBER(P460),ROUND(AVERAGE(L460,M460,P460),1),""),IF(O460="No",ROUND(AVERAGE(L460:M460),1),"")))</f>
        <v>85</v>
      </c>
      <c r="R460" s="37" t="str">
        <f aca="false">IF(H460&lt;&gt;"Eligible","Screened out",IF(COUNT(L460:M460)=0,"Not started",IF(COUNT(L460:M460)=1,"One read done",IF(O460="Yes",IF(ISNUMBER(P460),"Complete","Needs third read"),"Complete"))))</f>
        <v>Complete</v>
      </c>
      <c r="S460" s="37" t="n">
        <f aca="false">IF(Q460="","",COUNTIFS($C$5:$C$600,C460,$Q$5:$Q$600,"&gt;"&amp;Q460)+1)</f>
        <v>8</v>
      </c>
      <c r="T460" s="37" t="str">
        <f aca="false">IF(Q460="","",IF(Q460&gt;=Cutoff,"Yes","No"))</f>
        <v>Yes</v>
      </c>
      <c r="U460" s="49" t="n">
        <f aca="false">IF(T460="Yes",MIN(F460,INDEX(Settings!$G:$G,MATCH(C460,Settings!$E:$E,0))),0)</f>
        <v>66500</v>
      </c>
      <c r="V460" s="49" t="n">
        <f aca="false">IF(T460="Yes",SUMIFS($U$5:$U$600,$C$5:$C$600,C460,$Q$5:$Q$600,"&gt;"&amp;Q460)+U460,"")</f>
        <v>651000</v>
      </c>
      <c r="W460" s="37" t="str">
        <f aca="false">IF(T460="Yes",IF(V460&lt;=INDEX(PoolList,MATCH(C460,ProgramList,0)),"Within pool","Over pool"),"")</f>
        <v>Within pool</v>
      </c>
      <c r="X460" s="37" t="str">
        <f aca="false">IF(O460="Yes",COUNTIF($O$5:O460,"Yes"),"")</f>
        <v/>
      </c>
    </row>
    <row r="461" customFormat="false" ht="15" hidden="false" customHeight="false" outlineLevel="0" collapsed="false">
      <c r="A461" s="35" t="s">
        <v>1105</v>
      </c>
      <c r="B461" s="35" t="s">
        <v>1106</v>
      </c>
      <c r="C461" s="35" t="s">
        <v>106</v>
      </c>
      <c r="D461" s="35" t="s">
        <v>174</v>
      </c>
      <c r="E461" s="35" t="s">
        <v>175</v>
      </c>
      <c r="F461" s="42" t="n">
        <v>108500</v>
      </c>
      <c r="G461" s="36" t="n">
        <v>45920</v>
      </c>
      <c r="H461" s="35" t="s">
        <v>96</v>
      </c>
      <c r="I461" s="35"/>
      <c r="J461" s="35"/>
      <c r="K461" s="35"/>
      <c r="L461" s="48" t="str">
        <f aca="false">IFERROR(AVERAGEIFS('Score Entry'!$M$5:$M$1276,'Score Entry'!$B$5:$B$1276,A461,'Score Entry'!$E$5:$E$1276,"Primary"),"")</f>
        <v/>
      </c>
      <c r="M461" s="48" t="str">
        <f aca="false">IFERROR(AVERAGEIFS('Score Entry'!$M$5:$M$1276,'Score Entry'!$B$5:$B$1276,A461,'Score Entry'!$E$5:$E$1276,"Secondary"),"")</f>
        <v/>
      </c>
      <c r="N461" s="48" t="str">
        <f aca="false">IF(COUNT(L461:M461)=2,ABS(L461-M461),"")</f>
        <v/>
      </c>
      <c r="O461" s="37" t="str">
        <f aca="false">IF(N461="","",IF(N461&gt;=Threshold,"Yes","No"))</f>
        <v/>
      </c>
      <c r="P461" s="48" t="str">
        <f aca="false">IFERROR(AVERAGEIFS('Score Entry'!$M$5:$M$1276,'Score Entry'!$B$5:$B$1276,A461,'Score Entry'!$E$5:$E$1276,"Third"),"")</f>
        <v/>
      </c>
      <c r="Q461" s="48" t="str">
        <f aca="false">IF(H461&lt;&gt;"Eligible","",IF(O461="Yes",IF(ISNUMBER(P461),ROUND(AVERAGE(L461,M461,P461),1),""),IF(O461="No",ROUND(AVERAGE(L461:M461),1),"")))</f>
        <v/>
      </c>
      <c r="R461" s="37" t="str">
        <f aca="false">IF(H461&lt;&gt;"Eligible","Screened out",IF(COUNT(L461:M461)=0,"Not started",IF(COUNT(L461:M461)=1,"One read done",IF(O461="Yes",IF(ISNUMBER(P461),"Complete","Needs third read"),"Complete"))))</f>
        <v>Screened out</v>
      </c>
      <c r="S461" s="37" t="str">
        <f aca="false">IF(Q461="","",COUNTIFS($C$5:$C$600,C461,$Q$5:$Q$600,"&gt;"&amp;Q461)+1)</f>
        <v/>
      </c>
      <c r="T461" s="37" t="str">
        <f aca="false">IF(Q461="","",IF(Q461&gt;=Cutoff,"Yes","No"))</f>
        <v/>
      </c>
      <c r="U461" s="49" t="n">
        <f aca="false">IF(T461="Yes",MIN(F461,INDEX(Settings!$G:$G,MATCH(C461,Settings!$E:$E,0))),0)</f>
        <v>0</v>
      </c>
      <c r="V461" s="49" t="str">
        <f aca="false">IF(T461="Yes",SUMIFS($U$5:$U$600,$C$5:$C$600,C461,$Q$5:$Q$600,"&gt;"&amp;Q461)+U461,"")</f>
        <v/>
      </c>
      <c r="W461" s="37" t="str">
        <f aca="false">IF(T461="Yes",IF(V461&lt;=INDEX(PoolList,MATCH(C461,ProgramList,0)),"Within pool","Over pool"),"")</f>
        <v/>
      </c>
      <c r="X461" s="37" t="str">
        <f aca="false">IF(O461="Yes",COUNTIF($O$5:O461,"Yes"),"")</f>
        <v/>
      </c>
    </row>
    <row r="462" customFormat="false" ht="15" hidden="false" customHeight="false" outlineLevel="0" collapsed="false">
      <c r="A462" s="35" t="s">
        <v>1107</v>
      </c>
      <c r="B462" s="35" t="s">
        <v>1108</v>
      </c>
      <c r="C462" s="35" t="s">
        <v>106</v>
      </c>
      <c r="D462" s="35" t="s">
        <v>174</v>
      </c>
      <c r="E462" s="35" t="s">
        <v>232</v>
      </c>
      <c r="F462" s="42" t="n">
        <v>155500</v>
      </c>
      <c r="G462" s="36" t="n">
        <v>45913</v>
      </c>
      <c r="H462" s="35" t="s">
        <v>54</v>
      </c>
      <c r="I462" s="35" t="s">
        <v>78</v>
      </c>
      <c r="J462" s="35" t="s">
        <v>82</v>
      </c>
      <c r="K462" s="35"/>
      <c r="L462" s="48" t="n">
        <f aca="false">IFERROR(AVERAGEIFS('Score Entry'!$M$5:$M$1276,'Score Entry'!$B$5:$B$1276,A462,'Score Entry'!$E$5:$E$1276,"Primary"),"")</f>
        <v>54</v>
      </c>
      <c r="M462" s="48" t="n">
        <f aca="false">IFERROR(AVERAGEIFS('Score Entry'!$M$5:$M$1276,'Score Entry'!$B$5:$B$1276,A462,'Score Entry'!$E$5:$E$1276,"Secondary"),"")</f>
        <v>52</v>
      </c>
      <c r="N462" s="48" t="n">
        <f aca="false">IF(COUNT(L462:M462)=2,ABS(L462-M462),"")</f>
        <v>2</v>
      </c>
      <c r="O462" s="37" t="str">
        <f aca="false">IF(N462="","",IF(N462&gt;=Threshold,"Yes","No"))</f>
        <v>No</v>
      </c>
      <c r="P462" s="48" t="str">
        <f aca="false">IFERROR(AVERAGEIFS('Score Entry'!$M$5:$M$1276,'Score Entry'!$B$5:$B$1276,A462,'Score Entry'!$E$5:$E$1276,"Third"),"")</f>
        <v/>
      </c>
      <c r="Q462" s="48" t="n">
        <f aca="false">IF(H462&lt;&gt;"Eligible","",IF(O462="Yes",IF(ISNUMBER(P462),ROUND(AVERAGE(L462,M462,P462),1),""),IF(O462="No",ROUND(AVERAGE(L462:M462),1),"")))</f>
        <v>53</v>
      </c>
      <c r="R462" s="37" t="str">
        <f aca="false">IF(H462&lt;&gt;"Eligible","Screened out",IF(COUNT(L462:M462)=0,"Not started",IF(COUNT(L462:M462)=1,"One read done",IF(O462="Yes",IF(ISNUMBER(P462),"Complete","Needs third read"),"Complete"))))</f>
        <v>Complete</v>
      </c>
      <c r="S462" s="37" t="n">
        <f aca="false">IF(Q462="","",COUNTIFS($C$5:$C$600,C462,$Q$5:$Q$600,"&gt;"&amp;Q462)+1)</f>
        <v>103</v>
      </c>
      <c r="T462" s="37" t="str">
        <f aca="false">IF(Q462="","",IF(Q462&gt;=Cutoff,"Yes","No"))</f>
        <v>No</v>
      </c>
      <c r="U462" s="49" t="n">
        <f aca="false">IF(T462="Yes",MIN(F462,INDEX(Settings!$G:$G,MATCH(C462,Settings!$E:$E,0))),0)</f>
        <v>0</v>
      </c>
      <c r="V462" s="49" t="str">
        <f aca="false">IF(T462="Yes",SUMIFS($U$5:$U$600,$C$5:$C$600,C462,$Q$5:$Q$600,"&gt;"&amp;Q462)+U462,"")</f>
        <v/>
      </c>
      <c r="W462" s="37" t="str">
        <f aca="false">IF(T462="Yes",IF(V462&lt;=INDEX(PoolList,MATCH(C462,ProgramList,0)),"Within pool","Over pool"),"")</f>
        <v/>
      </c>
      <c r="X462" s="37" t="str">
        <f aca="false">IF(O462="Yes",COUNTIF($O$5:O462,"Yes"),"")</f>
        <v/>
      </c>
    </row>
    <row r="463" customFormat="false" ht="15" hidden="false" customHeight="false" outlineLevel="0" collapsed="false">
      <c r="A463" s="35" t="s">
        <v>1109</v>
      </c>
      <c r="B463" s="35" t="s">
        <v>1110</v>
      </c>
      <c r="C463" s="35" t="s">
        <v>103</v>
      </c>
      <c r="D463" s="35" t="s">
        <v>174</v>
      </c>
      <c r="E463" s="35" t="s">
        <v>175</v>
      </c>
      <c r="F463" s="42" t="n">
        <v>90000</v>
      </c>
      <c r="G463" s="36" t="n">
        <v>45918</v>
      </c>
      <c r="H463" s="35" t="s">
        <v>54</v>
      </c>
      <c r="I463" s="35" t="s">
        <v>91</v>
      </c>
      <c r="J463" s="35" t="s">
        <v>85</v>
      </c>
      <c r="K463" s="35"/>
      <c r="L463" s="48" t="n">
        <f aca="false">IFERROR(AVERAGEIFS('Score Entry'!$M$5:$M$1276,'Score Entry'!$B$5:$B$1276,A463,'Score Entry'!$E$5:$E$1276,"Primary"),"")</f>
        <v>74</v>
      </c>
      <c r="M463" s="48" t="n">
        <f aca="false">IFERROR(AVERAGEIFS('Score Entry'!$M$5:$M$1276,'Score Entry'!$B$5:$B$1276,A463,'Score Entry'!$E$5:$E$1276,"Secondary"),"")</f>
        <v>77</v>
      </c>
      <c r="N463" s="48" t="n">
        <f aca="false">IF(COUNT(L463:M463)=2,ABS(L463-M463),"")</f>
        <v>3</v>
      </c>
      <c r="O463" s="37" t="str">
        <f aca="false">IF(N463="","",IF(N463&gt;=Threshold,"Yes","No"))</f>
        <v>No</v>
      </c>
      <c r="P463" s="48" t="str">
        <f aca="false">IFERROR(AVERAGEIFS('Score Entry'!$M$5:$M$1276,'Score Entry'!$B$5:$B$1276,A463,'Score Entry'!$E$5:$E$1276,"Third"),"")</f>
        <v/>
      </c>
      <c r="Q463" s="48" t="n">
        <f aca="false">IF(H463&lt;&gt;"Eligible","",IF(O463="Yes",IF(ISNUMBER(P463),ROUND(AVERAGE(L463,M463,P463),1),""),IF(O463="No",ROUND(AVERAGE(L463:M463),1),"")))</f>
        <v>75.5</v>
      </c>
      <c r="R463" s="37" t="str">
        <f aca="false">IF(H463&lt;&gt;"Eligible","Screened out",IF(COUNT(L463:M463)=0,"Not started",IF(COUNT(L463:M463)=1,"One read done",IF(O463="Yes",IF(ISNUMBER(P463),"Complete","Needs third read"),"Complete"))))</f>
        <v>Complete</v>
      </c>
      <c r="S463" s="37" t="n">
        <f aca="false">IF(Q463="","",COUNTIFS($C$5:$C$600,C463,$Q$5:$Q$600,"&gt;"&amp;Q463)+1)</f>
        <v>42</v>
      </c>
      <c r="T463" s="37" t="str">
        <f aca="false">IF(Q463="","",IF(Q463&gt;=Cutoff,"Yes","No"))</f>
        <v>No</v>
      </c>
      <c r="U463" s="49" t="n">
        <f aca="false">IF(T463="Yes",MIN(F463,INDEX(Settings!$G:$G,MATCH(C463,Settings!$E:$E,0))),0)</f>
        <v>0</v>
      </c>
      <c r="V463" s="49" t="str">
        <f aca="false">IF(T463="Yes",SUMIFS($U$5:$U$600,$C$5:$C$600,C463,$Q$5:$Q$600,"&gt;"&amp;Q463)+U463,"")</f>
        <v/>
      </c>
      <c r="W463" s="37" t="str">
        <f aca="false">IF(T463="Yes",IF(V463&lt;=INDEX(PoolList,MATCH(C463,ProgramList,0)),"Within pool","Over pool"),"")</f>
        <v/>
      </c>
      <c r="X463" s="37" t="str">
        <f aca="false">IF(O463="Yes",COUNTIF($O$5:O463,"Yes"),"")</f>
        <v/>
      </c>
    </row>
    <row r="464" customFormat="false" ht="15" hidden="false" customHeight="false" outlineLevel="0" collapsed="false">
      <c r="A464" s="35" t="s">
        <v>1111</v>
      </c>
      <c r="B464" s="35" t="s">
        <v>1112</v>
      </c>
      <c r="C464" s="35" t="s">
        <v>103</v>
      </c>
      <c r="D464" s="35" t="s">
        <v>174</v>
      </c>
      <c r="E464" s="35" t="s">
        <v>175</v>
      </c>
      <c r="F464" s="42" t="n">
        <v>98500</v>
      </c>
      <c r="G464" s="36" t="n">
        <v>45918</v>
      </c>
      <c r="H464" s="35" t="s">
        <v>54</v>
      </c>
      <c r="I464" s="35" t="s">
        <v>88</v>
      </c>
      <c r="J464" s="35" t="s">
        <v>82</v>
      </c>
      <c r="K464" s="35" t="s">
        <v>94</v>
      </c>
      <c r="L464" s="48" t="n">
        <f aca="false">IFERROR(AVERAGEIFS('Score Entry'!$M$5:$M$1276,'Score Entry'!$B$5:$B$1276,A464,'Score Entry'!$E$5:$E$1276,"Primary"),"")</f>
        <v>64</v>
      </c>
      <c r="M464" s="48" t="n">
        <f aca="false">IFERROR(AVERAGEIFS('Score Entry'!$M$5:$M$1276,'Score Entry'!$B$5:$B$1276,A464,'Score Entry'!$E$5:$E$1276,"Secondary"),"")</f>
        <v>89</v>
      </c>
      <c r="N464" s="48" t="n">
        <f aca="false">IF(COUNT(L464:M464)=2,ABS(L464-M464),"")</f>
        <v>25</v>
      </c>
      <c r="O464" s="37" t="str">
        <f aca="false">IF(N464="","",IF(N464&gt;=Threshold,"Yes","No"))</f>
        <v>Yes</v>
      </c>
      <c r="P464" s="48" t="n">
        <f aca="false">IFERROR(AVERAGEIFS('Score Entry'!$M$5:$M$1276,'Score Entry'!$B$5:$B$1276,A464,'Score Entry'!$E$5:$E$1276,"Third"),"")</f>
        <v>76</v>
      </c>
      <c r="Q464" s="48" t="n">
        <f aca="false">IF(H464&lt;&gt;"Eligible","",IF(O464="Yes",IF(ISNUMBER(P464),ROUND(AVERAGE(L464,M464,P464),1),""),IF(O464="No",ROUND(AVERAGE(L464:M464),1),"")))</f>
        <v>76.3</v>
      </c>
      <c r="R464" s="37" t="str">
        <f aca="false">IF(H464&lt;&gt;"Eligible","Screened out",IF(COUNT(L464:M464)=0,"Not started",IF(COUNT(L464:M464)=1,"One read done",IF(O464="Yes",IF(ISNUMBER(P464),"Complete","Needs third read"),"Complete"))))</f>
        <v>Complete</v>
      </c>
      <c r="S464" s="37" t="n">
        <f aca="false">IF(Q464="","",COUNTIFS($C$5:$C$600,C464,$Q$5:$Q$600,"&gt;"&amp;Q464)+1)</f>
        <v>40</v>
      </c>
      <c r="T464" s="37" t="str">
        <f aca="false">IF(Q464="","",IF(Q464&gt;=Cutoff,"Yes","No"))</f>
        <v>No</v>
      </c>
      <c r="U464" s="49" t="n">
        <f aca="false">IF(T464="Yes",MIN(F464,INDEX(Settings!$G:$G,MATCH(C464,Settings!$E:$E,0))),0)</f>
        <v>0</v>
      </c>
      <c r="V464" s="49" t="str">
        <f aca="false">IF(T464="Yes",SUMIFS($U$5:$U$600,$C$5:$C$600,C464,$Q$5:$Q$600,"&gt;"&amp;Q464)+U464,"")</f>
        <v/>
      </c>
      <c r="W464" s="37" t="str">
        <f aca="false">IF(T464="Yes",IF(V464&lt;=INDEX(PoolList,MATCH(C464,ProgramList,0)),"Within pool","Over pool"),"")</f>
        <v/>
      </c>
      <c r="X464" s="37" t="n">
        <f aca="false">IF(O464="Yes",COUNTIF($O$5:O464,"Yes"),"")</f>
        <v>57</v>
      </c>
    </row>
    <row r="465" customFormat="false" ht="15" hidden="false" customHeight="false" outlineLevel="0" collapsed="false">
      <c r="A465" s="35" t="s">
        <v>1113</v>
      </c>
      <c r="B465" s="35" t="s">
        <v>1114</v>
      </c>
      <c r="C465" s="35" t="s">
        <v>106</v>
      </c>
      <c r="D465" s="35" t="s">
        <v>174</v>
      </c>
      <c r="E465" s="35" t="s">
        <v>232</v>
      </c>
      <c r="F465" s="42" t="n">
        <v>64000</v>
      </c>
      <c r="G465" s="36" t="n">
        <v>45923</v>
      </c>
      <c r="H465" s="35" t="s">
        <v>96</v>
      </c>
      <c r="I465" s="35"/>
      <c r="J465" s="35"/>
      <c r="K465" s="35"/>
      <c r="L465" s="48" t="str">
        <f aca="false">IFERROR(AVERAGEIFS('Score Entry'!$M$5:$M$1276,'Score Entry'!$B$5:$B$1276,A465,'Score Entry'!$E$5:$E$1276,"Primary"),"")</f>
        <v/>
      </c>
      <c r="M465" s="48" t="str">
        <f aca="false">IFERROR(AVERAGEIFS('Score Entry'!$M$5:$M$1276,'Score Entry'!$B$5:$B$1276,A465,'Score Entry'!$E$5:$E$1276,"Secondary"),"")</f>
        <v/>
      </c>
      <c r="N465" s="48" t="str">
        <f aca="false">IF(COUNT(L465:M465)=2,ABS(L465-M465),"")</f>
        <v/>
      </c>
      <c r="O465" s="37" t="str">
        <f aca="false">IF(N465="","",IF(N465&gt;=Threshold,"Yes","No"))</f>
        <v/>
      </c>
      <c r="P465" s="48" t="str">
        <f aca="false">IFERROR(AVERAGEIFS('Score Entry'!$M$5:$M$1276,'Score Entry'!$B$5:$B$1276,A465,'Score Entry'!$E$5:$E$1276,"Third"),"")</f>
        <v/>
      </c>
      <c r="Q465" s="48" t="str">
        <f aca="false">IF(H465&lt;&gt;"Eligible","",IF(O465="Yes",IF(ISNUMBER(P465),ROUND(AVERAGE(L465,M465,P465),1),""),IF(O465="No",ROUND(AVERAGE(L465:M465),1),"")))</f>
        <v/>
      </c>
      <c r="R465" s="37" t="str">
        <f aca="false">IF(H465&lt;&gt;"Eligible","Screened out",IF(COUNT(L465:M465)=0,"Not started",IF(COUNT(L465:M465)=1,"One read done",IF(O465="Yes",IF(ISNUMBER(P465),"Complete","Needs third read"),"Complete"))))</f>
        <v>Screened out</v>
      </c>
      <c r="S465" s="37" t="str">
        <f aca="false">IF(Q465="","",COUNTIFS($C$5:$C$600,C465,$Q$5:$Q$600,"&gt;"&amp;Q465)+1)</f>
        <v/>
      </c>
      <c r="T465" s="37" t="str">
        <f aca="false">IF(Q465="","",IF(Q465&gt;=Cutoff,"Yes","No"))</f>
        <v/>
      </c>
      <c r="U465" s="49" t="n">
        <f aca="false">IF(T465="Yes",MIN(F465,INDEX(Settings!$G:$G,MATCH(C465,Settings!$E:$E,0))),0)</f>
        <v>0</v>
      </c>
      <c r="V465" s="49" t="str">
        <f aca="false">IF(T465="Yes",SUMIFS($U$5:$U$600,$C$5:$C$600,C465,$Q$5:$Q$600,"&gt;"&amp;Q465)+U465,"")</f>
        <v/>
      </c>
      <c r="W465" s="37" t="str">
        <f aca="false">IF(T465="Yes",IF(V465&lt;=INDEX(PoolList,MATCH(C465,ProgramList,0)),"Within pool","Over pool"),"")</f>
        <v/>
      </c>
      <c r="X465" s="37" t="str">
        <f aca="false">IF(O465="Yes",COUNTIF($O$5:O465,"Yes"),"")</f>
        <v/>
      </c>
    </row>
    <row r="466" customFormat="false" ht="15" hidden="false" customHeight="false" outlineLevel="0" collapsed="false">
      <c r="A466" s="35" t="s">
        <v>1115</v>
      </c>
      <c r="B466" s="35" t="s">
        <v>1116</v>
      </c>
      <c r="C466" s="35" t="s">
        <v>105</v>
      </c>
      <c r="D466" s="35" t="s">
        <v>174</v>
      </c>
      <c r="E466" s="35" t="s">
        <v>232</v>
      </c>
      <c r="F466" s="42" t="n">
        <v>38500</v>
      </c>
      <c r="G466" s="36" t="n">
        <v>45916</v>
      </c>
      <c r="H466" s="35" t="s">
        <v>54</v>
      </c>
      <c r="I466" s="35" t="s">
        <v>82</v>
      </c>
      <c r="J466" s="35" t="s">
        <v>94</v>
      </c>
      <c r="K466" s="35"/>
      <c r="L466" s="48" t="n">
        <f aca="false">IFERROR(AVERAGEIFS('Score Entry'!$M$5:$M$1276,'Score Entry'!$B$5:$B$1276,A466,'Score Entry'!$E$5:$E$1276,"Primary"),"")</f>
        <v>81</v>
      </c>
      <c r="M466" s="48" t="n">
        <f aca="false">IFERROR(AVERAGEIFS('Score Entry'!$M$5:$M$1276,'Score Entry'!$B$5:$B$1276,A466,'Score Entry'!$E$5:$E$1276,"Secondary"),"")</f>
        <v>71</v>
      </c>
      <c r="N466" s="48" t="n">
        <f aca="false">IF(COUNT(L466:M466)=2,ABS(L466-M466),"")</f>
        <v>10</v>
      </c>
      <c r="O466" s="37" t="str">
        <f aca="false">IF(N466="","",IF(N466&gt;=Threshold,"Yes","No"))</f>
        <v>No</v>
      </c>
      <c r="P466" s="48" t="str">
        <f aca="false">IFERROR(AVERAGEIFS('Score Entry'!$M$5:$M$1276,'Score Entry'!$B$5:$B$1276,A466,'Score Entry'!$E$5:$E$1276,"Third"),"")</f>
        <v/>
      </c>
      <c r="Q466" s="48" t="n">
        <f aca="false">IF(H466&lt;&gt;"Eligible","",IF(O466="Yes",IF(ISNUMBER(P466),ROUND(AVERAGE(L466,M466,P466),1),""),IF(O466="No",ROUND(AVERAGE(L466:M466),1),"")))</f>
        <v>76</v>
      </c>
      <c r="R466" s="37" t="str">
        <f aca="false">IF(H466&lt;&gt;"Eligible","Screened out",IF(COUNT(L466:M466)=0,"Not started",IF(COUNT(L466:M466)=1,"One read done",IF(O466="Yes",IF(ISNUMBER(P466),"Complete","Needs third read"),"Complete"))))</f>
        <v>Complete</v>
      </c>
      <c r="S466" s="37" t="n">
        <f aca="false">IF(Q466="","",COUNTIFS($C$5:$C$600,C466,$Q$5:$Q$600,"&gt;"&amp;Q466)+1)</f>
        <v>26</v>
      </c>
      <c r="T466" s="37" t="str">
        <f aca="false">IF(Q466="","",IF(Q466&gt;=Cutoff,"Yes","No"))</f>
        <v>No</v>
      </c>
      <c r="U466" s="49" t="n">
        <f aca="false">IF(T466="Yes",MIN(F466,INDEX(Settings!$G:$G,MATCH(C466,Settings!$E:$E,0))),0)</f>
        <v>0</v>
      </c>
      <c r="V466" s="49" t="str">
        <f aca="false">IF(T466="Yes",SUMIFS($U$5:$U$600,$C$5:$C$600,C466,$Q$5:$Q$600,"&gt;"&amp;Q466)+U466,"")</f>
        <v/>
      </c>
      <c r="W466" s="37" t="str">
        <f aca="false">IF(T466="Yes",IF(V466&lt;=INDEX(PoolList,MATCH(C466,ProgramList,0)),"Within pool","Over pool"),"")</f>
        <v/>
      </c>
      <c r="X466" s="37" t="str">
        <f aca="false">IF(O466="Yes",COUNTIF($O$5:O466,"Yes"),"")</f>
        <v/>
      </c>
    </row>
    <row r="467" customFormat="false" ht="15" hidden="false" customHeight="false" outlineLevel="0" collapsed="false">
      <c r="A467" s="35" t="s">
        <v>1117</v>
      </c>
      <c r="B467" s="35" t="s">
        <v>1118</v>
      </c>
      <c r="C467" s="35" t="s">
        <v>104</v>
      </c>
      <c r="D467" s="35" t="s">
        <v>174</v>
      </c>
      <c r="E467" s="35" t="s">
        <v>175</v>
      </c>
      <c r="F467" s="42" t="n">
        <v>54000</v>
      </c>
      <c r="G467" s="36" t="n">
        <v>45921</v>
      </c>
      <c r="H467" s="35" t="s">
        <v>54</v>
      </c>
      <c r="I467" s="35" t="s">
        <v>88</v>
      </c>
      <c r="J467" s="35" t="s">
        <v>85</v>
      </c>
      <c r="K467" s="35"/>
      <c r="L467" s="48" t="n">
        <f aca="false">IFERROR(AVERAGEIFS('Score Entry'!$M$5:$M$1276,'Score Entry'!$B$5:$B$1276,A467,'Score Entry'!$E$5:$E$1276,"Primary"),"")</f>
        <v>67</v>
      </c>
      <c r="M467" s="48" t="n">
        <f aca="false">IFERROR(AVERAGEIFS('Score Entry'!$M$5:$M$1276,'Score Entry'!$B$5:$B$1276,A467,'Score Entry'!$E$5:$E$1276,"Secondary"),"")</f>
        <v>64</v>
      </c>
      <c r="N467" s="48" t="n">
        <f aca="false">IF(COUNT(L467:M467)=2,ABS(L467-M467),"")</f>
        <v>3</v>
      </c>
      <c r="O467" s="37" t="str">
        <f aca="false">IF(N467="","",IF(N467&gt;=Threshold,"Yes","No"))</f>
        <v>No</v>
      </c>
      <c r="P467" s="48" t="str">
        <f aca="false">IFERROR(AVERAGEIFS('Score Entry'!$M$5:$M$1276,'Score Entry'!$B$5:$B$1276,A467,'Score Entry'!$E$5:$E$1276,"Third"),"")</f>
        <v/>
      </c>
      <c r="Q467" s="48" t="n">
        <f aca="false">IF(H467&lt;&gt;"Eligible","",IF(O467="Yes",IF(ISNUMBER(P467),ROUND(AVERAGE(L467,M467,P467),1),""),IF(O467="No",ROUND(AVERAGE(L467:M467),1),"")))</f>
        <v>65.5</v>
      </c>
      <c r="R467" s="37" t="str">
        <f aca="false">IF(H467&lt;&gt;"Eligible","Screened out",IF(COUNT(L467:M467)=0,"Not started",IF(COUNT(L467:M467)=1,"One read done",IF(O467="Yes",IF(ISNUMBER(P467),"Complete","Needs third read"),"Complete"))))</f>
        <v>Complete</v>
      </c>
      <c r="S467" s="37" t="n">
        <f aca="false">IF(Q467="","",COUNTIFS($C$5:$C$600,C467,$Q$5:$Q$600,"&gt;"&amp;Q467)+1)</f>
        <v>58</v>
      </c>
      <c r="T467" s="37" t="str">
        <f aca="false">IF(Q467="","",IF(Q467&gt;=Cutoff,"Yes","No"))</f>
        <v>No</v>
      </c>
      <c r="U467" s="49" t="n">
        <f aca="false">IF(T467="Yes",MIN(F467,INDEX(Settings!$G:$G,MATCH(C467,Settings!$E:$E,0))),0)</f>
        <v>0</v>
      </c>
      <c r="V467" s="49" t="str">
        <f aca="false">IF(T467="Yes",SUMIFS($U$5:$U$600,$C$5:$C$600,C467,$Q$5:$Q$600,"&gt;"&amp;Q467)+U467,"")</f>
        <v/>
      </c>
      <c r="W467" s="37" t="str">
        <f aca="false">IF(T467="Yes",IF(V467&lt;=INDEX(PoolList,MATCH(C467,ProgramList,0)),"Within pool","Over pool"),"")</f>
        <v/>
      </c>
      <c r="X467" s="37" t="str">
        <f aca="false">IF(O467="Yes",COUNTIF($O$5:O467,"Yes"),"")</f>
        <v/>
      </c>
    </row>
    <row r="468" customFormat="false" ht="15" hidden="false" customHeight="false" outlineLevel="0" collapsed="false">
      <c r="A468" s="35" t="s">
        <v>1119</v>
      </c>
      <c r="B468" s="35" t="s">
        <v>1120</v>
      </c>
      <c r="C468" s="35" t="s">
        <v>104</v>
      </c>
      <c r="D468" s="35" t="s">
        <v>174</v>
      </c>
      <c r="E468" s="35" t="s">
        <v>175</v>
      </c>
      <c r="F468" s="42" t="n">
        <v>27000</v>
      </c>
      <c r="G468" s="36" t="n">
        <v>45918</v>
      </c>
      <c r="H468" s="35" t="s">
        <v>54</v>
      </c>
      <c r="I468" s="35" t="s">
        <v>78</v>
      </c>
      <c r="J468" s="35" t="s">
        <v>91</v>
      </c>
      <c r="K468" s="35"/>
      <c r="L468" s="48" t="n">
        <f aca="false">IFERROR(AVERAGEIFS('Score Entry'!$M$5:$M$1276,'Score Entry'!$B$5:$B$1276,A468,'Score Entry'!$E$5:$E$1276,"Primary"),"")</f>
        <v>80</v>
      </c>
      <c r="M468" s="48" t="n">
        <f aca="false">IFERROR(AVERAGEIFS('Score Entry'!$M$5:$M$1276,'Score Entry'!$B$5:$B$1276,A468,'Score Entry'!$E$5:$E$1276,"Secondary"),"")</f>
        <v>82</v>
      </c>
      <c r="N468" s="48" t="n">
        <f aca="false">IF(COUNT(L468:M468)=2,ABS(L468-M468),"")</f>
        <v>2</v>
      </c>
      <c r="O468" s="37" t="str">
        <f aca="false">IF(N468="","",IF(N468&gt;=Threshold,"Yes","No"))</f>
        <v>No</v>
      </c>
      <c r="P468" s="48" t="str">
        <f aca="false">IFERROR(AVERAGEIFS('Score Entry'!$M$5:$M$1276,'Score Entry'!$B$5:$B$1276,A468,'Score Entry'!$E$5:$E$1276,"Third"),"")</f>
        <v/>
      </c>
      <c r="Q468" s="48" t="n">
        <f aca="false">IF(H468&lt;&gt;"Eligible","",IF(O468="Yes",IF(ISNUMBER(P468),ROUND(AVERAGE(L468,M468,P468),1),""),IF(O468="No",ROUND(AVERAGE(L468:M468),1),"")))</f>
        <v>81</v>
      </c>
      <c r="R468" s="37" t="str">
        <f aca="false">IF(H468&lt;&gt;"Eligible","Screened out",IF(COUNT(L468:M468)=0,"Not started",IF(COUNT(L468:M468)=1,"One read done",IF(O468="Yes",IF(ISNUMBER(P468),"Complete","Needs third read"),"Complete"))))</f>
        <v>Complete</v>
      </c>
      <c r="S468" s="37" t="n">
        <f aca="false">IF(Q468="","",COUNTIFS($C$5:$C$600,C468,$Q$5:$Q$600,"&gt;"&amp;Q468)+1)</f>
        <v>20</v>
      </c>
      <c r="T468" s="37" t="str">
        <f aca="false">IF(Q468="","",IF(Q468&gt;=Cutoff,"Yes","No"))</f>
        <v>No</v>
      </c>
      <c r="U468" s="49" t="n">
        <f aca="false">IF(T468="Yes",MIN(F468,INDEX(Settings!$G:$G,MATCH(C468,Settings!$E:$E,0))),0)</f>
        <v>0</v>
      </c>
      <c r="V468" s="49" t="str">
        <f aca="false">IF(T468="Yes",SUMIFS($U$5:$U$600,$C$5:$C$600,C468,$Q$5:$Q$600,"&gt;"&amp;Q468)+U468,"")</f>
        <v/>
      </c>
      <c r="W468" s="37" t="str">
        <f aca="false">IF(T468="Yes",IF(V468&lt;=INDEX(PoolList,MATCH(C468,ProgramList,0)),"Within pool","Over pool"),"")</f>
        <v/>
      </c>
      <c r="X468" s="37" t="str">
        <f aca="false">IF(O468="Yes",COUNTIF($O$5:O468,"Yes"),"")</f>
        <v/>
      </c>
    </row>
    <row r="469" customFormat="false" ht="15" hidden="false" customHeight="false" outlineLevel="0" collapsed="false">
      <c r="A469" s="35" t="s">
        <v>1121</v>
      </c>
      <c r="B469" s="35" t="s">
        <v>1122</v>
      </c>
      <c r="C469" s="35" t="s">
        <v>106</v>
      </c>
      <c r="D469" s="35" t="s">
        <v>174</v>
      </c>
      <c r="E469" s="35" t="s">
        <v>175</v>
      </c>
      <c r="F469" s="42" t="n">
        <v>63000</v>
      </c>
      <c r="G469" s="36" t="n">
        <v>45917</v>
      </c>
      <c r="H469" s="35" t="s">
        <v>54</v>
      </c>
      <c r="I469" s="35" t="s">
        <v>82</v>
      </c>
      <c r="J469" s="35" t="s">
        <v>85</v>
      </c>
      <c r="K469" s="35"/>
      <c r="L469" s="48" t="n">
        <f aca="false">IFERROR(AVERAGEIFS('Score Entry'!$M$5:$M$1276,'Score Entry'!$B$5:$B$1276,A469,'Score Entry'!$E$5:$E$1276,"Primary"),"")</f>
        <v>56</v>
      </c>
      <c r="M469" s="48" t="n">
        <f aca="false">IFERROR(AVERAGEIFS('Score Entry'!$M$5:$M$1276,'Score Entry'!$B$5:$B$1276,A469,'Score Entry'!$E$5:$E$1276,"Secondary"),"")</f>
        <v>73</v>
      </c>
      <c r="N469" s="48" t="n">
        <f aca="false">IF(COUNT(L469:M469)=2,ABS(L469-M469),"")</f>
        <v>17</v>
      </c>
      <c r="O469" s="37" t="str">
        <f aca="false">IF(N469="","",IF(N469&gt;=Threshold,"Yes","No"))</f>
        <v>No</v>
      </c>
      <c r="P469" s="48" t="str">
        <f aca="false">IFERROR(AVERAGEIFS('Score Entry'!$M$5:$M$1276,'Score Entry'!$B$5:$B$1276,A469,'Score Entry'!$E$5:$E$1276,"Third"),"")</f>
        <v/>
      </c>
      <c r="Q469" s="48" t="n">
        <f aca="false">IF(H469&lt;&gt;"Eligible","",IF(O469="Yes",IF(ISNUMBER(P469),ROUND(AVERAGE(L469,M469,P469),1),""),IF(O469="No",ROUND(AVERAGE(L469:M469),1),"")))</f>
        <v>64.5</v>
      </c>
      <c r="R469" s="37" t="str">
        <f aca="false">IF(H469&lt;&gt;"Eligible","Screened out",IF(COUNT(L469:M469)=0,"Not started",IF(COUNT(L469:M469)=1,"One read done",IF(O469="Yes",IF(ISNUMBER(P469),"Complete","Needs third read"),"Complete"))))</f>
        <v>Complete</v>
      </c>
      <c r="S469" s="37" t="n">
        <f aca="false">IF(Q469="","",COUNTIFS($C$5:$C$600,C469,$Q$5:$Q$600,"&gt;"&amp;Q469)+1)</f>
        <v>73</v>
      </c>
      <c r="T469" s="37" t="str">
        <f aca="false">IF(Q469="","",IF(Q469&gt;=Cutoff,"Yes","No"))</f>
        <v>No</v>
      </c>
      <c r="U469" s="49" t="n">
        <f aca="false">IF(T469="Yes",MIN(F469,INDEX(Settings!$G:$G,MATCH(C469,Settings!$E:$E,0))),0)</f>
        <v>0</v>
      </c>
      <c r="V469" s="49" t="str">
        <f aca="false">IF(T469="Yes",SUMIFS($U$5:$U$600,$C$5:$C$600,C469,$Q$5:$Q$600,"&gt;"&amp;Q469)+U469,"")</f>
        <v/>
      </c>
      <c r="W469" s="37" t="str">
        <f aca="false">IF(T469="Yes",IF(V469&lt;=INDEX(PoolList,MATCH(C469,ProgramList,0)),"Within pool","Over pool"),"")</f>
        <v/>
      </c>
      <c r="X469" s="37" t="str">
        <f aca="false">IF(O469="Yes",COUNTIF($O$5:O469,"Yes"),"")</f>
        <v/>
      </c>
    </row>
    <row r="470" customFormat="false" ht="15" hidden="false" customHeight="false" outlineLevel="0" collapsed="false">
      <c r="A470" s="35" t="s">
        <v>1123</v>
      </c>
      <c r="B470" s="35" t="s">
        <v>1124</v>
      </c>
      <c r="C470" s="35" t="s">
        <v>104</v>
      </c>
      <c r="D470" s="35" t="s">
        <v>221</v>
      </c>
      <c r="E470" s="35" t="s">
        <v>227</v>
      </c>
      <c r="F470" s="42" t="n">
        <v>57500</v>
      </c>
      <c r="G470" s="36" t="n">
        <v>45923</v>
      </c>
      <c r="H470" s="35" t="s">
        <v>54</v>
      </c>
      <c r="I470" s="35" t="s">
        <v>88</v>
      </c>
      <c r="J470" s="35" t="s">
        <v>85</v>
      </c>
      <c r="K470" s="35"/>
      <c r="L470" s="48" t="n">
        <f aca="false">IFERROR(AVERAGEIFS('Score Entry'!$M$5:$M$1276,'Score Entry'!$B$5:$B$1276,A470,'Score Entry'!$E$5:$E$1276,"Primary"),"")</f>
        <v>77</v>
      </c>
      <c r="M470" s="48" t="n">
        <f aca="false">IFERROR(AVERAGEIFS('Score Entry'!$M$5:$M$1276,'Score Entry'!$B$5:$B$1276,A470,'Score Entry'!$E$5:$E$1276,"Secondary"),"")</f>
        <v>83</v>
      </c>
      <c r="N470" s="48" t="n">
        <f aca="false">IF(COUNT(L470:M470)=2,ABS(L470-M470),"")</f>
        <v>6</v>
      </c>
      <c r="O470" s="37" t="str">
        <f aca="false">IF(N470="","",IF(N470&gt;=Threshold,"Yes","No"))</f>
        <v>No</v>
      </c>
      <c r="P470" s="48" t="str">
        <f aca="false">IFERROR(AVERAGEIFS('Score Entry'!$M$5:$M$1276,'Score Entry'!$B$5:$B$1276,A470,'Score Entry'!$E$5:$E$1276,"Third"),"")</f>
        <v/>
      </c>
      <c r="Q470" s="48" t="n">
        <f aca="false">IF(H470&lt;&gt;"Eligible","",IF(O470="Yes",IF(ISNUMBER(P470),ROUND(AVERAGE(L470,M470,P470),1),""),IF(O470="No",ROUND(AVERAGE(L470:M470),1),"")))</f>
        <v>80</v>
      </c>
      <c r="R470" s="37" t="str">
        <f aca="false">IF(H470&lt;&gt;"Eligible","Screened out",IF(COUNT(L470:M470)=0,"Not started",IF(COUNT(L470:M470)=1,"One read done",IF(O470="Yes",IF(ISNUMBER(P470),"Complete","Needs third read"),"Complete"))))</f>
        <v>Complete</v>
      </c>
      <c r="S470" s="37" t="n">
        <f aca="false">IF(Q470="","",COUNTIFS($C$5:$C$600,C470,$Q$5:$Q$600,"&gt;"&amp;Q470)+1)</f>
        <v>22</v>
      </c>
      <c r="T470" s="37" t="str">
        <f aca="false">IF(Q470="","",IF(Q470&gt;=Cutoff,"Yes","No"))</f>
        <v>No</v>
      </c>
      <c r="U470" s="49" t="n">
        <f aca="false">IF(T470="Yes",MIN(F470,INDEX(Settings!$G:$G,MATCH(C470,Settings!$E:$E,0))),0)</f>
        <v>0</v>
      </c>
      <c r="V470" s="49" t="str">
        <f aca="false">IF(T470="Yes",SUMIFS($U$5:$U$600,$C$5:$C$600,C470,$Q$5:$Q$600,"&gt;"&amp;Q470)+U470,"")</f>
        <v/>
      </c>
      <c r="W470" s="37" t="str">
        <f aca="false">IF(T470="Yes",IF(V470&lt;=INDEX(PoolList,MATCH(C470,ProgramList,0)),"Within pool","Over pool"),"")</f>
        <v/>
      </c>
      <c r="X470" s="37" t="str">
        <f aca="false">IF(O470="Yes",COUNTIF($O$5:O470,"Yes"),"")</f>
        <v/>
      </c>
    </row>
    <row r="471" customFormat="false" ht="15" hidden="false" customHeight="false" outlineLevel="0" collapsed="false">
      <c r="A471" s="35" t="s">
        <v>1125</v>
      </c>
      <c r="B471" s="35" t="s">
        <v>1126</v>
      </c>
      <c r="C471" s="35" t="s">
        <v>103</v>
      </c>
      <c r="D471" s="35" t="s">
        <v>174</v>
      </c>
      <c r="E471" s="35" t="s">
        <v>175</v>
      </c>
      <c r="F471" s="42" t="n">
        <v>82500</v>
      </c>
      <c r="G471" s="36" t="n">
        <v>45910</v>
      </c>
      <c r="H471" s="35" t="s">
        <v>54</v>
      </c>
      <c r="I471" s="35" t="s">
        <v>91</v>
      </c>
      <c r="J471" s="35" t="s">
        <v>82</v>
      </c>
      <c r="K471" s="35"/>
      <c r="L471" s="48" t="n">
        <f aca="false">IFERROR(AVERAGEIFS('Score Entry'!$M$5:$M$1276,'Score Entry'!$B$5:$B$1276,A471,'Score Entry'!$E$5:$E$1276,"Primary"),"")</f>
        <v>85</v>
      </c>
      <c r="M471" s="48" t="n">
        <f aca="false">IFERROR(AVERAGEIFS('Score Entry'!$M$5:$M$1276,'Score Entry'!$B$5:$B$1276,A471,'Score Entry'!$E$5:$E$1276,"Secondary"),"")</f>
        <v>83</v>
      </c>
      <c r="N471" s="48" t="n">
        <f aca="false">IF(COUNT(L471:M471)=2,ABS(L471-M471),"")</f>
        <v>2</v>
      </c>
      <c r="O471" s="37" t="str">
        <f aca="false">IF(N471="","",IF(N471&gt;=Threshold,"Yes","No"))</f>
        <v>No</v>
      </c>
      <c r="P471" s="48" t="str">
        <f aca="false">IFERROR(AVERAGEIFS('Score Entry'!$M$5:$M$1276,'Score Entry'!$B$5:$B$1276,A471,'Score Entry'!$E$5:$E$1276,"Third"),"")</f>
        <v/>
      </c>
      <c r="Q471" s="48" t="n">
        <f aca="false">IF(H471&lt;&gt;"Eligible","",IF(O471="Yes",IF(ISNUMBER(P471),ROUND(AVERAGE(L471,M471,P471),1),""),IF(O471="No",ROUND(AVERAGE(L471:M471),1),"")))</f>
        <v>84</v>
      </c>
      <c r="R471" s="37" t="str">
        <f aca="false">IF(H471&lt;&gt;"Eligible","Screened out",IF(COUNT(L471:M471)=0,"Not started",IF(COUNT(L471:M471)=1,"One read done",IF(O471="Yes",IF(ISNUMBER(P471),"Complete","Needs third read"),"Complete"))))</f>
        <v>Complete</v>
      </c>
      <c r="S471" s="37" t="n">
        <f aca="false">IF(Q471="","",COUNTIFS($C$5:$C$600,C471,$Q$5:$Q$600,"&gt;"&amp;Q471)+1)</f>
        <v>15</v>
      </c>
      <c r="T471" s="37" t="str">
        <f aca="false">IF(Q471="","",IF(Q471&gt;=Cutoff,"Yes","No"))</f>
        <v>No</v>
      </c>
      <c r="U471" s="49" t="n">
        <f aca="false">IF(T471="Yes",MIN(F471,INDEX(Settings!$G:$G,MATCH(C471,Settings!$E:$E,0))),0)</f>
        <v>0</v>
      </c>
      <c r="V471" s="49" t="str">
        <f aca="false">IF(T471="Yes",SUMIFS($U$5:$U$600,$C$5:$C$600,C471,$Q$5:$Q$600,"&gt;"&amp;Q471)+U471,"")</f>
        <v/>
      </c>
      <c r="W471" s="37" t="str">
        <f aca="false">IF(T471="Yes",IF(V471&lt;=INDEX(PoolList,MATCH(C471,ProgramList,0)),"Within pool","Over pool"),"")</f>
        <v/>
      </c>
      <c r="X471" s="37" t="str">
        <f aca="false">IF(O471="Yes",COUNTIF($O$5:O471,"Yes"),"")</f>
        <v/>
      </c>
    </row>
    <row r="472" customFormat="false" ht="15" hidden="false" customHeight="false" outlineLevel="0" collapsed="false">
      <c r="A472" s="35" t="s">
        <v>1127</v>
      </c>
      <c r="B472" s="35" t="s">
        <v>1128</v>
      </c>
      <c r="C472" s="35" t="s">
        <v>105</v>
      </c>
      <c r="D472" s="35" t="s">
        <v>174</v>
      </c>
      <c r="E472" s="35" t="s">
        <v>175</v>
      </c>
      <c r="F472" s="42" t="n">
        <v>127500</v>
      </c>
      <c r="G472" s="36" t="n">
        <v>45911</v>
      </c>
      <c r="H472" s="35" t="s">
        <v>96</v>
      </c>
      <c r="I472" s="35"/>
      <c r="J472" s="35"/>
      <c r="K472" s="35"/>
      <c r="L472" s="48" t="str">
        <f aca="false">IFERROR(AVERAGEIFS('Score Entry'!$M$5:$M$1276,'Score Entry'!$B$5:$B$1276,A472,'Score Entry'!$E$5:$E$1276,"Primary"),"")</f>
        <v/>
      </c>
      <c r="M472" s="48" t="str">
        <f aca="false">IFERROR(AVERAGEIFS('Score Entry'!$M$5:$M$1276,'Score Entry'!$B$5:$B$1276,A472,'Score Entry'!$E$5:$E$1276,"Secondary"),"")</f>
        <v/>
      </c>
      <c r="N472" s="48" t="str">
        <f aca="false">IF(COUNT(L472:M472)=2,ABS(L472-M472),"")</f>
        <v/>
      </c>
      <c r="O472" s="37" t="str">
        <f aca="false">IF(N472="","",IF(N472&gt;=Threshold,"Yes","No"))</f>
        <v/>
      </c>
      <c r="P472" s="48" t="str">
        <f aca="false">IFERROR(AVERAGEIFS('Score Entry'!$M$5:$M$1276,'Score Entry'!$B$5:$B$1276,A472,'Score Entry'!$E$5:$E$1276,"Third"),"")</f>
        <v/>
      </c>
      <c r="Q472" s="48" t="str">
        <f aca="false">IF(H472&lt;&gt;"Eligible","",IF(O472="Yes",IF(ISNUMBER(P472),ROUND(AVERAGE(L472,M472,P472),1),""),IF(O472="No",ROUND(AVERAGE(L472:M472),1),"")))</f>
        <v/>
      </c>
      <c r="R472" s="37" t="str">
        <f aca="false">IF(H472&lt;&gt;"Eligible","Screened out",IF(COUNT(L472:M472)=0,"Not started",IF(COUNT(L472:M472)=1,"One read done",IF(O472="Yes",IF(ISNUMBER(P472),"Complete","Needs third read"),"Complete"))))</f>
        <v>Screened out</v>
      </c>
      <c r="S472" s="37" t="str">
        <f aca="false">IF(Q472="","",COUNTIFS($C$5:$C$600,C472,$Q$5:$Q$600,"&gt;"&amp;Q472)+1)</f>
        <v/>
      </c>
      <c r="T472" s="37" t="str">
        <f aca="false">IF(Q472="","",IF(Q472&gt;=Cutoff,"Yes","No"))</f>
        <v/>
      </c>
      <c r="U472" s="49" t="n">
        <f aca="false">IF(T472="Yes",MIN(F472,INDEX(Settings!$G:$G,MATCH(C472,Settings!$E:$E,0))),0)</f>
        <v>0</v>
      </c>
      <c r="V472" s="49" t="str">
        <f aca="false">IF(T472="Yes",SUMIFS($U$5:$U$600,$C$5:$C$600,C472,$Q$5:$Q$600,"&gt;"&amp;Q472)+U472,"")</f>
        <v/>
      </c>
      <c r="W472" s="37" t="str">
        <f aca="false">IF(T472="Yes",IF(V472&lt;=INDEX(PoolList,MATCH(C472,ProgramList,0)),"Within pool","Over pool"),"")</f>
        <v/>
      </c>
      <c r="X472" s="37" t="str">
        <f aca="false">IF(O472="Yes",COUNTIF($O$5:O472,"Yes"),"")</f>
        <v/>
      </c>
    </row>
    <row r="473" customFormat="false" ht="15" hidden="false" customHeight="false" outlineLevel="0" collapsed="false">
      <c r="A473" s="35" t="s">
        <v>1129</v>
      </c>
      <c r="B473" s="35" t="s">
        <v>1130</v>
      </c>
      <c r="C473" s="35" t="s">
        <v>106</v>
      </c>
      <c r="D473" s="35" t="s">
        <v>174</v>
      </c>
      <c r="E473" s="35" t="s">
        <v>232</v>
      </c>
      <c r="F473" s="42" t="n">
        <v>35000</v>
      </c>
      <c r="G473" s="36" t="n">
        <v>45917</v>
      </c>
      <c r="H473" s="35" t="s">
        <v>54</v>
      </c>
      <c r="I473" s="35" t="s">
        <v>78</v>
      </c>
      <c r="J473" s="35" t="s">
        <v>91</v>
      </c>
      <c r="K473" s="35"/>
      <c r="L473" s="48" t="n">
        <f aca="false">IFERROR(AVERAGEIFS('Score Entry'!$M$5:$M$1276,'Score Entry'!$B$5:$B$1276,A473,'Score Entry'!$E$5:$E$1276,"Primary"),"")</f>
        <v>78</v>
      </c>
      <c r="M473" s="48" t="n">
        <f aca="false">IFERROR(AVERAGEIFS('Score Entry'!$M$5:$M$1276,'Score Entry'!$B$5:$B$1276,A473,'Score Entry'!$E$5:$E$1276,"Secondary"),"")</f>
        <v>80</v>
      </c>
      <c r="N473" s="48" t="n">
        <f aca="false">IF(COUNT(L473:M473)=2,ABS(L473-M473),"")</f>
        <v>2</v>
      </c>
      <c r="O473" s="37" t="str">
        <f aca="false">IF(N473="","",IF(N473&gt;=Threshold,"Yes","No"))</f>
        <v>No</v>
      </c>
      <c r="P473" s="48" t="str">
        <f aca="false">IFERROR(AVERAGEIFS('Score Entry'!$M$5:$M$1276,'Score Entry'!$B$5:$B$1276,A473,'Score Entry'!$E$5:$E$1276,"Third"),"")</f>
        <v/>
      </c>
      <c r="Q473" s="48" t="n">
        <f aca="false">IF(H473&lt;&gt;"Eligible","",IF(O473="Yes",IF(ISNUMBER(P473),ROUND(AVERAGE(L473,M473,P473),1),""),IF(O473="No",ROUND(AVERAGE(L473:M473),1),"")))</f>
        <v>79</v>
      </c>
      <c r="R473" s="37" t="str">
        <f aca="false">IF(H473&lt;&gt;"Eligible","Screened out",IF(COUNT(L473:M473)=0,"Not started",IF(COUNT(L473:M473)=1,"One read done",IF(O473="Yes",IF(ISNUMBER(P473),"Complete","Needs third read"),"Complete"))))</f>
        <v>Complete</v>
      </c>
      <c r="S473" s="37" t="n">
        <f aca="false">IF(Q473="","",COUNTIFS($C$5:$C$600,C473,$Q$5:$Q$600,"&gt;"&amp;Q473)+1)</f>
        <v>23</v>
      </c>
      <c r="T473" s="37" t="str">
        <f aca="false">IF(Q473="","",IF(Q473&gt;=Cutoff,"Yes","No"))</f>
        <v>No</v>
      </c>
      <c r="U473" s="49" t="n">
        <f aca="false">IF(T473="Yes",MIN(F473,INDEX(Settings!$G:$G,MATCH(C473,Settings!$E:$E,0))),0)</f>
        <v>0</v>
      </c>
      <c r="V473" s="49" t="str">
        <f aca="false">IF(T473="Yes",SUMIFS($U$5:$U$600,$C$5:$C$600,C473,$Q$5:$Q$600,"&gt;"&amp;Q473)+U473,"")</f>
        <v/>
      </c>
      <c r="W473" s="37" t="str">
        <f aca="false">IF(T473="Yes",IF(V473&lt;=INDEX(PoolList,MATCH(C473,ProgramList,0)),"Within pool","Over pool"),"")</f>
        <v/>
      </c>
      <c r="X473" s="37" t="str">
        <f aca="false">IF(O473="Yes",COUNTIF($O$5:O473,"Yes"),"")</f>
        <v/>
      </c>
    </row>
    <row r="474" customFormat="false" ht="15" hidden="false" customHeight="false" outlineLevel="0" collapsed="false">
      <c r="A474" s="35" t="s">
        <v>1131</v>
      </c>
      <c r="B474" s="35" t="s">
        <v>1132</v>
      </c>
      <c r="C474" s="35" t="s">
        <v>104</v>
      </c>
      <c r="D474" s="35" t="s">
        <v>174</v>
      </c>
      <c r="E474" s="35" t="s">
        <v>175</v>
      </c>
      <c r="F474" s="42" t="n">
        <v>108500</v>
      </c>
      <c r="G474" s="36" t="n">
        <v>45926</v>
      </c>
      <c r="H474" s="35" t="s">
        <v>54</v>
      </c>
      <c r="I474" s="35" t="s">
        <v>94</v>
      </c>
      <c r="J474" s="35" t="s">
        <v>85</v>
      </c>
      <c r="K474" s="35"/>
      <c r="L474" s="48" t="n">
        <f aca="false">IFERROR(AVERAGEIFS('Score Entry'!$M$5:$M$1276,'Score Entry'!$B$5:$B$1276,A474,'Score Entry'!$E$5:$E$1276,"Primary"),"")</f>
        <v>68</v>
      </c>
      <c r="M474" s="48" t="n">
        <f aca="false">IFERROR(AVERAGEIFS('Score Entry'!$M$5:$M$1276,'Score Entry'!$B$5:$B$1276,A474,'Score Entry'!$E$5:$E$1276,"Secondary"),"")</f>
        <v>56</v>
      </c>
      <c r="N474" s="48" t="n">
        <f aca="false">IF(COUNT(L474:M474)=2,ABS(L474-M474),"")</f>
        <v>12</v>
      </c>
      <c r="O474" s="37" t="str">
        <f aca="false">IF(N474="","",IF(N474&gt;=Threshold,"Yes","No"))</f>
        <v>No</v>
      </c>
      <c r="P474" s="48" t="str">
        <f aca="false">IFERROR(AVERAGEIFS('Score Entry'!$M$5:$M$1276,'Score Entry'!$B$5:$B$1276,A474,'Score Entry'!$E$5:$E$1276,"Third"),"")</f>
        <v/>
      </c>
      <c r="Q474" s="48" t="n">
        <f aca="false">IF(H474&lt;&gt;"Eligible","",IF(O474="Yes",IF(ISNUMBER(P474),ROUND(AVERAGE(L474,M474,P474),1),""),IF(O474="No",ROUND(AVERAGE(L474:M474),1),"")))</f>
        <v>62</v>
      </c>
      <c r="R474" s="37" t="str">
        <f aca="false">IF(H474&lt;&gt;"Eligible","Screened out",IF(COUNT(L474:M474)=0,"Not started",IF(COUNT(L474:M474)=1,"One read done",IF(O474="Yes",IF(ISNUMBER(P474),"Complete","Needs third read"),"Complete"))))</f>
        <v>Complete</v>
      </c>
      <c r="S474" s="37" t="n">
        <f aca="false">IF(Q474="","",COUNTIFS($C$5:$C$600,C474,$Q$5:$Q$600,"&gt;"&amp;Q474)+1)</f>
        <v>68</v>
      </c>
      <c r="T474" s="37" t="str">
        <f aca="false">IF(Q474="","",IF(Q474&gt;=Cutoff,"Yes","No"))</f>
        <v>No</v>
      </c>
      <c r="U474" s="49" t="n">
        <f aca="false">IF(T474="Yes",MIN(F474,INDEX(Settings!$G:$G,MATCH(C474,Settings!$E:$E,0))),0)</f>
        <v>0</v>
      </c>
      <c r="V474" s="49" t="str">
        <f aca="false">IF(T474="Yes",SUMIFS($U$5:$U$600,$C$5:$C$600,C474,$Q$5:$Q$600,"&gt;"&amp;Q474)+U474,"")</f>
        <v/>
      </c>
      <c r="W474" s="37" t="str">
        <f aca="false">IF(T474="Yes",IF(V474&lt;=INDEX(PoolList,MATCH(C474,ProgramList,0)),"Within pool","Over pool"),"")</f>
        <v/>
      </c>
      <c r="X474" s="37" t="str">
        <f aca="false">IF(O474="Yes",COUNTIF($O$5:O474,"Yes"),"")</f>
        <v/>
      </c>
    </row>
    <row r="475" customFormat="false" ht="15" hidden="false" customHeight="false" outlineLevel="0" collapsed="false">
      <c r="A475" s="35" t="s">
        <v>1133</v>
      </c>
      <c r="B475" s="35" t="s">
        <v>1134</v>
      </c>
      <c r="C475" s="35" t="s">
        <v>103</v>
      </c>
      <c r="D475" s="35" t="s">
        <v>174</v>
      </c>
      <c r="E475" s="35" t="s">
        <v>175</v>
      </c>
      <c r="F475" s="42" t="n">
        <v>44500</v>
      </c>
      <c r="G475" s="36" t="n">
        <v>45915</v>
      </c>
      <c r="H475" s="35" t="s">
        <v>54</v>
      </c>
      <c r="I475" s="35" t="s">
        <v>88</v>
      </c>
      <c r="J475" s="35" t="s">
        <v>78</v>
      </c>
      <c r="K475" s="35"/>
      <c r="L475" s="48" t="n">
        <f aca="false">IFERROR(AVERAGEIFS('Score Entry'!$M$5:$M$1276,'Score Entry'!$B$5:$B$1276,A475,'Score Entry'!$E$5:$E$1276,"Primary"),"")</f>
        <v>70</v>
      </c>
      <c r="M475" s="48" t="n">
        <f aca="false">IFERROR(AVERAGEIFS('Score Entry'!$M$5:$M$1276,'Score Entry'!$B$5:$B$1276,A475,'Score Entry'!$E$5:$E$1276,"Secondary"),"")</f>
        <v>67</v>
      </c>
      <c r="N475" s="48" t="n">
        <f aca="false">IF(COUNT(L475:M475)=2,ABS(L475-M475),"")</f>
        <v>3</v>
      </c>
      <c r="O475" s="37" t="str">
        <f aca="false">IF(N475="","",IF(N475&gt;=Threshold,"Yes","No"))</f>
        <v>No</v>
      </c>
      <c r="P475" s="48" t="str">
        <f aca="false">IFERROR(AVERAGEIFS('Score Entry'!$M$5:$M$1276,'Score Entry'!$B$5:$B$1276,A475,'Score Entry'!$E$5:$E$1276,"Third"),"")</f>
        <v/>
      </c>
      <c r="Q475" s="48" t="n">
        <f aca="false">IF(H475&lt;&gt;"Eligible","",IF(O475="Yes",IF(ISNUMBER(P475),ROUND(AVERAGE(L475,M475,P475),1),""),IF(O475="No",ROUND(AVERAGE(L475:M475),1),"")))</f>
        <v>68.5</v>
      </c>
      <c r="R475" s="37" t="str">
        <f aca="false">IF(H475&lt;&gt;"Eligible","Screened out",IF(COUNT(L475:M475)=0,"Not started",IF(COUNT(L475:M475)=1,"One read done",IF(O475="Yes",IF(ISNUMBER(P475),"Complete","Needs third read"),"Complete"))))</f>
        <v>Complete</v>
      </c>
      <c r="S475" s="37" t="n">
        <f aca="false">IF(Q475="","",COUNTIFS($C$5:$C$600,C475,$Q$5:$Q$600,"&gt;"&amp;Q475)+1)</f>
        <v>71</v>
      </c>
      <c r="T475" s="37" t="str">
        <f aca="false">IF(Q475="","",IF(Q475&gt;=Cutoff,"Yes","No"))</f>
        <v>No</v>
      </c>
      <c r="U475" s="49" t="n">
        <f aca="false">IF(T475="Yes",MIN(F475,INDEX(Settings!$G:$G,MATCH(C475,Settings!$E:$E,0))),0)</f>
        <v>0</v>
      </c>
      <c r="V475" s="49" t="str">
        <f aca="false">IF(T475="Yes",SUMIFS($U$5:$U$600,$C$5:$C$600,C475,$Q$5:$Q$600,"&gt;"&amp;Q475)+U475,"")</f>
        <v/>
      </c>
      <c r="W475" s="37" t="str">
        <f aca="false">IF(T475="Yes",IF(V475&lt;=INDEX(PoolList,MATCH(C475,ProgramList,0)),"Within pool","Over pool"),"")</f>
        <v/>
      </c>
      <c r="X475" s="37" t="str">
        <f aca="false">IF(O475="Yes",COUNTIF($O$5:O475,"Yes"),"")</f>
        <v/>
      </c>
    </row>
    <row r="476" customFormat="false" ht="15" hidden="false" customHeight="false" outlineLevel="0" collapsed="false">
      <c r="A476" s="35" t="s">
        <v>1135</v>
      </c>
      <c r="B476" s="35" t="s">
        <v>1136</v>
      </c>
      <c r="C476" s="35" t="s">
        <v>103</v>
      </c>
      <c r="D476" s="35" t="s">
        <v>174</v>
      </c>
      <c r="E476" s="35" t="s">
        <v>175</v>
      </c>
      <c r="F476" s="42" t="n">
        <v>65000</v>
      </c>
      <c r="G476" s="36" t="n">
        <v>45915</v>
      </c>
      <c r="H476" s="35" t="s">
        <v>96</v>
      </c>
      <c r="I476" s="35"/>
      <c r="J476" s="35"/>
      <c r="K476" s="35"/>
      <c r="L476" s="48" t="str">
        <f aca="false">IFERROR(AVERAGEIFS('Score Entry'!$M$5:$M$1276,'Score Entry'!$B$5:$B$1276,A476,'Score Entry'!$E$5:$E$1276,"Primary"),"")</f>
        <v/>
      </c>
      <c r="M476" s="48" t="str">
        <f aca="false">IFERROR(AVERAGEIFS('Score Entry'!$M$5:$M$1276,'Score Entry'!$B$5:$B$1276,A476,'Score Entry'!$E$5:$E$1276,"Secondary"),"")</f>
        <v/>
      </c>
      <c r="N476" s="48" t="str">
        <f aca="false">IF(COUNT(L476:M476)=2,ABS(L476-M476),"")</f>
        <v/>
      </c>
      <c r="O476" s="37" t="str">
        <f aca="false">IF(N476="","",IF(N476&gt;=Threshold,"Yes","No"))</f>
        <v/>
      </c>
      <c r="P476" s="48" t="str">
        <f aca="false">IFERROR(AVERAGEIFS('Score Entry'!$M$5:$M$1276,'Score Entry'!$B$5:$B$1276,A476,'Score Entry'!$E$5:$E$1276,"Third"),"")</f>
        <v/>
      </c>
      <c r="Q476" s="48" t="str">
        <f aca="false">IF(H476&lt;&gt;"Eligible","",IF(O476="Yes",IF(ISNUMBER(P476),ROUND(AVERAGE(L476,M476,P476),1),""),IF(O476="No",ROUND(AVERAGE(L476:M476),1),"")))</f>
        <v/>
      </c>
      <c r="R476" s="37" t="str">
        <f aca="false">IF(H476&lt;&gt;"Eligible","Screened out",IF(COUNT(L476:M476)=0,"Not started",IF(COUNT(L476:M476)=1,"One read done",IF(O476="Yes",IF(ISNUMBER(P476),"Complete","Needs third read"),"Complete"))))</f>
        <v>Screened out</v>
      </c>
      <c r="S476" s="37" t="str">
        <f aca="false">IF(Q476="","",COUNTIFS($C$5:$C$600,C476,$Q$5:$Q$600,"&gt;"&amp;Q476)+1)</f>
        <v/>
      </c>
      <c r="T476" s="37" t="str">
        <f aca="false">IF(Q476="","",IF(Q476&gt;=Cutoff,"Yes","No"))</f>
        <v/>
      </c>
      <c r="U476" s="49" t="n">
        <f aca="false">IF(T476="Yes",MIN(F476,INDEX(Settings!$G:$G,MATCH(C476,Settings!$E:$E,0))),0)</f>
        <v>0</v>
      </c>
      <c r="V476" s="49" t="str">
        <f aca="false">IF(T476="Yes",SUMIFS($U$5:$U$600,$C$5:$C$600,C476,$Q$5:$Q$600,"&gt;"&amp;Q476)+U476,"")</f>
        <v/>
      </c>
      <c r="W476" s="37" t="str">
        <f aca="false">IF(T476="Yes",IF(V476&lt;=INDEX(PoolList,MATCH(C476,ProgramList,0)),"Within pool","Over pool"),"")</f>
        <v/>
      </c>
      <c r="X476" s="37" t="str">
        <f aca="false">IF(O476="Yes",COUNTIF($O$5:O476,"Yes"),"")</f>
        <v/>
      </c>
    </row>
    <row r="477" customFormat="false" ht="15" hidden="false" customHeight="false" outlineLevel="0" collapsed="false">
      <c r="A477" s="35" t="s">
        <v>1137</v>
      </c>
      <c r="B477" s="35" t="s">
        <v>1138</v>
      </c>
      <c r="C477" s="35" t="s">
        <v>103</v>
      </c>
      <c r="D477" s="35" t="s">
        <v>180</v>
      </c>
      <c r="E477" s="35" t="s">
        <v>269</v>
      </c>
      <c r="F477" s="42" t="n">
        <v>28000</v>
      </c>
      <c r="G477" s="36" t="n">
        <v>45909</v>
      </c>
      <c r="H477" s="35" t="s">
        <v>54</v>
      </c>
      <c r="I477" s="35" t="s">
        <v>78</v>
      </c>
      <c r="J477" s="35" t="s">
        <v>82</v>
      </c>
      <c r="K477" s="35"/>
      <c r="L477" s="48" t="n">
        <f aca="false">IFERROR(AVERAGEIFS('Score Entry'!$M$5:$M$1276,'Score Entry'!$B$5:$B$1276,A477,'Score Entry'!$E$5:$E$1276,"Primary"),"")</f>
        <v>76</v>
      </c>
      <c r="M477" s="48" t="n">
        <f aca="false">IFERROR(AVERAGEIFS('Score Entry'!$M$5:$M$1276,'Score Entry'!$B$5:$B$1276,A477,'Score Entry'!$E$5:$E$1276,"Secondary"),"")</f>
        <v>66</v>
      </c>
      <c r="N477" s="48" t="n">
        <f aca="false">IF(COUNT(L477:M477)=2,ABS(L477-M477),"")</f>
        <v>10</v>
      </c>
      <c r="O477" s="37" t="str">
        <f aca="false">IF(N477="","",IF(N477&gt;=Threshold,"Yes","No"))</f>
        <v>No</v>
      </c>
      <c r="P477" s="48" t="str">
        <f aca="false">IFERROR(AVERAGEIFS('Score Entry'!$M$5:$M$1276,'Score Entry'!$B$5:$B$1276,A477,'Score Entry'!$E$5:$E$1276,"Third"),"")</f>
        <v/>
      </c>
      <c r="Q477" s="48" t="n">
        <f aca="false">IF(H477&lt;&gt;"Eligible","",IF(O477="Yes",IF(ISNUMBER(P477),ROUND(AVERAGE(L477,M477,P477),1),""),IF(O477="No",ROUND(AVERAGE(L477:M477),1),"")))</f>
        <v>71</v>
      </c>
      <c r="R477" s="37" t="str">
        <f aca="false">IF(H477&lt;&gt;"Eligible","Screened out",IF(COUNT(L477:M477)=0,"Not started",IF(COUNT(L477:M477)=1,"One read done",IF(O477="Yes",IF(ISNUMBER(P477),"Complete","Needs third read"),"Complete"))))</f>
        <v>Complete</v>
      </c>
      <c r="S477" s="37" t="n">
        <f aca="false">IF(Q477="","",COUNTIFS($C$5:$C$600,C477,$Q$5:$Q$600,"&gt;"&amp;Q477)+1)</f>
        <v>60</v>
      </c>
      <c r="T477" s="37" t="str">
        <f aca="false">IF(Q477="","",IF(Q477&gt;=Cutoff,"Yes","No"))</f>
        <v>No</v>
      </c>
      <c r="U477" s="49" t="n">
        <f aca="false">IF(T477="Yes",MIN(F477,INDEX(Settings!$G:$G,MATCH(C477,Settings!$E:$E,0))),0)</f>
        <v>0</v>
      </c>
      <c r="V477" s="49" t="str">
        <f aca="false">IF(T477="Yes",SUMIFS($U$5:$U$600,$C$5:$C$600,C477,$Q$5:$Q$600,"&gt;"&amp;Q477)+U477,"")</f>
        <v/>
      </c>
      <c r="W477" s="37" t="str">
        <f aca="false">IF(T477="Yes",IF(V477&lt;=INDEX(PoolList,MATCH(C477,ProgramList,0)),"Within pool","Over pool"),"")</f>
        <v/>
      </c>
      <c r="X477" s="37" t="str">
        <f aca="false">IF(O477="Yes",COUNTIF($O$5:O477,"Yes"),"")</f>
        <v/>
      </c>
    </row>
    <row r="478" customFormat="false" ht="15" hidden="false" customHeight="false" outlineLevel="0" collapsed="false">
      <c r="A478" s="35" t="s">
        <v>1139</v>
      </c>
      <c r="B478" s="35" t="s">
        <v>1140</v>
      </c>
      <c r="C478" s="35" t="s">
        <v>104</v>
      </c>
      <c r="D478" s="35" t="s">
        <v>174</v>
      </c>
      <c r="E478" s="35" t="s">
        <v>175</v>
      </c>
      <c r="F478" s="42" t="n">
        <v>28500</v>
      </c>
      <c r="G478" s="36" t="n">
        <v>45919</v>
      </c>
      <c r="H478" s="35" t="s">
        <v>54</v>
      </c>
      <c r="I478" s="35" t="s">
        <v>94</v>
      </c>
      <c r="J478" s="35" t="s">
        <v>85</v>
      </c>
      <c r="K478" s="35"/>
      <c r="L478" s="48" t="n">
        <f aca="false">IFERROR(AVERAGEIFS('Score Entry'!$M$5:$M$1276,'Score Entry'!$B$5:$B$1276,A478,'Score Entry'!$E$5:$E$1276,"Primary"),"")</f>
        <v>93</v>
      </c>
      <c r="M478" s="48" t="n">
        <f aca="false">IFERROR(AVERAGEIFS('Score Entry'!$M$5:$M$1276,'Score Entry'!$B$5:$B$1276,A478,'Score Entry'!$E$5:$E$1276,"Secondary"),"")</f>
        <v>89</v>
      </c>
      <c r="N478" s="48" t="n">
        <f aca="false">IF(COUNT(L478:M478)=2,ABS(L478-M478),"")</f>
        <v>4</v>
      </c>
      <c r="O478" s="37" t="str">
        <f aca="false">IF(N478="","",IF(N478&gt;=Threshold,"Yes","No"))</f>
        <v>No</v>
      </c>
      <c r="P478" s="48" t="str">
        <f aca="false">IFERROR(AVERAGEIFS('Score Entry'!$M$5:$M$1276,'Score Entry'!$B$5:$B$1276,A478,'Score Entry'!$E$5:$E$1276,"Third"),"")</f>
        <v/>
      </c>
      <c r="Q478" s="48" t="n">
        <f aca="false">IF(H478&lt;&gt;"Eligible","",IF(O478="Yes",IF(ISNUMBER(P478),ROUND(AVERAGE(L478,M478,P478),1),""),IF(O478="No",ROUND(AVERAGE(L478:M478),1),"")))</f>
        <v>91</v>
      </c>
      <c r="R478" s="37" t="str">
        <f aca="false">IF(H478&lt;&gt;"Eligible","Screened out",IF(COUNT(L478:M478)=0,"Not started",IF(COUNT(L478:M478)=1,"One read done",IF(O478="Yes",IF(ISNUMBER(P478),"Complete","Needs third read"),"Complete"))))</f>
        <v>Complete</v>
      </c>
      <c r="S478" s="37" t="n">
        <f aca="false">IF(Q478="","",COUNTIFS($C$5:$C$600,C478,$Q$5:$Q$600,"&gt;"&amp;Q478)+1)</f>
        <v>9</v>
      </c>
      <c r="T478" s="37" t="str">
        <f aca="false">IF(Q478="","",IF(Q478&gt;=Cutoff,"Yes","No"))</f>
        <v>Yes</v>
      </c>
      <c r="U478" s="49" t="n">
        <f aca="false">IF(T478="Yes",MIN(F478,INDEX(Settings!$G:$G,MATCH(C478,Settings!$E:$E,0))),0)</f>
        <v>28500</v>
      </c>
      <c r="V478" s="49" t="n">
        <f aca="false">IF(T478="Yes",SUMIFS($U$5:$U$600,$C$5:$C$600,C478,$Q$5:$Q$600,"&gt;"&amp;Q478)+U478,"")</f>
        <v>946500</v>
      </c>
      <c r="W478" s="37" t="str">
        <f aca="false">IF(T478="Yes",IF(V478&lt;=INDEX(PoolList,MATCH(C478,ProgramList,0)),"Within pool","Over pool"),"")</f>
        <v>Within pool</v>
      </c>
      <c r="X478" s="37" t="str">
        <f aca="false">IF(O478="Yes",COUNTIF($O$5:O478,"Yes"),"")</f>
        <v/>
      </c>
    </row>
    <row r="479" customFormat="false" ht="15" hidden="false" customHeight="false" outlineLevel="0" collapsed="false">
      <c r="A479" s="35" t="s">
        <v>1141</v>
      </c>
      <c r="B479" s="35" t="s">
        <v>1142</v>
      </c>
      <c r="C479" s="35" t="s">
        <v>103</v>
      </c>
      <c r="D479" s="35" t="s">
        <v>174</v>
      </c>
      <c r="E479" s="35" t="s">
        <v>232</v>
      </c>
      <c r="F479" s="42" t="n">
        <v>135500</v>
      </c>
      <c r="G479" s="36" t="n">
        <v>45910</v>
      </c>
      <c r="H479" s="35" t="s">
        <v>54</v>
      </c>
      <c r="I479" s="35" t="s">
        <v>88</v>
      </c>
      <c r="J479" s="35" t="s">
        <v>91</v>
      </c>
      <c r="K479" s="35" t="s">
        <v>85</v>
      </c>
      <c r="L479" s="48" t="n">
        <f aca="false">IFERROR(AVERAGEIFS('Score Entry'!$M$5:$M$1276,'Score Entry'!$B$5:$B$1276,A479,'Score Entry'!$E$5:$E$1276,"Primary"),"")</f>
        <v>61</v>
      </c>
      <c r="M479" s="48" t="n">
        <f aca="false">IFERROR(AVERAGEIFS('Score Entry'!$M$5:$M$1276,'Score Entry'!$B$5:$B$1276,A479,'Score Entry'!$E$5:$E$1276,"Secondary"),"")</f>
        <v>80</v>
      </c>
      <c r="N479" s="48" t="n">
        <f aca="false">IF(COUNT(L479:M479)=2,ABS(L479-M479),"")</f>
        <v>19</v>
      </c>
      <c r="O479" s="37" t="str">
        <f aca="false">IF(N479="","",IF(N479&gt;=Threshold,"Yes","No"))</f>
        <v>Yes</v>
      </c>
      <c r="P479" s="48" t="n">
        <f aca="false">IFERROR(AVERAGEIFS('Score Entry'!$M$5:$M$1276,'Score Entry'!$B$5:$B$1276,A479,'Score Entry'!$E$5:$E$1276,"Third"),"")</f>
        <v>64</v>
      </c>
      <c r="Q479" s="48" t="n">
        <f aca="false">IF(H479&lt;&gt;"Eligible","",IF(O479="Yes",IF(ISNUMBER(P479),ROUND(AVERAGE(L479,M479,P479),1),""),IF(O479="No",ROUND(AVERAGE(L479:M479),1),"")))</f>
        <v>68.3</v>
      </c>
      <c r="R479" s="37" t="str">
        <f aca="false">IF(H479&lt;&gt;"Eligible","Screened out",IF(COUNT(L479:M479)=0,"Not started",IF(COUNT(L479:M479)=1,"One read done",IF(O479="Yes",IF(ISNUMBER(P479),"Complete","Needs third read"),"Complete"))))</f>
        <v>Complete</v>
      </c>
      <c r="S479" s="37" t="n">
        <f aca="false">IF(Q479="","",COUNTIFS($C$5:$C$600,C479,$Q$5:$Q$600,"&gt;"&amp;Q479)+1)</f>
        <v>76</v>
      </c>
      <c r="T479" s="37" t="str">
        <f aca="false">IF(Q479="","",IF(Q479&gt;=Cutoff,"Yes","No"))</f>
        <v>No</v>
      </c>
      <c r="U479" s="49" t="n">
        <f aca="false">IF(T479="Yes",MIN(F479,INDEX(Settings!$G:$G,MATCH(C479,Settings!$E:$E,0))),0)</f>
        <v>0</v>
      </c>
      <c r="V479" s="49" t="str">
        <f aca="false">IF(T479="Yes",SUMIFS($U$5:$U$600,$C$5:$C$600,C479,$Q$5:$Q$600,"&gt;"&amp;Q479)+U479,"")</f>
        <v/>
      </c>
      <c r="W479" s="37" t="str">
        <f aca="false">IF(T479="Yes",IF(V479&lt;=INDEX(PoolList,MATCH(C479,ProgramList,0)),"Within pool","Over pool"),"")</f>
        <v/>
      </c>
      <c r="X479" s="37" t="n">
        <f aca="false">IF(O479="Yes",COUNTIF($O$5:O479,"Yes"),"")</f>
        <v>58</v>
      </c>
    </row>
    <row r="480" customFormat="false" ht="15" hidden="false" customHeight="false" outlineLevel="0" collapsed="false">
      <c r="A480" s="35" t="s">
        <v>1143</v>
      </c>
      <c r="B480" s="35" t="s">
        <v>1144</v>
      </c>
      <c r="C480" s="35" t="s">
        <v>103</v>
      </c>
      <c r="D480" s="35" t="s">
        <v>221</v>
      </c>
      <c r="E480" s="35" t="s">
        <v>258</v>
      </c>
      <c r="F480" s="42" t="n">
        <v>87000</v>
      </c>
      <c r="G480" s="36" t="n">
        <v>45921</v>
      </c>
      <c r="H480" s="35" t="s">
        <v>54</v>
      </c>
      <c r="I480" s="35" t="s">
        <v>82</v>
      </c>
      <c r="J480" s="35" t="s">
        <v>88</v>
      </c>
      <c r="K480" s="35"/>
      <c r="L480" s="48" t="n">
        <f aca="false">IFERROR(AVERAGEIFS('Score Entry'!$M$5:$M$1276,'Score Entry'!$B$5:$B$1276,A480,'Score Entry'!$E$5:$E$1276,"Primary"),"")</f>
        <v>74</v>
      </c>
      <c r="M480" s="48" t="n">
        <f aca="false">IFERROR(AVERAGEIFS('Score Entry'!$M$5:$M$1276,'Score Entry'!$B$5:$B$1276,A480,'Score Entry'!$E$5:$E$1276,"Secondary"),"")</f>
        <v>74</v>
      </c>
      <c r="N480" s="48" t="n">
        <f aca="false">IF(COUNT(L480:M480)=2,ABS(L480-M480),"")</f>
        <v>0</v>
      </c>
      <c r="O480" s="37" t="str">
        <f aca="false">IF(N480="","",IF(N480&gt;=Threshold,"Yes","No"))</f>
        <v>No</v>
      </c>
      <c r="P480" s="48" t="str">
        <f aca="false">IFERROR(AVERAGEIFS('Score Entry'!$M$5:$M$1276,'Score Entry'!$B$5:$B$1276,A480,'Score Entry'!$E$5:$E$1276,"Third"),"")</f>
        <v/>
      </c>
      <c r="Q480" s="48" t="n">
        <f aca="false">IF(H480&lt;&gt;"Eligible","",IF(O480="Yes",IF(ISNUMBER(P480),ROUND(AVERAGE(L480,M480,P480),1),""),IF(O480="No",ROUND(AVERAGE(L480:M480),1),"")))</f>
        <v>74</v>
      </c>
      <c r="R480" s="37" t="str">
        <f aca="false">IF(H480&lt;&gt;"Eligible","Screened out",IF(COUNT(L480:M480)=0,"Not started",IF(COUNT(L480:M480)=1,"One read done",IF(O480="Yes",IF(ISNUMBER(P480),"Complete","Needs third read"),"Complete"))))</f>
        <v>Complete</v>
      </c>
      <c r="S480" s="37" t="n">
        <f aca="false">IF(Q480="","",COUNTIFS($C$5:$C$600,C480,$Q$5:$Q$600,"&gt;"&amp;Q480)+1)</f>
        <v>48</v>
      </c>
      <c r="T480" s="37" t="str">
        <f aca="false">IF(Q480="","",IF(Q480&gt;=Cutoff,"Yes","No"))</f>
        <v>No</v>
      </c>
      <c r="U480" s="49" t="n">
        <f aca="false">IF(T480="Yes",MIN(F480,INDEX(Settings!$G:$G,MATCH(C480,Settings!$E:$E,0))),0)</f>
        <v>0</v>
      </c>
      <c r="V480" s="49" t="str">
        <f aca="false">IF(T480="Yes",SUMIFS($U$5:$U$600,$C$5:$C$600,C480,$Q$5:$Q$600,"&gt;"&amp;Q480)+U480,"")</f>
        <v/>
      </c>
      <c r="W480" s="37" t="str">
        <f aca="false">IF(T480="Yes",IF(V480&lt;=INDEX(PoolList,MATCH(C480,ProgramList,0)),"Within pool","Over pool"),"")</f>
        <v/>
      </c>
      <c r="X480" s="37" t="str">
        <f aca="false">IF(O480="Yes",COUNTIF($O$5:O480,"Yes"),"")</f>
        <v/>
      </c>
    </row>
    <row r="481" customFormat="false" ht="15" hidden="false" customHeight="false" outlineLevel="0" collapsed="false">
      <c r="A481" s="35" t="s">
        <v>1145</v>
      </c>
      <c r="B481" s="35" t="s">
        <v>1146</v>
      </c>
      <c r="C481" s="35" t="s">
        <v>103</v>
      </c>
      <c r="D481" s="35" t="s">
        <v>174</v>
      </c>
      <c r="E481" s="35" t="s">
        <v>175</v>
      </c>
      <c r="F481" s="42" t="n">
        <v>123000</v>
      </c>
      <c r="G481" s="36" t="n">
        <v>45920</v>
      </c>
      <c r="H481" s="35" t="s">
        <v>54</v>
      </c>
      <c r="I481" s="35" t="s">
        <v>91</v>
      </c>
      <c r="J481" s="35" t="s">
        <v>85</v>
      </c>
      <c r="K481" s="35"/>
      <c r="L481" s="48" t="n">
        <f aca="false">IFERROR(AVERAGEIFS('Score Entry'!$M$5:$M$1276,'Score Entry'!$B$5:$B$1276,A481,'Score Entry'!$E$5:$E$1276,"Primary"),"")</f>
        <v>64</v>
      </c>
      <c r="M481" s="48" t="n">
        <f aca="false">IFERROR(AVERAGEIFS('Score Entry'!$M$5:$M$1276,'Score Entry'!$B$5:$B$1276,A481,'Score Entry'!$E$5:$E$1276,"Secondary"),"")</f>
        <v>71</v>
      </c>
      <c r="N481" s="48" t="n">
        <f aca="false">IF(COUNT(L481:M481)=2,ABS(L481-M481),"")</f>
        <v>7</v>
      </c>
      <c r="O481" s="37" t="str">
        <f aca="false">IF(N481="","",IF(N481&gt;=Threshold,"Yes","No"))</f>
        <v>No</v>
      </c>
      <c r="P481" s="48" t="str">
        <f aca="false">IFERROR(AVERAGEIFS('Score Entry'!$M$5:$M$1276,'Score Entry'!$B$5:$B$1276,A481,'Score Entry'!$E$5:$E$1276,"Third"),"")</f>
        <v/>
      </c>
      <c r="Q481" s="48" t="n">
        <f aca="false">IF(H481&lt;&gt;"Eligible","",IF(O481="Yes",IF(ISNUMBER(P481),ROUND(AVERAGE(L481,M481,P481),1),""),IF(O481="No",ROUND(AVERAGE(L481:M481),1),"")))</f>
        <v>67.5</v>
      </c>
      <c r="R481" s="37" t="str">
        <f aca="false">IF(H481&lt;&gt;"Eligible","Screened out",IF(COUNT(L481:M481)=0,"Not started",IF(COUNT(L481:M481)=1,"One read done",IF(O481="Yes",IF(ISNUMBER(P481),"Complete","Needs third read"),"Complete"))))</f>
        <v>Complete</v>
      </c>
      <c r="S481" s="37" t="n">
        <f aca="false">IF(Q481="","",COUNTIFS($C$5:$C$600,C481,$Q$5:$Q$600,"&gt;"&amp;Q481)+1)</f>
        <v>78</v>
      </c>
      <c r="T481" s="37" t="str">
        <f aca="false">IF(Q481="","",IF(Q481&gt;=Cutoff,"Yes","No"))</f>
        <v>No</v>
      </c>
      <c r="U481" s="49" t="n">
        <f aca="false">IF(T481="Yes",MIN(F481,INDEX(Settings!$G:$G,MATCH(C481,Settings!$E:$E,0))),0)</f>
        <v>0</v>
      </c>
      <c r="V481" s="49" t="str">
        <f aca="false">IF(T481="Yes",SUMIFS($U$5:$U$600,$C$5:$C$600,C481,$Q$5:$Q$600,"&gt;"&amp;Q481)+U481,"")</f>
        <v/>
      </c>
      <c r="W481" s="37" t="str">
        <f aca="false">IF(T481="Yes",IF(V481&lt;=INDEX(PoolList,MATCH(C481,ProgramList,0)),"Within pool","Over pool"),"")</f>
        <v/>
      </c>
      <c r="X481" s="37" t="str">
        <f aca="false">IF(O481="Yes",COUNTIF($O$5:O481,"Yes"),"")</f>
        <v/>
      </c>
    </row>
    <row r="482" customFormat="false" ht="15" hidden="false" customHeight="false" outlineLevel="0" collapsed="false">
      <c r="A482" s="35" t="s">
        <v>1147</v>
      </c>
      <c r="B482" s="35" t="s">
        <v>1148</v>
      </c>
      <c r="C482" s="35" t="s">
        <v>106</v>
      </c>
      <c r="D482" s="35" t="s">
        <v>174</v>
      </c>
      <c r="E482" s="35" t="s">
        <v>175</v>
      </c>
      <c r="F482" s="42" t="n">
        <v>52500</v>
      </c>
      <c r="G482" s="36" t="n">
        <v>45927</v>
      </c>
      <c r="H482" s="35" t="s">
        <v>54</v>
      </c>
      <c r="I482" s="35" t="s">
        <v>94</v>
      </c>
      <c r="J482" s="35" t="s">
        <v>78</v>
      </c>
      <c r="K482" s="35"/>
      <c r="L482" s="48" t="n">
        <f aca="false">IFERROR(AVERAGEIFS('Score Entry'!$M$5:$M$1276,'Score Entry'!$B$5:$B$1276,A482,'Score Entry'!$E$5:$E$1276,"Primary"),"")</f>
        <v>58</v>
      </c>
      <c r="M482" s="48" t="n">
        <f aca="false">IFERROR(AVERAGEIFS('Score Entry'!$M$5:$M$1276,'Score Entry'!$B$5:$B$1276,A482,'Score Entry'!$E$5:$E$1276,"Secondary"),"")</f>
        <v>61</v>
      </c>
      <c r="N482" s="48" t="n">
        <f aca="false">IF(COUNT(L482:M482)=2,ABS(L482-M482),"")</f>
        <v>3</v>
      </c>
      <c r="O482" s="37" t="str">
        <f aca="false">IF(N482="","",IF(N482&gt;=Threshold,"Yes","No"))</f>
        <v>No</v>
      </c>
      <c r="P482" s="48" t="str">
        <f aca="false">IFERROR(AVERAGEIFS('Score Entry'!$M$5:$M$1276,'Score Entry'!$B$5:$B$1276,A482,'Score Entry'!$E$5:$E$1276,"Third"),"")</f>
        <v/>
      </c>
      <c r="Q482" s="48" t="n">
        <f aca="false">IF(H482&lt;&gt;"Eligible","",IF(O482="Yes",IF(ISNUMBER(P482),ROUND(AVERAGE(L482,M482,P482),1),""),IF(O482="No",ROUND(AVERAGE(L482:M482),1),"")))</f>
        <v>59.5</v>
      </c>
      <c r="R482" s="37" t="str">
        <f aca="false">IF(H482&lt;&gt;"Eligible","Screened out",IF(COUNT(L482:M482)=0,"Not started",IF(COUNT(L482:M482)=1,"One read done",IF(O482="Yes",IF(ISNUMBER(P482),"Complete","Needs third read"),"Complete"))))</f>
        <v>Complete</v>
      </c>
      <c r="S482" s="37" t="n">
        <f aca="false">IF(Q482="","",COUNTIFS($C$5:$C$600,C482,$Q$5:$Q$600,"&gt;"&amp;Q482)+1)</f>
        <v>86</v>
      </c>
      <c r="T482" s="37" t="str">
        <f aca="false">IF(Q482="","",IF(Q482&gt;=Cutoff,"Yes","No"))</f>
        <v>No</v>
      </c>
      <c r="U482" s="49" t="n">
        <f aca="false">IF(T482="Yes",MIN(F482,INDEX(Settings!$G:$G,MATCH(C482,Settings!$E:$E,0))),0)</f>
        <v>0</v>
      </c>
      <c r="V482" s="49" t="str">
        <f aca="false">IF(T482="Yes",SUMIFS($U$5:$U$600,$C$5:$C$600,C482,$Q$5:$Q$600,"&gt;"&amp;Q482)+U482,"")</f>
        <v/>
      </c>
      <c r="W482" s="37" t="str">
        <f aca="false">IF(T482="Yes",IF(V482&lt;=INDEX(PoolList,MATCH(C482,ProgramList,0)),"Within pool","Over pool"),"")</f>
        <v/>
      </c>
      <c r="X482" s="37" t="str">
        <f aca="false">IF(O482="Yes",COUNTIF($O$5:O482,"Yes"),"")</f>
        <v/>
      </c>
    </row>
    <row r="483" customFormat="false" ht="15" hidden="false" customHeight="false" outlineLevel="0" collapsed="false">
      <c r="A483" s="35" t="s">
        <v>1149</v>
      </c>
      <c r="B483" s="35" t="s">
        <v>1150</v>
      </c>
      <c r="C483" s="35" t="s">
        <v>105</v>
      </c>
      <c r="D483" s="35" t="s">
        <v>180</v>
      </c>
      <c r="E483" s="35" t="s">
        <v>269</v>
      </c>
      <c r="F483" s="42" t="n">
        <v>53000</v>
      </c>
      <c r="G483" s="36" t="n">
        <v>45921</v>
      </c>
      <c r="H483" s="35" t="s">
        <v>54</v>
      </c>
      <c r="I483" s="35" t="s">
        <v>85</v>
      </c>
      <c r="J483" s="35" t="s">
        <v>78</v>
      </c>
      <c r="K483" s="35"/>
      <c r="L483" s="48" t="n">
        <f aca="false">IFERROR(AVERAGEIFS('Score Entry'!$M$5:$M$1276,'Score Entry'!$B$5:$B$1276,A483,'Score Entry'!$E$5:$E$1276,"Primary"),"")</f>
        <v>94</v>
      </c>
      <c r="M483" s="48" t="n">
        <f aca="false">IFERROR(AVERAGEIFS('Score Entry'!$M$5:$M$1276,'Score Entry'!$B$5:$B$1276,A483,'Score Entry'!$E$5:$E$1276,"Secondary"),"")</f>
        <v>87</v>
      </c>
      <c r="N483" s="48" t="n">
        <f aca="false">IF(COUNT(L483:M483)=2,ABS(L483-M483),"")</f>
        <v>7</v>
      </c>
      <c r="O483" s="37" t="str">
        <f aca="false">IF(N483="","",IF(N483&gt;=Threshold,"Yes","No"))</f>
        <v>No</v>
      </c>
      <c r="P483" s="48" t="str">
        <f aca="false">IFERROR(AVERAGEIFS('Score Entry'!$M$5:$M$1276,'Score Entry'!$B$5:$B$1276,A483,'Score Entry'!$E$5:$E$1276,"Third"),"")</f>
        <v/>
      </c>
      <c r="Q483" s="48" t="n">
        <f aca="false">IF(H483&lt;&gt;"Eligible","",IF(O483="Yes",IF(ISNUMBER(P483),ROUND(AVERAGE(L483,M483,P483),1),""),IF(O483="No",ROUND(AVERAGE(L483:M483),1),"")))</f>
        <v>90.5</v>
      </c>
      <c r="R483" s="37" t="str">
        <f aca="false">IF(H483&lt;&gt;"Eligible","Screened out",IF(COUNT(L483:M483)=0,"Not started",IF(COUNT(L483:M483)=1,"One read done",IF(O483="Yes",IF(ISNUMBER(P483),"Complete","Needs third read"),"Complete"))))</f>
        <v>Complete</v>
      </c>
      <c r="S483" s="37" t="n">
        <f aca="false">IF(Q483="","",COUNTIFS($C$5:$C$600,C483,$Q$5:$Q$600,"&gt;"&amp;Q483)+1)</f>
        <v>4</v>
      </c>
      <c r="T483" s="37" t="str">
        <f aca="false">IF(Q483="","",IF(Q483&gt;=Cutoff,"Yes","No"))</f>
        <v>Yes</v>
      </c>
      <c r="U483" s="49" t="n">
        <f aca="false">IF(T483="Yes",MIN(F483,INDEX(Settings!$G:$G,MATCH(C483,Settings!$E:$E,0))),0)</f>
        <v>53000</v>
      </c>
      <c r="V483" s="49" t="n">
        <f aca="false">IF(T483="Yes",SUMIFS($U$5:$U$600,$C$5:$C$600,C483,$Q$5:$Q$600,"&gt;"&amp;Q483)+U483,"")</f>
        <v>246000</v>
      </c>
      <c r="W483" s="37" t="str">
        <f aca="false">IF(T483="Yes",IF(V483&lt;=INDEX(PoolList,MATCH(C483,ProgramList,0)),"Within pool","Over pool"),"")</f>
        <v>Within pool</v>
      </c>
      <c r="X483" s="37" t="str">
        <f aca="false">IF(O483="Yes",COUNTIF($O$5:O483,"Yes"),"")</f>
        <v/>
      </c>
    </row>
    <row r="484" customFormat="false" ht="15" hidden="false" customHeight="false" outlineLevel="0" collapsed="false">
      <c r="A484" s="35" t="s">
        <v>1151</v>
      </c>
      <c r="B484" s="35" t="s">
        <v>1152</v>
      </c>
      <c r="C484" s="35" t="s">
        <v>106</v>
      </c>
      <c r="D484" s="35" t="s">
        <v>174</v>
      </c>
      <c r="E484" s="35" t="s">
        <v>175</v>
      </c>
      <c r="F484" s="42" t="n">
        <v>71000</v>
      </c>
      <c r="G484" s="36" t="n">
        <v>45915</v>
      </c>
      <c r="H484" s="35" t="s">
        <v>54</v>
      </c>
      <c r="I484" s="35" t="s">
        <v>91</v>
      </c>
      <c r="J484" s="35" t="s">
        <v>88</v>
      </c>
      <c r="K484" s="35"/>
      <c r="L484" s="48" t="n">
        <f aca="false">IFERROR(AVERAGEIFS('Score Entry'!$M$5:$M$1276,'Score Entry'!$B$5:$B$1276,A484,'Score Entry'!$E$5:$E$1276,"Primary"),"")</f>
        <v>43</v>
      </c>
      <c r="M484" s="48" t="n">
        <f aca="false">IFERROR(AVERAGEIFS('Score Entry'!$M$5:$M$1276,'Score Entry'!$B$5:$B$1276,A484,'Score Entry'!$E$5:$E$1276,"Secondary"),"")</f>
        <v>51</v>
      </c>
      <c r="N484" s="48" t="n">
        <f aca="false">IF(COUNT(L484:M484)=2,ABS(L484-M484),"")</f>
        <v>8</v>
      </c>
      <c r="O484" s="37" t="str">
        <f aca="false">IF(N484="","",IF(N484&gt;=Threshold,"Yes","No"))</f>
        <v>No</v>
      </c>
      <c r="P484" s="48" t="str">
        <f aca="false">IFERROR(AVERAGEIFS('Score Entry'!$M$5:$M$1276,'Score Entry'!$B$5:$B$1276,A484,'Score Entry'!$E$5:$E$1276,"Third"),"")</f>
        <v/>
      </c>
      <c r="Q484" s="48" t="n">
        <f aca="false">IF(H484&lt;&gt;"Eligible","",IF(O484="Yes",IF(ISNUMBER(P484),ROUND(AVERAGE(L484,M484,P484),1),""),IF(O484="No",ROUND(AVERAGE(L484:M484),1),"")))</f>
        <v>47</v>
      </c>
      <c r="R484" s="37" t="str">
        <f aca="false">IF(H484&lt;&gt;"Eligible","Screened out",IF(COUNT(L484:M484)=0,"Not started",IF(COUNT(L484:M484)=1,"One read done",IF(O484="Yes",IF(ISNUMBER(P484),"Complete","Needs third read"),"Complete"))))</f>
        <v>Complete</v>
      </c>
      <c r="S484" s="37" t="n">
        <f aca="false">IF(Q484="","",COUNTIFS($C$5:$C$600,C484,$Q$5:$Q$600,"&gt;"&amp;Q484)+1)</f>
        <v>112</v>
      </c>
      <c r="T484" s="37" t="str">
        <f aca="false">IF(Q484="","",IF(Q484&gt;=Cutoff,"Yes","No"))</f>
        <v>No</v>
      </c>
      <c r="U484" s="49" t="n">
        <f aca="false">IF(T484="Yes",MIN(F484,INDEX(Settings!$G:$G,MATCH(C484,Settings!$E:$E,0))),0)</f>
        <v>0</v>
      </c>
      <c r="V484" s="49" t="str">
        <f aca="false">IF(T484="Yes",SUMIFS($U$5:$U$600,$C$5:$C$600,C484,$Q$5:$Q$600,"&gt;"&amp;Q484)+U484,"")</f>
        <v/>
      </c>
      <c r="W484" s="37" t="str">
        <f aca="false">IF(T484="Yes",IF(V484&lt;=INDEX(PoolList,MATCH(C484,ProgramList,0)),"Within pool","Over pool"),"")</f>
        <v/>
      </c>
      <c r="X484" s="37" t="str">
        <f aca="false">IF(O484="Yes",COUNTIF($O$5:O484,"Yes"),"")</f>
        <v/>
      </c>
    </row>
    <row r="485" customFormat="false" ht="15" hidden="false" customHeight="false" outlineLevel="0" collapsed="false">
      <c r="A485" s="35" t="s">
        <v>1153</v>
      </c>
      <c r="B485" s="35" t="s">
        <v>1154</v>
      </c>
      <c r="C485" s="35" t="s">
        <v>105</v>
      </c>
      <c r="D485" s="35" t="s">
        <v>180</v>
      </c>
      <c r="E485" s="35" t="s">
        <v>181</v>
      </c>
      <c r="F485" s="42" t="n">
        <v>148500</v>
      </c>
      <c r="G485" s="36" t="n">
        <v>45916</v>
      </c>
      <c r="H485" s="35" t="s">
        <v>54</v>
      </c>
      <c r="I485" s="35" t="s">
        <v>82</v>
      </c>
      <c r="J485" s="35" t="s">
        <v>94</v>
      </c>
      <c r="K485" s="35"/>
      <c r="L485" s="48" t="n">
        <f aca="false">IFERROR(AVERAGEIFS('Score Entry'!$M$5:$M$1276,'Score Entry'!$B$5:$B$1276,A485,'Score Entry'!$E$5:$E$1276,"Primary"),"")</f>
        <v>62</v>
      </c>
      <c r="M485" s="48" t="n">
        <f aca="false">IFERROR(AVERAGEIFS('Score Entry'!$M$5:$M$1276,'Score Entry'!$B$5:$B$1276,A485,'Score Entry'!$E$5:$E$1276,"Secondary"),"")</f>
        <v>70</v>
      </c>
      <c r="N485" s="48" t="n">
        <f aca="false">IF(COUNT(L485:M485)=2,ABS(L485-M485),"")</f>
        <v>8</v>
      </c>
      <c r="O485" s="37" t="str">
        <f aca="false">IF(N485="","",IF(N485&gt;=Threshold,"Yes","No"))</f>
        <v>No</v>
      </c>
      <c r="P485" s="48" t="str">
        <f aca="false">IFERROR(AVERAGEIFS('Score Entry'!$M$5:$M$1276,'Score Entry'!$B$5:$B$1276,A485,'Score Entry'!$E$5:$E$1276,"Third"),"")</f>
        <v/>
      </c>
      <c r="Q485" s="48" t="n">
        <f aca="false">IF(H485&lt;&gt;"Eligible","",IF(O485="Yes",IF(ISNUMBER(P485),ROUND(AVERAGE(L485,M485,P485),1),""),IF(O485="No",ROUND(AVERAGE(L485:M485),1),"")))</f>
        <v>66</v>
      </c>
      <c r="R485" s="37" t="str">
        <f aca="false">IF(H485&lt;&gt;"Eligible","Screened out",IF(COUNT(L485:M485)=0,"Not started",IF(COUNT(L485:M485)=1,"One read done",IF(O485="Yes",IF(ISNUMBER(P485),"Complete","Needs third read"),"Complete"))))</f>
        <v>Complete</v>
      </c>
      <c r="S485" s="37" t="n">
        <f aca="false">IF(Q485="","",COUNTIFS($C$5:$C$600,C485,$Q$5:$Q$600,"&gt;"&amp;Q485)+1)</f>
        <v>56</v>
      </c>
      <c r="T485" s="37" t="str">
        <f aca="false">IF(Q485="","",IF(Q485&gt;=Cutoff,"Yes","No"))</f>
        <v>No</v>
      </c>
      <c r="U485" s="49" t="n">
        <f aca="false">IF(T485="Yes",MIN(F485,INDEX(Settings!$G:$G,MATCH(C485,Settings!$E:$E,0))),0)</f>
        <v>0</v>
      </c>
      <c r="V485" s="49" t="str">
        <f aca="false">IF(T485="Yes",SUMIFS($U$5:$U$600,$C$5:$C$600,C485,$Q$5:$Q$600,"&gt;"&amp;Q485)+U485,"")</f>
        <v/>
      </c>
      <c r="W485" s="37" t="str">
        <f aca="false">IF(T485="Yes",IF(V485&lt;=INDEX(PoolList,MATCH(C485,ProgramList,0)),"Within pool","Over pool"),"")</f>
        <v/>
      </c>
      <c r="X485" s="37" t="str">
        <f aca="false">IF(O485="Yes",COUNTIF($O$5:O485,"Yes"),"")</f>
        <v/>
      </c>
    </row>
    <row r="486" customFormat="false" ht="15" hidden="false" customHeight="false" outlineLevel="0" collapsed="false">
      <c r="A486" s="35" t="s">
        <v>1155</v>
      </c>
      <c r="B486" s="35" t="s">
        <v>1156</v>
      </c>
      <c r="C486" s="35" t="s">
        <v>103</v>
      </c>
      <c r="D486" s="35" t="s">
        <v>174</v>
      </c>
      <c r="E486" s="35" t="s">
        <v>175</v>
      </c>
      <c r="F486" s="42" t="n">
        <v>121500</v>
      </c>
      <c r="G486" s="36" t="n">
        <v>45927</v>
      </c>
      <c r="H486" s="35" t="s">
        <v>54</v>
      </c>
      <c r="I486" s="35" t="s">
        <v>88</v>
      </c>
      <c r="J486" s="35" t="s">
        <v>78</v>
      </c>
      <c r="K486" s="35"/>
      <c r="L486" s="48" t="n">
        <f aca="false">IFERROR(AVERAGEIFS('Score Entry'!$M$5:$M$1276,'Score Entry'!$B$5:$B$1276,A486,'Score Entry'!$E$5:$E$1276,"Primary"),"")</f>
        <v>56</v>
      </c>
      <c r="M486" s="48" t="n">
        <f aca="false">IFERROR(AVERAGEIFS('Score Entry'!$M$5:$M$1276,'Score Entry'!$B$5:$B$1276,A486,'Score Entry'!$E$5:$E$1276,"Secondary"),"")</f>
        <v>50</v>
      </c>
      <c r="N486" s="48" t="n">
        <f aca="false">IF(COUNT(L486:M486)=2,ABS(L486-M486),"")</f>
        <v>6</v>
      </c>
      <c r="O486" s="37" t="str">
        <f aca="false">IF(N486="","",IF(N486&gt;=Threshold,"Yes","No"))</f>
        <v>No</v>
      </c>
      <c r="P486" s="48" t="str">
        <f aca="false">IFERROR(AVERAGEIFS('Score Entry'!$M$5:$M$1276,'Score Entry'!$B$5:$B$1276,A486,'Score Entry'!$E$5:$E$1276,"Third"),"")</f>
        <v/>
      </c>
      <c r="Q486" s="48" t="n">
        <f aca="false">IF(H486&lt;&gt;"Eligible","",IF(O486="Yes",IF(ISNUMBER(P486),ROUND(AVERAGE(L486,M486,P486),1),""),IF(O486="No",ROUND(AVERAGE(L486:M486),1),"")))</f>
        <v>53</v>
      </c>
      <c r="R486" s="37" t="str">
        <f aca="false">IF(H486&lt;&gt;"Eligible","Screened out",IF(COUNT(L486:M486)=0,"Not started",IF(COUNT(L486:M486)=1,"One read done",IF(O486="Yes",IF(ISNUMBER(P486),"Complete","Needs third read"),"Complete"))))</f>
        <v>Complete</v>
      </c>
      <c r="S486" s="37" t="n">
        <f aca="false">IF(Q486="","",COUNTIFS($C$5:$C$600,C486,$Q$5:$Q$600,"&gt;"&amp;Q486)+1)</f>
        <v>141</v>
      </c>
      <c r="T486" s="37" t="str">
        <f aca="false">IF(Q486="","",IF(Q486&gt;=Cutoff,"Yes","No"))</f>
        <v>No</v>
      </c>
      <c r="U486" s="49" t="n">
        <f aca="false">IF(T486="Yes",MIN(F486,INDEX(Settings!$G:$G,MATCH(C486,Settings!$E:$E,0))),0)</f>
        <v>0</v>
      </c>
      <c r="V486" s="49" t="str">
        <f aca="false">IF(T486="Yes",SUMIFS($U$5:$U$600,$C$5:$C$600,C486,$Q$5:$Q$600,"&gt;"&amp;Q486)+U486,"")</f>
        <v/>
      </c>
      <c r="W486" s="37" t="str">
        <f aca="false">IF(T486="Yes",IF(V486&lt;=INDEX(PoolList,MATCH(C486,ProgramList,0)),"Within pool","Over pool"),"")</f>
        <v/>
      </c>
      <c r="X486" s="37" t="str">
        <f aca="false">IF(O486="Yes",COUNTIF($O$5:O486,"Yes"),"")</f>
        <v/>
      </c>
    </row>
    <row r="487" customFormat="false" ht="15" hidden="false" customHeight="false" outlineLevel="0" collapsed="false">
      <c r="A487" s="35" t="s">
        <v>1157</v>
      </c>
      <c r="B487" s="35" t="s">
        <v>1158</v>
      </c>
      <c r="C487" s="35" t="s">
        <v>105</v>
      </c>
      <c r="D487" s="35" t="s">
        <v>180</v>
      </c>
      <c r="E487" s="35" t="s">
        <v>218</v>
      </c>
      <c r="F487" s="42" t="n">
        <v>62500</v>
      </c>
      <c r="G487" s="36" t="n">
        <v>45911</v>
      </c>
      <c r="H487" s="35" t="s">
        <v>54</v>
      </c>
      <c r="I487" s="35" t="s">
        <v>85</v>
      </c>
      <c r="J487" s="35" t="s">
        <v>91</v>
      </c>
      <c r="K487" s="35"/>
      <c r="L487" s="48" t="n">
        <f aca="false">IFERROR(AVERAGEIFS('Score Entry'!$M$5:$M$1276,'Score Entry'!$B$5:$B$1276,A487,'Score Entry'!$E$5:$E$1276,"Primary"),"")</f>
        <v>61</v>
      </c>
      <c r="M487" s="48" t="n">
        <f aca="false">IFERROR(AVERAGEIFS('Score Entry'!$M$5:$M$1276,'Score Entry'!$B$5:$B$1276,A487,'Score Entry'!$E$5:$E$1276,"Secondary"),"")</f>
        <v>69</v>
      </c>
      <c r="N487" s="48" t="n">
        <f aca="false">IF(COUNT(L487:M487)=2,ABS(L487-M487),"")</f>
        <v>8</v>
      </c>
      <c r="O487" s="37" t="str">
        <f aca="false">IF(N487="","",IF(N487&gt;=Threshold,"Yes","No"))</f>
        <v>No</v>
      </c>
      <c r="P487" s="48" t="str">
        <f aca="false">IFERROR(AVERAGEIFS('Score Entry'!$M$5:$M$1276,'Score Entry'!$B$5:$B$1276,A487,'Score Entry'!$E$5:$E$1276,"Third"),"")</f>
        <v/>
      </c>
      <c r="Q487" s="48" t="n">
        <f aca="false">IF(H487&lt;&gt;"Eligible","",IF(O487="Yes",IF(ISNUMBER(P487),ROUND(AVERAGE(L487,M487,P487),1),""),IF(O487="No",ROUND(AVERAGE(L487:M487),1),"")))</f>
        <v>65</v>
      </c>
      <c r="R487" s="37" t="str">
        <f aca="false">IF(H487&lt;&gt;"Eligible","Screened out",IF(COUNT(L487:M487)=0,"Not started",IF(COUNT(L487:M487)=1,"One read done",IF(O487="Yes",IF(ISNUMBER(P487),"Complete","Needs third read"),"Complete"))))</f>
        <v>Complete</v>
      </c>
      <c r="S487" s="37" t="n">
        <f aca="false">IF(Q487="","",COUNTIFS($C$5:$C$600,C487,$Q$5:$Q$600,"&gt;"&amp;Q487)+1)</f>
        <v>60</v>
      </c>
      <c r="T487" s="37" t="str">
        <f aca="false">IF(Q487="","",IF(Q487&gt;=Cutoff,"Yes","No"))</f>
        <v>No</v>
      </c>
      <c r="U487" s="49" t="n">
        <f aca="false">IF(T487="Yes",MIN(F487,INDEX(Settings!$G:$G,MATCH(C487,Settings!$E:$E,0))),0)</f>
        <v>0</v>
      </c>
      <c r="V487" s="49" t="str">
        <f aca="false">IF(T487="Yes",SUMIFS($U$5:$U$600,$C$5:$C$600,C487,$Q$5:$Q$600,"&gt;"&amp;Q487)+U487,"")</f>
        <v/>
      </c>
      <c r="W487" s="37" t="str">
        <f aca="false">IF(T487="Yes",IF(V487&lt;=INDEX(PoolList,MATCH(C487,ProgramList,0)),"Within pool","Over pool"),"")</f>
        <v/>
      </c>
      <c r="X487" s="37" t="str">
        <f aca="false">IF(O487="Yes",COUNTIF($O$5:O487,"Yes"),"")</f>
        <v/>
      </c>
    </row>
    <row r="488" customFormat="false" ht="15" hidden="false" customHeight="false" outlineLevel="0" collapsed="false">
      <c r="A488" s="35" t="s">
        <v>1159</v>
      </c>
      <c r="B488" s="35" t="s">
        <v>1160</v>
      </c>
      <c r="C488" s="35" t="s">
        <v>103</v>
      </c>
      <c r="D488" s="35" t="s">
        <v>174</v>
      </c>
      <c r="E488" s="35" t="s">
        <v>175</v>
      </c>
      <c r="F488" s="42" t="n">
        <v>104500</v>
      </c>
      <c r="G488" s="36" t="n">
        <v>45927</v>
      </c>
      <c r="H488" s="35" t="s">
        <v>54</v>
      </c>
      <c r="I488" s="35" t="s">
        <v>82</v>
      </c>
      <c r="J488" s="35" t="s">
        <v>85</v>
      </c>
      <c r="K488" s="35"/>
      <c r="L488" s="48" t="n">
        <f aca="false">IFERROR(AVERAGEIFS('Score Entry'!$M$5:$M$1276,'Score Entry'!$B$5:$B$1276,A488,'Score Entry'!$E$5:$E$1276,"Primary"),"")</f>
        <v>51</v>
      </c>
      <c r="M488" s="48" t="n">
        <f aca="false">IFERROR(AVERAGEIFS('Score Entry'!$M$5:$M$1276,'Score Entry'!$B$5:$B$1276,A488,'Score Entry'!$E$5:$E$1276,"Secondary"),"")</f>
        <v>60</v>
      </c>
      <c r="N488" s="48" t="n">
        <f aca="false">IF(COUNT(L488:M488)=2,ABS(L488-M488),"")</f>
        <v>9</v>
      </c>
      <c r="O488" s="37" t="str">
        <f aca="false">IF(N488="","",IF(N488&gt;=Threshold,"Yes","No"))</f>
        <v>No</v>
      </c>
      <c r="P488" s="48" t="str">
        <f aca="false">IFERROR(AVERAGEIFS('Score Entry'!$M$5:$M$1276,'Score Entry'!$B$5:$B$1276,A488,'Score Entry'!$E$5:$E$1276,"Third"),"")</f>
        <v/>
      </c>
      <c r="Q488" s="48" t="n">
        <f aca="false">IF(H488&lt;&gt;"Eligible","",IF(O488="Yes",IF(ISNUMBER(P488),ROUND(AVERAGE(L488,M488,P488),1),""),IF(O488="No",ROUND(AVERAGE(L488:M488),1),"")))</f>
        <v>55.5</v>
      </c>
      <c r="R488" s="37" t="str">
        <f aca="false">IF(H488&lt;&gt;"Eligible","Screened out",IF(COUNT(L488:M488)=0,"Not started",IF(COUNT(L488:M488)=1,"One read done",IF(O488="Yes",IF(ISNUMBER(P488),"Complete","Needs third read"),"Complete"))))</f>
        <v>Complete</v>
      </c>
      <c r="S488" s="37" t="n">
        <f aca="false">IF(Q488="","",COUNTIFS($C$5:$C$600,C488,$Q$5:$Q$600,"&gt;"&amp;Q488)+1)</f>
        <v>130</v>
      </c>
      <c r="T488" s="37" t="str">
        <f aca="false">IF(Q488="","",IF(Q488&gt;=Cutoff,"Yes","No"))</f>
        <v>No</v>
      </c>
      <c r="U488" s="49" t="n">
        <f aca="false">IF(T488="Yes",MIN(F488,INDEX(Settings!$G:$G,MATCH(C488,Settings!$E:$E,0))),0)</f>
        <v>0</v>
      </c>
      <c r="V488" s="49" t="str">
        <f aca="false">IF(T488="Yes",SUMIFS($U$5:$U$600,$C$5:$C$600,C488,$Q$5:$Q$600,"&gt;"&amp;Q488)+U488,"")</f>
        <v/>
      </c>
      <c r="W488" s="37" t="str">
        <f aca="false">IF(T488="Yes",IF(V488&lt;=INDEX(PoolList,MATCH(C488,ProgramList,0)),"Within pool","Over pool"),"")</f>
        <v/>
      </c>
      <c r="X488" s="37" t="str">
        <f aca="false">IF(O488="Yes",COUNTIF($O$5:O488,"Yes"),"")</f>
        <v/>
      </c>
    </row>
    <row r="489" customFormat="false" ht="15" hidden="false" customHeight="false" outlineLevel="0" collapsed="false">
      <c r="A489" s="35" t="s">
        <v>1161</v>
      </c>
      <c r="B489" s="35" t="s">
        <v>1162</v>
      </c>
      <c r="C489" s="35" t="s">
        <v>105</v>
      </c>
      <c r="D489" s="35" t="s">
        <v>174</v>
      </c>
      <c r="E489" s="35" t="s">
        <v>175</v>
      </c>
      <c r="F489" s="42" t="n">
        <v>250000</v>
      </c>
      <c r="G489" s="36" t="n">
        <v>45926</v>
      </c>
      <c r="H489" s="35" t="s">
        <v>54</v>
      </c>
      <c r="I489" s="35" t="s">
        <v>88</v>
      </c>
      <c r="J489" s="35" t="s">
        <v>91</v>
      </c>
      <c r="K489" s="35"/>
      <c r="L489" s="48" t="n">
        <f aca="false">IFERROR(AVERAGEIFS('Score Entry'!$M$5:$M$1276,'Score Entry'!$B$5:$B$1276,A489,'Score Entry'!$E$5:$E$1276,"Primary"),"")</f>
        <v>49</v>
      </c>
      <c r="M489" s="48" t="n">
        <f aca="false">IFERROR(AVERAGEIFS('Score Entry'!$M$5:$M$1276,'Score Entry'!$B$5:$B$1276,A489,'Score Entry'!$E$5:$E$1276,"Secondary"),"")</f>
        <v>59</v>
      </c>
      <c r="N489" s="48" t="n">
        <f aca="false">IF(COUNT(L489:M489)=2,ABS(L489-M489),"")</f>
        <v>10</v>
      </c>
      <c r="O489" s="37" t="str">
        <f aca="false">IF(N489="","",IF(N489&gt;=Threshold,"Yes","No"))</f>
        <v>No</v>
      </c>
      <c r="P489" s="48" t="str">
        <f aca="false">IFERROR(AVERAGEIFS('Score Entry'!$M$5:$M$1276,'Score Entry'!$B$5:$B$1276,A489,'Score Entry'!$E$5:$E$1276,"Third"),"")</f>
        <v/>
      </c>
      <c r="Q489" s="48" t="n">
        <f aca="false">IF(H489&lt;&gt;"Eligible","",IF(O489="Yes",IF(ISNUMBER(P489),ROUND(AVERAGE(L489,M489,P489),1),""),IF(O489="No",ROUND(AVERAGE(L489:M489),1),"")))</f>
        <v>54</v>
      </c>
      <c r="R489" s="37" t="str">
        <f aca="false">IF(H489&lt;&gt;"Eligible","Screened out",IF(COUNT(L489:M489)=0,"Not started",IF(COUNT(L489:M489)=1,"One read done",IF(O489="Yes",IF(ISNUMBER(P489),"Complete","Needs third read"),"Complete"))))</f>
        <v>Complete</v>
      </c>
      <c r="S489" s="37" t="n">
        <f aca="false">IF(Q489="","",COUNTIFS($C$5:$C$600,C489,$Q$5:$Q$600,"&gt;"&amp;Q489)+1)</f>
        <v>86</v>
      </c>
      <c r="T489" s="37" t="str">
        <f aca="false">IF(Q489="","",IF(Q489&gt;=Cutoff,"Yes","No"))</f>
        <v>No</v>
      </c>
      <c r="U489" s="49" t="n">
        <f aca="false">IF(T489="Yes",MIN(F489,INDEX(Settings!$G:$G,MATCH(C489,Settings!$E:$E,0))),0)</f>
        <v>0</v>
      </c>
      <c r="V489" s="49" t="str">
        <f aca="false">IF(T489="Yes",SUMIFS($U$5:$U$600,$C$5:$C$600,C489,$Q$5:$Q$600,"&gt;"&amp;Q489)+U489,"")</f>
        <v/>
      </c>
      <c r="W489" s="37" t="str">
        <f aca="false">IF(T489="Yes",IF(V489&lt;=INDEX(PoolList,MATCH(C489,ProgramList,0)),"Within pool","Over pool"),"")</f>
        <v/>
      </c>
      <c r="X489" s="37" t="str">
        <f aca="false">IF(O489="Yes",COUNTIF($O$5:O489,"Yes"),"")</f>
        <v/>
      </c>
    </row>
    <row r="490" customFormat="false" ht="15" hidden="false" customHeight="false" outlineLevel="0" collapsed="false">
      <c r="A490" s="35" t="s">
        <v>1163</v>
      </c>
      <c r="B490" s="35" t="s">
        <v>1164</v>
      </c>
      <c r="C490" s="35" t="s">
        <v>106</v>
      </c>
      <c r="D490" s="35" t="s">
        <v>174</v>
      </c>
      <c r="E490" s="35" t="s">
        <v>175</v>
      </c>
      <c r="F490" s="42" t="n">
        <v>97000</v>
      </c>
      <c r="G490" s="36" t="n">
        <v>45918</v>
      </c>
      <c r="H490" s="35" t="s">
        <v>54</v>
      </c>
      <c r="I490" s="35" t="s">
        <v>78</v>
      </c>
      <c r="J490" s="35" t="s">
        <v>82</v>
      </c>
      <c r="K490" s="35" t="s">
        <v>88</v>
      </c>
      <c r="L490" s="48" t="n">
        <f aca="false">IFERROR(AVERAGEIFS('Score Entry'!$M$5:$M$1276,'Score Entry'!$B$5:$B$1276,A490,'Score Entry'!$E$5:$E$1276,"Primary"),"")</f>
        <v>20</v>
      </c>
      <c r="M490" s="48" t="n">
        <f aca="false">IFERROR(AVERAGEIFS('Score Entry'!$M$5:$M$1276,'Score Entry'!$B$5:$B$1276,A490,'Score Entry'!$E$5:$E$1276,"Secondary"),"")</f>
        <v>52</v>
      </c>
      <c r="N490" s="48" t="n">
        <f aca="false">IF(COUNT(L490:M490)=2,ABS(L490-M490),"")</f>
        <v>32</v>
      </c>
      <c r="O490" s="37" t="str">
        <f aca="false">IF(N490="","",IF(N490&gt;=Threshold,"Yes","No"))</f>
        <v>Yes</v>
      </c>
      <c r="P490" s="48" t="n">
        <f aca="false">IFERROR(AVERAGEIFS('Score Entry'!$M$5:$M$1276,'Score Entry'!$B$5:$B$1276,A490,'Score Entry'!$E$5:$E$1276,"Third"),"")</f>
        <v>50</v>
      </c>
      <c r="Q490" s="48" t="n">
        <f aca="false">IF(H490&lt;&gt;"Eligible","",IF(O490="Yes",IF(ISNUMBER(P490),ROUND(AVERAGE(L490,M490,P490),1),""),IF(O490="No",ROUND(AVERAGE(L490:M490),1),"")))</f>
        <v>40.7</v>
      </c>
      <c r="R490" s="37" t="str">
        <f aca="false">IF(H490&lt;&gt;"Eligible","Screened out",IF(COUNT(L490:M490)=0,"Not started",IF(COUNT(L490:M490)=1,"One read done",IF(O490="Yes",IF(ISNUMBER(P490),"Complete","Needs third read"),"Complete"))))</f>
        <v>Complete</v>
      </c>
      <c r="S490" s="37" t="n">
        <f aca="false">IF(Q490="","",COUNTIFS($C$5:$C$600,C490,$Q$5:$Q$600,"&gt;"&amp;Q490)+1)</f>
        <v>117</v>
      </c>
      <c r="T490" s="37" t="str">
        <f aca="false">IF(Q490="","",IF(Q490&gt;=Cutoff,"Yes","No"))</f>
        <v>No</v>
      </c>
      <c r="U490" s="49" t="n">
        <f aca="false">IF(T490="Yes",MIN(F490,INDEX(Settings!$G:$G,MATCH(C490,Settings!$E:$E,0))),0)</f>
        <v>0</v>
      </c>
      <c r="V490" s="49" t="str">
        <f aca="false">IF(T490="Yes",SUMIFS($U$5:$U$600,$C$5:$C$600,C490,$Q$5:$Q$600,"&gt;"&amp;Q490)+U490,"")</f>
        <v/>
      </c>
      <c r="W490" s="37" t="str">
        <f aca="false">IF(T490="Yes",IF(V490&lt;=INDEX(PoolList,MATCH(C490,ProgramList,0)),"Within pool","Over pool"),"")</f>
        <v/>
      </c>
      <c r="X490" s="37" t="n">
        <f aca="false">IF(O490="Yes",COUNTIF($O$5:O490,"Yes"),"")</f>
        <v>59</v>
      </c>
    </row>
    <row r="491" customFormat="false" ht="15" hidden="false" customHeight="false" outlineLevel="0" collapsed="false">
      <c r="A491" s="35" t="s">
        <v>1165</v>
      </c>
      <c r="B491" s="35" t="s">
        <v>1166</v>
      </c>
      <c r="C491" s="35" t="s">
        <v>104</v>
      </c>
      <c r="D491" s="35" t="s">
        <v>174</v>
      </c>
      <c r="E491" s="35" t="s">
        <v>175</v>
      </c>
      <c r="F491" s="42" t="n">
        <v>76000</v>
      </c>
      <c r="G491" s="36" t="n">
        <v>45917</v>
      </c>
      <c r="H491" s="35" t="s">
        <v>54</v>
      </c>
      <c r="I491" s="35" t="s">
        <v>85</v>
      </c>
      <c r="J491" s="35" t="s">
        <v>94</v>
      </c>
      <c r="K491" s="35"/>
      <c r="L491" s="48" t="n">
        <f aca="false">IFERROR(AVERAGEIFS('Score Entry'!$M$5:$M$1276,'Score Entry'!$B$5:$B$1276,A491,'Score Entry'!$E$5:$E$1276,"Primary"),"")</f>
        <v>64</v>
      </c>
      <c r="M491" s="48" t="n">
        <f aca="false">IFERROR(AVERAGEIFS('Score Entry'!$M$5:$M$1276,'Score Entry'!$B$5:$B$1276,A491,'Score Entry'!$E$5:$E$1276,"Secondary"),"")</f>
        <v>64</v>
      </c>
      <c r="N491" s="48" t="n">
        <f aca="false">IF(COUNT(L491:M491)=2,ABS(L491-M491),"")</f>
        <v>0</v>
      </c>
      <c r="O491" s="37" t="str">
        <f aca="false">IF(N491="","",IF(N491&gt;=Threshold,"Yes","No"))</f>
        <v>No</v>
      </c>
      <c r="P491" s="48" t="str">
        <f aca="false">IFERROR(AVERAGEIFS('Score Entry'!$M$5:$M$1276,'Score Entry'!$B$5:$B$1276,A491,'Score Entry'!$E$5:$E$1276,"Third"),"")</f>
        <v/>
      </c>
      <c r="Q491" s="48" t="n">
        <f aca="false">IF(H491&lt;&gt;"Eligible","",IF(O491="Yes",IF(ISNUMBER(P491),ROUND(AVERAGE(L491,M491,P491),1),""),IF(O491="No",ROUND(AVERAGE(L491:M491),1),"")))</f>
        <v>64</v>
      </c>
      <c r="R491" s="37" t="str">
        <f aca="false">IF(H491&lt;&gt;"Eligible","Screened out",IF(COUNT(L491:M491)=0,"Not started",IF(COUNT(L491:M491)=1,"One read done",IF(O491="Yes",IF(ISNUMBER(P491),"Complete","Needs third read"),"Complete"))))</f>
        <v>Complete</v>
      </c>
      <c r="S491" s="37" t="n">
        <f aca="false">IF(Q491="","",COUNTIFS($C$5:$C$600,C491,$Q$5:$Q$600,"&gt;"&amp;Q491)+1)</f>
        <v>60</v>
      </c>
      <c r="T491" s="37" t="str">
        <f aca="false">IF(Q491="","",IF(Q491&gt;=Cutoff,"Yes","No"))</f>
        <v>No</v>
      </c>
      <c r="U491" s="49" t="n">
        <f aca="false">IF(T491="Yes",MIN(F491,INDEX(Settings!$G:$G,MATCH(C491,Settings!$E:$E,0))),0)</f>
        <v>0</v>
      </c>
      <c r="V491" s="49" t="str">
        <f aca="false">IF(T491="Yes",SUMIFS($U$5:$U$600,$C$5:$C$600,C491,$Q$5:$Q$600,"&gt;"&amp;Q491)+U491,"")</f>
        <v/>
      </c>
      <c r="W491" s="37" t="str">
        <f aca="false">IF(T491="Yes",IF(V491&lt;=INDEX(PoolList,MATCH(C491,ProgramList,0)),"Within pool","Over pool"),"")</f>
        <v/>
      </c>
      <c r="X491" s="37" t="str">
        <f aca="false">IF(O491="Yes",COUNTIF($O$5:O491,"Yes"),"")</f>
        <v/>
      </c>
    </row>
    <row r="492" customFormat="false" ht="15" hidden="false" customHeight="false" outlineLevel="0" collapsed="false">
      <c r="A492" s="35" t="s">
        <v>1167</v>
      </c>
      <c r="B492" s="35" t="s">
        <v>1168</v>
      </c>
      <c r="C492" s="35" t="s">
        <v>105</v>
      </c>
      <c r="D492" s="35" t="s">
        <v>239</v>
      </c>
      <c r="E492" s="35" t="s">
        <v>247</v>
      </c>
      <c r="F492" s="42" t="n">
        <v>59000</v>
      </c>
      <c r="G492" s="36" t="n">
        <v>45922</v>
      </c>
      <c r="H492" s="35" t="s">
        <v>54</v>
      </c>
      <c r="I492" s="35" t="s">
        <v>88</v>
      </c>
      <c r="J492" s="35" t="s">
        <v>82</v>
      </c>
      <c r="K492" s="35"/>
      <c r="L492" s="48" t="n">
        <f aca="false">IFERROR(AVERAGEIFS('Score Entry'!$M$5:$M$1276,'Score Entry'!$B$5:$B$1276,A492,'Score Entry'!$E$5:$E$1276,"Primary"),"")</f>
        <v>70</v>
      </c>
      <c r="M492" s="48" t="n">
        <f aca="false">IFERROR(AVERAGEIFS('Score Entry'!$M$5:$M$1276,'Score Entry'!$B$5:$B$1276,A492,'Score Entry'!$E$5:$E$1276,"Secondary"),"")</f>
        <v>62</v>
      </c>
      <c r="N492" s="48" t="n">
        <f aca="false">IF(COUNT(L492:M492)=2,ABS(L492-M492),"")</f>
        <v>8</v>
      </c>
      <c r="O492" s="37" t="str">
        <f aca="false">IF(N492="","",IF(N492&gt;=Threshold,"Yes","No"))</f>
        <v>No</v>
      </c>
      <c r="P492" s="48" t="str">
        <f aca="false">IFERROR(AVERAGEIFS('Score Entry'!$M$5:$M$1276,'Score Entry'!$B$5:$B$1276,A492,'Score Entry'!$E$5:$E$1276,"Third"),"")</f>
        <v/>
      </c>
      <c r="Q492" s="48" t="n">
        <f aca="false">IF(H492&lt;&gt;"Eligible","",IF(O492="Yes",IF(ISNUMBER(P492),ROUND(AVERAGE(L492,M492,P492),1),""),IF(O492="No",ROUND(AVERAGE(L492:M492),1),"")))</f>
        <v>66</v>
      </c>
      <c r="R492" s="37" t="str">
        <f aca="false">IF(H492&lt;&gt;"Eligible","Screened out",IF(COUNT(L492:M492)=0,"Not started",IF(COUNT(L492:M492)=1,"One read done",IF(O492="Yes",IF(ISNUMBER(P492),"Complete","Needs third read"),"Complete"))))</f>
        <v>Complete</v>
      </c>
      <c r="S492" s="37" t="n">
        <f aca="false">IF(Q492="","",COUNTIFS($C$5:$C$600,C492,$Q$5:$Q$600,"&gt;"&amp;Q492)+1)</f>
        <v>56</v>
      </c>
      <c r="T492" s="37" t="str">
        <f aca="false">IF(Q492="","",IF(Q492&gt;=Cutoff,"Yes","No"))</f>
        <v>No</v>
      </c>
      <c r="U492" s="49" t="n">
        <f aca="false">IF(T492="Yes",MIN(F492,INDEX(Settings!$G:$G,MATCH(C492,Settings!$E:$E,0))),0)</f>
        <v>0</v>
      </c>
      <c r="V492" s="49" t="str">
        <f aca="false">IF(T492="Yes",SUMIFS($U$5:$U$600,$C$5:$C$600,C492,$Q$5:$Q$600,"&gt;"&amp;Q492)+U492,"")</f>
        <v/>
      </c>
      <c r="W492" s="37" t="str">
        <f aca="false">IF(T492="Yes",IF(V492&lt;=INDEX(PoolList,MATCH(C492,ProgramList,0)),"Within pool","Over pool"),"")</f>
        <v/>
      </c>
      <c r="X492" s="37" t="str">
        <f aca="false">IF(O492="Yes",COUNTIF($O$5:O492,"Yes"),"")</f>
        <v/>
      </c>
    </row>
    <row r="493" customFormat="false" ht="15" hidden="false" customHeight="false" outlineLevel="0" collapsed="false">
      <c r="A493" s="35" t="s">
        <v>1169</v>
      </c>
      <c r="B493" s="35" t="s">
        <v>1170</v>
      </c>
      <c r="C493" s="35" t="s">
        <v>104</v>
      </c>
      <c r="D493" s="35" t="s">
        <v>239</v>
      </c>
      <c r="E493" s="35" t="s">
        <v>554</v>
      </c>
      <c r="F493" s="42" t="n">
        <v>46000</v>
      </c>
      <c r="G493" s="36" t="n">
        <v>45927</v>
      </c>
      <c r="H493" s="35" t="s">
        <v>54</v>
      </c>
      <c r="I493" s="35" t="s">
        <v>91</v>
      </c>
      <c r="J493" s="35" t="s">
        <v>85</v>
      </c>
      <c r="K493" s="35"/>
      <c r="L493" s="48" t="n">
        <f aca="false">IFERROR(AVERAGEIFS('Score Entry'!$M$5:$M$1276,'Score Entry'!$B$5:$B$1276,A493,'Score Entry'!$E$5:$E$1276,"Primary"),"")</f>
        <v>72</v>
      </c>
      <c r="M493" s="48" t="n">
        <f aca="false">IFERROR(AVERAGEIFS('Score Entry'!$M$5:$M$1276,'Score Entry'!$B$5:$B$1276,A493,'Score Entry'!$E$5:$E$1276,"Secondary"),"")</f>
        <v>80</v>
      </c>
      <c r="N493" s="48" t="n">
        <f aca="false">IF(COUNT(L493:M493)=2,ABS(L493-M493),"")</f>
        <v>8</v>
      </c>
      <c r="O493" s="37" t="str">
        <f aca="false">IF(N493="","",IF(N493&gt;=Threshold,"Yes","No"))</f>
        <v>No</v>
      </c>
      <c r="P493" s="48" t="str">
        <f aca="false">IFERROR(AVERAGEIFS('Score Entry'!$M$5:$M$1276,'Score Entry'!$B$5:$B$1276,A493,'Score Entry'!$E$5:$E$1276,"Third"),"")</f>
        <v/>
      </c>
      <c r="Q493" s="48" t="n">
        <f aca="false">IF(H493&lt;&gt;"Eligible","",IF(O493="Yes",IF(ISNUMBER(P493),ROUND(AVERAGE(L493,M493,P493),1),""),IF(O493="No",ROUND(AVERAGE(L493:M493),1),"")))</f>
        <v>76</v>
      </c>
      <c r="R493" s="37" t="str">
        <f aca="false">IF(H493&lt;&gt;"Eligible","Screened out",IF(COUNT(L493:M493)=0,"Not started",IF(COUNT(L493:M493)=1,"One read done",IF(O493="Yes",IF(ISNUMBER(P493),"Complete","Needs third read"),"Complete"))))</f>
        <v>Complete</v>
      </c>
      <c r="S493" s="37" t="n">
        <f aca="false">IF(Q493="","",COUNTIFS($C$5:$C$600,C493,$Q$5:$Q$600,"&gt;"&amp;Q493)+1)</f>
        <v>30</v>
      </c>
      <c r="T493" s="37" t="str">
        <f aca="false">IF(Q493="","",IF(Q493&gt;=Cutoff,"Yes","No"))</f>
        <v>No</v>
      </c>
      <c r="U493" s="49" t="n">
        <f aca="false">IF(T493="Yes",MIN(F493,INDEX(Settings!$G:$G,MATCH(C493,Settings!$E:$E,0))),0)</f>
        <v>0</v>
      </c>
      <c r="V493" s="49" t="str">
        <f aca="false">IF(T493="Yes",SUMIFS($U$5:$U$600,$C$5:$C$600,C493,$Q$5:$Q$600,"&gt;"&amp;Q493)+U493,"")</f>
        <v/>
      </c>
      <c r="W493" s="37" t="str">
        <f aca="false">IF(T493="Yes",IF(V493&lt;=INDEX(PoolList,MATCH(C493,ProgramList,0)),"Within pool","Over pool"),"")</f>
        <v/>
      </c>
      <c r="X493" s="37" t="str">
        <f aca="false">IF(O493="Yes",COUNTIF($O$5:O493,"Yes"),"")</f>
        <v/>
      </c>
    </row>
    <row r="494" customFormat="false" ht="15" hidden="false" customHeight="false" outlineLevel="0" collapsed="false">
      <c r="A494" s="35" t="s">
        <v>1171</v>
      </c>
      <c r="B494" s="35" t="s">
        <v>1172</v>
      </c>
      <c r="C494" s="35" t="s">
        <v>104</v>
      </c>
      <c r="D494" s="35" t="s">
        <v>174</v>
      </c>
      <c r="E494" s="35" t="s">
        <v>175</v>
      </c>
      <c r="F494" s="42" t="n">
        <v>148000</v>
      </c>
      <c r="G494" s="36" t="n">
        <v>45913</v>
      </c>
      <c r="H494" s="35" t="s">
        <v>54</v>
      </c>
      <c r="I494" s="35" t="s">
        <v>78</v>
      </c>
      <c r="J494" s="35" t="s">
        <v>88</v>
      </c>
      <c r="K494" s="35"/>
      <c r="L494" s="48" t="n">
        <f aca="false">IFERROR(AVERAGEIFS('Score Entry'!$M$5:$M$1276,'Score Entry'!$B$5:$B$1276,A494,'Score Entry'!$E$5:$E$1276,"Primary"),"")</f>
        <v>63</v>
      </c>
      <c r="M494" s="48" t="n">
        <f aca="false">IFERROR(AVERAGEIFS('Score Entry'!$M$5:$M$1276,'Score Entry'!$B$5:$B$1276,A494,'Score Entry'!$E$5:$E$1276,"Secondary"),"")</f>
        <v>69</v>
      </c>
      <c r="N494" s="48" t="n">
        <f aca="false">IF(COUNT(L494:M494)=2,ABS(L494-M494),"")</f>
        <v>6</v>
      </c>
      <c r="O494" s="37" t="str">
        <f aca="false">IF(N494="","",IF(N494&gt;=Threshold,"Yes","No"))</f>
        <v>No</v>
      </c>
      <c r="P494" s="48" t="str">
        <f aca="false">IFERROR(AVERAGEIFS('Score Entry'!$M$5:$M$1276,'Score Entry'!$B$5:$B$1276,A494,'Score Entry'!$E$5:$E$1276,"Third"),"")</f>
        <v/>
      </c>
      <c r="Q494" s="48" t="n">
        <f aca="false">IF(H494&lt;&gt;"Eligible","",IF(O494="Yes",IF(ISNUMBER(P494),ROUND(AVERAGE(L494,M494,P494),1),""),IF(O494="No",ROUND(AVERAGE(L494:M494),1),"")))</f>
        <v>66</v>
      </c>
      <c r="R494" s="37" t="str">
        <f aca="false">IF(H494&lt;&gt;"Eligible","Screened out",IF(COUNT(L494:M494)=0,"Not started",IF(COUNT(L494:M494)=1,"One read done",IF(O494="Yes",IF(ISNUMBER(P494),"Complete","Needs third read"),"Complete"))))</f>
        <v>Complete</v>
      </c>
      <c r="S494" s="37" t="n">
        <f aca="false">IF(Q494="","",COUNTIFS($C$5:$C$600,C494,$Q$5:$Q$600,"&gt;"&amp;Q494)+1)</f>
        <v>54</v>
      </c>
      <c r="T494" s="37" t="str">
        <f aca="false">IF(Q494="","",IF(Q494&gt;=Cutoff,"Yes","No"))</f>
        <v>No</v>
      </c>
      <c r="U494" s="49" t="n">
        <f aca="false">IF(T494="Yes",MIN(F494,INDEX(Settings!$G:$G,MATCH(C494,Settings!$E:$E,0))),0)</f>
        <v>0</v>
      </c>
      <c r="V494" s="49" t="str">
        <f aca="false">IF(T494="Yes",SUMIFS($U$5:$U$600,$C$5:$C$600,C494,$Q$5:$Q$600,"&gt;"&amp;Q494)+U494,"")</f>
        <v/>
      </c>
      <c r="W494" s="37" t="str">
        <f aca="false">IF(T494="Yes",IF(V494&lt;=INDEX(PoolList,MATCH(C494,ProgramList,0)),"Within pool","Over pool"),"")</f>
        <v/>
      </c>
      <c r="X494" s="37" t="str">
        <f aca="false">IF(O494="Yes",COUNTIF($O$5:O494,"Yes"),"")</f>
        <v/>
      </c>
    </row>
    <row r="495" customFormat="false" ht="15" hidden="false" customHeight="false" outlineLevel="0" collapsed="false">
      <c r="A495" s="35" t="s">
        <v>1173</v>
      </c>
      <c r="B495" s="35" t="s">
        <v>1174</v>
      </c>
      <c r="C495" s="35" t="s">
        <v>105</v>
      </c>
      <c r="D495" s="35" t="s">
        <v>221</v>
      </c>
      <c r="E495" s="35" t="s">
        <v>258</v>
      </c>
      <c r="F495" s="42" t="n">
        <v>118500</v>
      </c>
      <c r="G495" s="36" t="n">
        <v>45912</v>
      </c>
      <c r="H495" s="35" t="s">
        <v>54</v>
      </c>
      <c r="I495" s="35" t="s">
        <v>85</v>
      </c>
      <c r="J495" s="35" t="s">
        <v>94</v>
      </c>
      <c r="K495" s="35"/>
      <c r="L495" s="48" t="n">
        <f aca="false">IFERROR(AVERAGEIFS('Score Entry'!$M$5:$M$1276,'Score Entry'!$B$5:$B$1276,A495,'Score Entry'!$E$5:$E$1276,"Primary"),"")</f>
        <v>57</v>
      </c>
      <c r="M495" s="48" t="n">
        <f aca="false">IFERROR(AVERAGEIFS('Score Entry'!$M$5:$M$1276,'Score Entry'!$B$5:$B$1276,A495,'Score Entry'!$E$5:$E$1276,"Secondary"),"")</f>
        <v>44</v>
      </c>
      <c r="N495" s="48" t="n">
        <f aca="false">IF(COUNT(L495:M495)=2,ABS(L495-M495),"")</f>
        <v>13</v>
      </c>
      <c r="O495" s="37" t="str">
        <f aca="false">IF(N495="","",IF(N495&gt;=Threshold,"Yes","No"))</f>
        <v>No</v>
      </c>
      <c r="P495" s="48" t="str">
        <f aca="false">IFERROR(AVERAGEIFS('Score Entry'!$M$5:$M$1276,'Score Entry'!$B$5:$B$1276,A495,'Score Entry'!$E$5:$E$1276,"Third"),"")</f>
        <v/>
      </c>
      <c r="Q495" s="48" t="n">
        <f aca="false">IF(H495&lt;&gt;"Eligible","",IF(O495="Yes",IF(ISNUMBER(P495),ROUND(AVERAGE(L495,M495,P495),1),""),IF(O495="No",ROUND(AVERAGE(L495:M495),1),"")))</f>
        <v>50.5</v>
      </c>
      <c r="R495" s="37" t="str">
        <f aca="false">IF(H495&lt;&gt;"Eligible","Screened out",IF(COUNT(L495:M495)=0,"Not started",IF(COUNT(L495:M495)=1,"One read done",IF(O495="Yes",IF(ISNUMBER(P495),"Complete","Needs third read"),"Complete"))))</f>
        <v>Complete</v>
      </c>
      <c r="S495" s="37" t="n">
        <f aca="false">IF(Q495="","",COUNTIFS($C$5:$C$600,C495,$Q$5:$Q$600,"&gt;"&amp;Q495)+1)</f>
        <v>91</v>
      </c>
      <c r="T495" s="37" t="str">
        <f aca="false">IF(Q495="","",IF(Q495&gt;=Cutoff,"Yes","No"))</f>
        <v>No</v>
      </c>
      <c r="U495" s="49" t="n">
        <f aca="false">IF(T495="Yes",MIN(F495,INDEX(Settings!$G:$G,MATCH(C495,Settings!$E:$E,0))),0)</f>
        <v>0</v>
      </c>
      <c r="V495" s="49" t="str">
        <f aca="false">IF(T495="Yes",SUMIFS($U$5:$U$600,$C$5:$C$600,C495,$Q$5:$Q$600,"&gt;"&amp;Q495)+U495,"")</f>
        <v/>
      </c>
      <c r="W495" s="37" t="str">
        <f aca="false">IF(T495="Yes",IF(V495&lt;=INDEX(PoolList,MATCH(C495,ProgramList,0)),"Within pool","Over pool"),"")</f>
        <v/>
      </c>
      <c r="X495" s="37" t="str">
        <f aca="false">IF(O495="Yes",COUNTIF($O$5:O495,"Yes"),"")</f>
        <v/>
      </c>
    </row>
    <row r="496" customFormat="false" ht="15" hidden="false" customHeight="false" outlineLevel="0" collapsed="false">
      <c r="A496" s="35" t="s">
        <v>1175</v>
      </c>
      <c r="B496" s="35" t="s">
        <v>1176</v>
      </c>
      <c r="C496" s="35" t="s">
        <v>104</v>
      </c>
      <c r="D496" s="35" t="s">
        <v>174</v>
      </c>
      <c r="E496" s="35" t="s">
        <v>175</v>
      </c>
      <c r="F496" s="42" t="n">
        <v>43500</v>
      </c>
      <c r="G496" s="36" t="n">
        <v>45925</v>
      </c>
      <c r="H496" s="35" t="s">
        <v>54</v>
      </c>
      <c r="I496" s="35" t="s">
        <v>88</v>
      </c>
      <c r="J496" s="35" t="s">
        <v>78</v>
      </c>
      <c r="K496" s="35"/>
      <c r="L496" s="48" t="n">
        <f aca="false">IFERROR(AVERAGEIFS('Score Entry'!$M$5:$M$1276,'Score Entry'!$B$5:$B$1276,A496,'Score Entry'!$E$5:$E$1276,"Primary"),"")</f>
        <v>66</v>
      </c>
      <c r="M496" s="48" t="n">
        <f aca="false">IFERROR(AVERAGEIFS('Score Entry'!$M$5:$M$1276,'Score Entry'!$B$5:$B$1276,A496,'Score Entry'!$E$5:$E$1276,"Secondary"),"")</f>
        <v>58</v>
      </c>
      <c r="N496" s="48" t="n">
        <f aca="false">IF(COUNT(L496:M496)=2,ABS(L496-M496),"")</f>
        <v>8</v>
      </c>
      <c r="O496" s="37" t="str">
        <f aca="false">IF(N496="","",IF(N496&gt;=Threshold,"Yes","No"))</f>
        <v>No</v>
      </c>
      <c r="P496" s="48" t="str">
        <f aca="false">IFERROR(AVERAGEIFS('Score Entry'!$M$5:$M$1276,'Score Entry'!$B$5:$B$1276,A496,'Score Entry'!$E$5:$E$1276,"Third"),"")</f>
        <v/>
      </c>
      <c r="Q496" s="48" t="n">
        <f aca="false">IF(H496&lt;&gt;"Eligible","",IF(O496="Yes",IF(ISNUMBER(P496),ROUND(AVERAGE(L496,M496,P496),1),""),IF(O496="No",ROUND(AVERAGE(L496:M496),1),"")))</f>
        <v>62</v>
      </c>
      <c r="R496" s="37" t="str">
        <f aca="false">IF(H496&lt;&gt;"Eligible","Screened out",IF(COUNT(L496:M496)=0,"Not started",IF(COUNT(L496:M496)=1,"One read done",IF(O496="Yes",IF(ISNUMBER(P496),"Complete","Needs third read"),"Complete"))))</f>
        <v>Complete</v>
      </c>
      <c r="S496" s="37" t="n">
        <f aca="false">IF(Q496="","",COUNTIFS($C$5:$C$600,C496,$Q$5:$Q$600,"&gt;"&amp;Q496)+1)</f>
        <v>68</v>
      </c>
      <c r="T496" s="37" t="str">
        <f aca="false">IF(Q496="","",IF(Q496&gt;=Cutoff,"Yes","No"))</f>
        <v>No</v>
      </c>
      <c r="U496" s="49" t="n">
        <f aca="false">IF(T496="Yes",MIN(F496,INDEX(Settings!$G:$G,MATCH(C496,Settings!$E:$E,0))),0)</f>
        <v>0</v>
      </c>
      <c r="V496" s="49" t="str">
        <f aca="false">IF(T496="Yes",SUMIFS($U$5:$U$600,$C$5:$C$600,C496,$Q$5:$Q$600,"&gt;"&amp;Q496)+U496,"")</f>
        <v/>
      </c>
      <c r="W496" s="37" t="str">
        <f aca="false">IF(T496="Yes",IF(V496&lt;=INDEX(PoolList,MATCH(C496,ProgramList,0)),"Within pool","Over pool"),"")</f>
        <v/>
      </c>
      <c r="X496" s="37" t="str">
        <f aca="false">IF(O496="Yes",COUNTIF($O$5:O496,"Yes"),"")</f>
        <v/>
      </c>
    </row>
    <row r="497" customFormat="false" ht="15" hidden="false" customHeight="false" outlineLevel="0" collapsed="false">
      <c r="A497" s="35" t="s">
        <v>1177</v>
      </c>
      <c r="B497" s="35" t="s">
        <v>1178</v>
      </c>
      <c r="C497" s="35" t="s">
        <v>105</v>
      </c>
      <c r="D497" s="35" t="s">
        <v>174</v>
      </c>
      <c r="E497" s="35" t="s">
        <v>175</v>
      </c>
      <c r="F497" s="42" t="n">
        <v>40000</v>
      </c>
      <c r="G497" s="36" t="n">
        <v>45924</v>
      </c>
      <c r="H497" s="35" t="s">
        <v>54</v>
      </c>
      <c r="I497" s="35" t="s">
        <v>82</v>
      </c>
      <c r="J497" s="35" t="s">
        <v>91</v>
      </c>
      <c r="K497" s="35"/>
      <c r="L497" s="48" t="n">
        <f aca="false">IFERROR(AVERAGEIFS('Score Entry'!$M$5:$M$1276,'Score Entry'!$B$5:$B$1276,A497,'Score Entry'!$E$5:$E$1276,"Primary"),"")</f>
        <v>60</v>
      </c>
      <c r="M497" s="48" t="n">
        <f aca="false">IFERROR(AVERAGEIFS('Score Entry'!$M$5:$M$1276,'Score Entry'!$B$5:$B$1276,A497,'Score Entry'!$E$5:$E$1276,"Secondary"),"")</f>
        <v>71</v>
      </c>
      <c r="N497" s="48" t="n">
        <f aca="false">IF(COUNT(L497:M497)=2,ABS(L497-M497),"")</f>
        <v>11</v>
      </c>
      <c r="O497" s="37" t="str">
        <f aca="false">IF(N497="","",IF(N497&gt;=Threshold,"Yes","No"))</f>
        <v>No</v>
      </c>
      <c r="P497" s="48" t="str">
        <f aca="false">IFERROR(AVERAGEIFS('Score Entry'!$M$5:$M$1276,'Score Entry'!$B$5:$B$1276,A497,'Score Entry'!$E$5:$E$1276,"Third"),"")</f>
        <v/>
      </c>
      <c r="Q497" s="48" t="n">
        <f aca="false">IF(H497&lt;&gt;"Eligible","",IF(O497="Yes",IF(ISNUMBER(P497),ROUND(AVERAGE(L497,M497,P497),1),""),IF(O497="No",ROUND(AVERAGE(L497:M497),1),"")))</f>
        <v>65.5</v>
      </c>
      <c r="R497" s="37" t="str">
        <f aca="false">IF(H497&lt;&gt;"Eligible","Screened out",IF(COUNT(L497:M497)=0,"Not started",IF(COUNT(L497:M497)=1,"One read done",IF(O497="Yes",IF(ISNUMBER(P497),"Complete","Needs third read"),"Complete"))))</f>
        <v>Complete</v>
      </c>
      <c r="S497" s="37" t="n">
        <f aca="false">IF(Q497="","",COUNTIFS($C$5:$C$600,C497,$Q$5:$Q$600,"&gt;"&amp;Q497)+1)</f>
        <v>58</v>
      </c>
      <c r="T497" s="37" t="str">
        <f aca="false">IF(Q497="","",IF(Q497&gt;=Cutoff,"Yes","No"))</f>
        <v>No</v>
      </c>
      <c r="U497" s="49" t="n">
        <f aca="false">IF(T497="Yes",MIN(F497,INDEX(Settings!$G:$G,MATCH(C497,Settings!$E:$E,0))),0)</f>
        <v>0</v>
      </c>
      <c r="V497" s="49" t="str">
        <f aca="false">IF(T497="Yes",SUMIFS($U$5:$U$600,$C$5:$C$600,C497,$Q$5:$Q$600,"&gt;"&amp;Q497)+U497,"")</f>
        <v/>
      </c>
      <c r="W497" s="37" t="str">
        <f aca="false">IF(T497="Yes",IF(V497&lt;=INDEX(PoolList,MATCH(C497,ProgramList,0)),"Within pool","Over pool"),"")</f>
        <v/>
      </c>
      <c r="X497" s="37" t="str">
        <f aca="false">IF(O497="Yes",COUNTIF($O$5:O497,"Yes"),"")</f>
        <v/>
      </c>
    </row>
    <row r="498" customFormat="false" ht="15" hidden="false" customHeight="false" outlineLevel="0" collapsed="false">
      <c r="A498" s="35" t="s">
        <v>1179</v>
      </c>
      <c r="B498" s="35" t="s">
        <v>1180</v>
      </c>
      <c r="C498" s="35" t="s">
        <v>106</v>
      </c>
      <c r="D498" s="35" t="s">
        <v>180</v>
      </c>
      <c r="E498" s="35" t="s">
        <v>269</v>
      </c>
      <c r="F498" s="42" t="n">
        <v>164000</v>
      </c>
      <c r="G498" s="36" t="n">
        <v>45923</v>
      </c>
      <c r="H498" s="35" t="s">
        <v>54</v>
      </c>
      <c r="I498" s="35" t="s">
        <v>91</v>
      </c>
      <c r="J498" s="35" t="s">
        <v>94</v>
      </c>
      <c r="K498" s="35" t="s">
        <v>82</v>
      </c>
      <c r="L498" s="48" t="n">
        <f aca="false">IFERROR(AVERAGEIFS('Score Entry'!$M$5:$M$1276,'Score Entry'!$B$5:$B$1276,A498,'Score Entry'!$E$5:$E$1276,"Primary"),"")</f>
        <v>80</v>
      </c>
      <c r="M498" s="48" t="n">
        <f aca="false">IFERROR(AVERAGEIFS('Score Entry'!$M$5:$M$1276,'Score Entry'!$B$5:$B$1276,A498,'Score Entry'!$E$5:$E$1276,"Secondary"),"")</f>
        <v>60</v>
      </c>
      <c r="N498" s="48" t="n">
        <f aca="false">IF(COUNT(L498:M498)=2,ABS(L498-M498),"")</f>
        <v>20</v>
      </c>
      <c r="O498" s="37" t="str">
        <f aca="false">IF(N498="","",IF(N498&gt;=Threshold,"Yes","No"))</f>
        <v>Yes</v>
      </c>
      <c r="P498" s="48" t="n">
        <f aca="false">IFERROR(AVERAGEIFS('Score Entry'!$M$5:$M$1276,'Score Entry'!$B$5:$B$1276,A498,'Score Entry'!$E$5:$E$1276,"Third"),"")</f>
        <v>73</v>
      </c>
      <c r="Q498" s="48" t="n">
        <f aca="false">IF(H498&lt;&gt;"Eligible","",IF(O498="Yes",IF(ISNUMBER(P498),ROUND(AVERAGE(L498,M498,P498),1),""),IF(O498="No",ROUND(AVERAGE(L498:M498),1),"")))</f>
        <v>71</v>
      </c>
      <c r="R498" s="37" t="str">
        <f aca="false">IF(H498&lt;&gt;"Eligible","Screened out",IF(COUNT(L498:M498)=0,"Not started",IF(COUNT(L498:M498)=1,"One read done",IF(O498="Yes",IF(ISNUMBER(P498),"Complete","Needs third read"),"Complete"))))</f>
        <v>Complete</v>
      </c>
      <c r="S498" s="37" t="n">
        <f aca="false">IF(Q498="","",COUNTIFS($C$5:$C$600,C498,$Q$5:$Q$600,"&gt;"&amp;Q498)+1)</f>
        <v>48</v>
      </c>
      <c r="T498" s="37" t="str">
        <f aca="false">IF(Q498="","",IF(Q498&gt;=Cutoff,"Yes","No"))</f>
        <v>No</v>
      </c>
      <c r="U498" s="49" t="n">
        <f aca="false">IF(T498="Yes",MIN(F498,INDEX(Settings!$G:$G,MATCH(C498,Settings!$E:$E,0))),0)</f>
        <v>0</v>
      </c>
      <c r="V498" s="49" t="str">
        <f aca="false">IF(T498="Yes",SUMIFS($U$5:$U$600,$C$5:$C$600,C498,$Q$5:$Q$600,"&gt;"&amp;Q498)+U498,"")</f>
        <v/>
      </c>
      <c r="W498" s="37" t="str">
        <f aca="false">IF(T498="Yes",IF(V498&lt;=INDEX(PoolList,MATCH(C498,ProgramList,0)),"Within pool","Over pool"),"")</f>
        <v/>
      </c>
      <c r="X498" s="37" t="n">
        <f aca="false">IF(O498="Yes",COUNTIF($O$5:O498,"Yes"),"")</f>
        <v>60</v>
      </c>
    </row>
    <row r="499" customFormat="false" ht="15" hidden="false" customHeight="false" outlineLevel="0" collapsed="false">
      <c r="A499" s="35" t="s">
        <v>1181</v>
      </c>
      <c r="B499" s="35" t="s">
        <v>1182</v>
      </c>
      <c r="C499" s="35" t="s">
        <v>103</v>
      </c>
      <c r="D499" s="35" t="s">
        <v>180</v>
      </c>
      <c r="E499" s="35" t="s">
        <v>218</v>
      </c>
      <c r="F499" s="42" t="n">
        <v>130000</v>
      </c>
      <c r="G499" s="36" t="n">
        <v>45909</v>
      </c>
      <c r="H499" s="35" t="s">
        <v>54</v>
      </c>
      <c r="I499" s="35" t="s">
        <v>85</v>
      </c>
      <c r="J499" s="35" t="s">
        <v>82</v>
      </c>
      <c r="K499" s="35"/>
      <c r="L499" s="48" t="n">
        <f aca="false">IFERROR(AVERAGEIFS('Score Entry'!$M$5:$M$1276,'Score Entry'!$B$5:$B$1276,A499,'Score Entry'!$E$5:$E$1276,"Primary"),"")</f>
        <v>53</v>
      </c>
      <c r="M499" s="48" t="n">
        <f aca="false">IFERROR(AVERAGEIFS('Score Entry'!$M$5:$M$1276,'Score Entry'!$B$5:$B$1276,A499,'Score Entry'!$E$5:$E$1276,"Secondary"),"")</f>
        <v>60</v>
      </c>
      <c r="N499" s="48" t="n">
        <f aca="false">IF(COUNT(L499:M499)=2,ABS(L499-M499),"")</f>
        <v>7</v>
      </c>
      <c r="O499" s="37" t="str">
        <f aca="false">IF(N499="","",IF(N499&gt;=Threshold,"Yes","No"))</f>
        <v>No</v>
      </c>
      <c r="P499" s="48" t="str">
        <f aca="false">IFERROR(AVERAGEIFS('Score Entry'!$M$5:$M$1276,'Score Entry'!$B$5:$B$1276,A499,'Score Entry'!$E$5:$E$1276,"Third"),"")</f>
        <v/>
      </c>
      <c r="Q499" s="48" t="n">
        <f aca="false">IF(H499&lt;&gt;"Eligible","",IF(O499="Yes",IF(ISNUMBER(P499),ROUND(AVERAGE(L499,M499,P499),1),""),IF(O499="No",ROUND(AVERAGE(L499:M499),1),"")))</f>
        <v>56.5</v>
      </c>
      <c r="R499" s="37" t="str">
        <f aca="false">IF(H499&lt;&gt;"Eligible","Screened out",IF(COUNT(L499:M499)=0,"Not started",IF(COUNT(L499:M499)=1,"One read done",IF(O499="Yes",IF(ISNUMBER(P499),"Complete","Needs third read"),"Complete"))))</f>
        <v>Complete</v>
      </c>
      <c r="S499" s="37" t="n">
        <f aca="false">IF(Q499="","",COUNTIFS($C$5:$C$600,C499,$Q$5:$Q$600,"&gt;"&amp;Q499)+1)</f>
        <v>125</v>
      </c>
      <c r="T499" s="37" t="str">
        <f aca="false">IF(Q499="","",IF(Q499&gt;=Cutoff,"Yes","No"))</f>
        <v>No</v>
      </c>
      <c r="U499" s="49" t="n">
        <f aca="false">IF(T499="Yes",MIN(F499,INDEX(Settings!$G:$G,MATCH(C499,Settings!$E:$E,0))),0)</f>
        <v>0</v>
      </c>
      <c r="V499" s="49" t="str">
        <f aca="false">IF(T499="Yes",SUMIFS($U$5:$U$600,$C$5:$C$600,C499,$Q$5:$Q$600,"&gt;"&amp;Q499)+U499,"")</f>
        <v/>
      </c>
      <c r="W499" s="37" t="str">
        <f aca="false">IF(T499="Yes",IF(V499&lt;=INDEX(PoolList,MATCH(C499,ProgramList,0)),"Within pool","Over pool"),"")</f>
        <v/>
      </c>
      <c r="X499" s="37" t="str">
        <f aca="false">IF(O499="Yes",COUNTIF($O$5:O499,"Yes"),"")</f>
        <v/>
      </c>
    </row>
    <row r="500" customFormat="false" ht="15" hidden="false" customHeight="false" outlineLevel="0" collapsed="false">
      <c r="A500" s="35" t="s">
        <v>1183</v>
      </c>
      <c r="B500" s="35" t="s">
        <v>1184</v>
      </c>
      <c r="C500" s="35" t="s">
        <v>103</v>
      </c>
      <c r="D500" s="35" t="s">
        <v>174</v>
      </c>
      <c r="E500" s="35" t="s">
        <v>232</v>
      </c>
      <c r="F500" s="42" t="n">
        <v>70500</v>
      </c>
      <c r="G500" s="36" t="n">
        <v>45925</v>
      </c>
      <c r="H500" s="35" t="s">
        <v>54</v>
      </c>
      <c r="I500" s="35" t="s">
        <v>85</v>
      </c>
      <c r="J500" s="35" t="s">
        <v>78</v>
      </c>
      <c r="K500" s="35"/>
      <c r="L500" s="48" t="n">
        <f aca="false">IFERROR(AVERAGEIFS('Score Entry'!$M$5:$M$1276,'Score Entry'!$B$5:$B$1276,A500,'Score Entry'!$E$5:$E$1276,"Primary"),"")</f>
        <v>75</v>
      </c>
      <c r="M500" s="48" t="n">
        <f aca="false">IFERROR(AVERAGEIFS('Score Entry'!$M$5:$M$1276,'Score Entry'!$B$5:$B$1276,A500,'Score Entry'!$E$5:$E$1276,"Secondary"),"")</f>
        <v>78</v>
      </c>
      <c r="N500" s="48" t="n">
        <f aca="false">IF(COUNT(L500:M500)=2,ABS(L500-M500),"")</f>
        <v>3</v>
      </c>
      <c r="O500" s="37" t="str">
        <f aca="false">IF(N500="","",IF(N500&gt;=Threshold,"Yes","No"))</f>
        <v>No</v>
      </c>
      <c r="P500" s="48" t="str">
        <f aca="false">IFERROR(AVERAGEIFS('Score Entry'!$M$5:$M$1276,'Score Entry'!$B$5:$B$1276,A500,'Score Entry'!$E$5:$E$1276,"Third"),"")</f>
        <v/>
      </c>
      <c r="Q500" s="48" t="n">
        <f aca="false">IF(H500&lt;&gt;"Eligible","",IF(O500="Yes",IF(ISNUMBER(P500),ROUND(AVERAGE(L500,M500,P500),1),""),IF(O500="No",ROUND(AVERAGE(L500:M500),1),"")))</f>
        <v>76.5</v>
      </c>
      <c r="R500" s="37" t="str">
        <f aca="false">IF(H500&lt;&gt;"Eligible","Screened out",IF(COUNT(L500:M500)=0,"Not started",IF(COUNT(L500:M500)=1,"One read done",IF(O500="Yes",IF(ISNUMBER(P500),"Complete","Needs third read"),"Complete"))))</f>
        <v>Complete</v>
      </c>
      <c r="S500" s="37" t="n">
        <f aca="false">IF(Q500="","",COUNTIFS($C$5:$C$600,C500,$Q$5:$Q$600,"&gt;"&amp;Q500)+1)</f>
        <v>33</v>
      </c>
      <c r="T500" s="37" t="str">
        <f aca="false">IF(Q500="","",IF(Q500&gt;=Cutoff,"Yes","No"))</f>
        <v>No</v>
      </c>
      <c r="U500" s="49" t="n">
        <f aca="false">IF(T500="Yes",MIN(F500,INDEX(Settings!$G:$G,MATCH(C500,Settings!$E:$E,0))),0)</f>
        <v>0</v>
      </c>
      <c r="V500" s="49" t="str">
        <f aca="false">IF(T500="Yes",SUMIFS($U$5:$U$600,$C$5:$C$600,C500,$Q$5:$Q$600,"&gt;"&amp;Q500)+U500,"")</f>
        <v/>
      </c>
      <c r="W500" s="37" t="str">
        <f aca="false">IF(T500="Yes",IF(V500&lt;=INDEX(PoolList,MATCH(C500,ProgramList,0)),"Within pool","Over pool"),"")</f>
        <v/>
      </c>
      <c r="X500" s="37" t="str">
        <f aca="false">IF(O500="Yes",COUNTIF($O$5:O500,"Yes"),"")</f>
        <v/>
      </c>
    </row>
    <row r="501" customFormat="false" ht="15" hidden="false" customHeight="false" outlineLevel="0" collapsed="false">
      <c r="A501" s="35" t="s">
        <v>1185</v>
      </c>
      <c r="B501" s="35" t="s">
        <v>1186</v>
      </c>
      <c r="C501" s="35" t="s">
        <v>106</v>
      </c>
      <c r="D501" s="35" t="s">
        <v>174</v>
      </c>
      <c r="E501" s="35" t="s">
        <v>175</v>
      </c>
      <c r="F501" s="42" t="n">
        <v>99500</v>
      </c>
      <c r="G501" s="36" t="n">
        <v>45915</v>
      </c>
      <c r="H501" s="35" t="s">
        <v>54</v>
      </c>
      <c r="I501" s="35" t="s">
        <v>78</v>
      </c>
      <c r="J501" s="35" t="s">
        <v>82</v>
      </c>
      <c r="K501" s="35"/>
      <c r="L501" s="48" t="n">
        <f aca="false">IFERROR(AVERAGEIFS('Score Entry'!$M$5:$M$1276,'Score Entry'!$B$5:$B$1276,A501,'Score Entry'!$E$5:$E$1276,"Primary"),"")</f>
        <v>98</v>
      </c>
      <c r="M501" s="48" t="n">
        <f aca="false">IFERROR(AVERAGEIFS('Score Entry'!$M$5:$M$1276,'Score Entry'!$B$5:$B$1276,A501,'Score Entry'!$E$5:$E$1276,"Secondary"),"")</f>
        <v>84</v>
      </c>
      <c r="N501" s="48" t="n">
        <f aca="false">IF(COUNT(L501:M501)=2,ABS(L501-M501),"")</f>
        <v>14</v>
      </c>
      <c r="O501" s="37" t="str">
        <f aca="false">IF(N501="","",IF(N501&gt;=Threshold,"Yes","No"))</f>
        <v>No</v>
      </c>
      <c r="P501" s="48" t="str">
        <f aca="false">IFERROR(AVERAGEIFS('Score Entry'!$M$5:$M$1276,'Score Entry'!$B$5:$B$1276,A501,'Score Entry'!$E$5:$E$1276,"Third"),"")</f>
        <v/>
      </c>
      <c r="Q501" s="48" t="n">
        <f aca="false">IF(H501&lt;&gt;"Eligible","",IF(O501="Yes",IF(ISNUMBER(P501),ROUND(AVERAGE(L501,M501,P501),1),""),IF(O501="No",ROUND(AVERAGE(L501:M501),1),"")))</f>
        <v>91</v>
      </c>
      <c r="R501" s="37" t="str">
        <f aca="false">IF(H501&lt;&gt;"Eligible","Screened out",IF(COUNT(L501:M501)=0,"Not started",IF(COUNT(L501:M501)=1,"One read done",IF(O501="Yes",IF(ISNUMBER(P501),"Complete","Needs third read"),"Complete"))))</f>
        <v>Complete</v>
      </c>
      <c r="S501" s="37" t="n">
        <f aca="false">IF(Q501="","",COUNTIFS($C$5:$C$600,C501,$Q$5:$Q$600,"&gt;"&amp;Q501)+1)</f>
        <v>6</v>
      </c>
      <c r="T501" s="37" t="str">
        <f aca="false">IF(Q501="","",IF(Q501&gt;=Cutoff,"Yes","No"))</f>
        <v>Yes</v>
      </c>
      <c r="U501" s="49" t="n">
        <f aca="false">IF(T501="Yes",MIN(F501,INDEX(Settings!$G:$G,MATCH(C501,Settings!$E:$E,0))),0)</f>
        <v>99500</v>
      </c>
      <c r="V501" s="49" t="n">
        <f aca="false">IF(T501="Yes",SUMIFS($U$5:$U$600,$C$5:$C$600,C501,$Q$5:$Q$600,"&gt;"&amp;Q501)+U501,"")</f>
        <v>415000</v>
      </c>
      <c r="W501" s="37" t="str">
        <f aca="false">IF(T501="Yes",IF(V501&lt;=INDEX(PoolList,MATCH(C501,ProgramList,0)),"Within pool","Over pool"),"")</f>
        <v>Within pool</v>
      </c>
      <c r="X501" s="37" t="str">
        <f aca="false">IF(O501="Yes",COUNTIF($O$5:O501,"Yes"),"")</f>
        <v/>
      </c>
    </row>
    <row r="502" customFormat="false" ht="15" hidden="false" customHeight="false" outlineLevel="0" collapsed="false">
      <c r="A502" s="35" t="s">
        <v>1187</v>
      </c>
      <c r="B502" s="35" t="s">
        <v>1188</v>
      </c>
      <c r="C502" s="35" t="s">
        <v>103</v>
      </c>
      <c r="D502" s="35" t="s">
        <v>174</v>
      </c>
      <c r="E502" s="35" t="s">
        <v>232</v>
      </c>
      <c r="F502" s="42" t="n">
        <v>126000</v>
      </c>
      <c r="G502" s="36" t="n">
        <v>45926</v>
      </c>
      <c r="H502" s="35" t="s">
        <v>54</v>
      </c>
      <c r="I502" s="35" t="s">
        <v>85</v>
      </c>
      <c r="J502" s="35" t="s">
        <v>88</v>
      </c>
      <c r="K502" s="35"/>
      <c r="L502" s="48" t="n">
        <f aca="false">IFERROR(AVERAGEIFS('Score Entry'!$M$5:$M$1276,'Score Entry'!$B$5:$B$1276,A502,'Score Entry'!$E$5:$E$1276,"Primary"),"")</f>
        <v>62</v>
      </c>
      <c r="M502" s="48" t="n">
        <f aca="false">IFERROR(AVERAGEIFS('Score Entry'!$M$5:$M$1276,'Score Entry'!$B$5:$B$1276,A502,'Score Entry'!$E$5:$E$1276,"Secondary"),"")</f>
        <v>69</v>
      </c>
      <c r="N502" s="48" t="n">
        <f aca="false">IF(COUNT(L502:M502)=2,ABS(L502-M502),"")</f>
        <v>7</v>
      </c>
      <c r="O502" s="37" t="str">
        <f aca="false">IF(N502="","",IF(N502&gt;=Threshold,"Yes","No"))</f>
        <v>No</v>
      </c>
      <c r="P502" s="48" t="str">
        <f aca="false">IFERROR(AVERAGEIFS('Score Entry'!$M$5:$M$1276,'Score Entry'!$B$5:$B$1276,A502,'Score Entry'!$E$5:$E$1276,"Third"),"")</f>
        <v/>
      </c>
      <c r="Q502" s="48" t="n">
        <f aca="false">IF(H502&lt;&gt;"Eligible","",IF(O502="Yes",IF(ISNUMBER(P502),ROUND(AVERAGE(L502,M502,P502),1),""),IF(O502="No",ROUND(AVERAGE(L502:M502),1),"")))</f>
        <v>65.5</v>
      </c>
      <c r="R502" s="37" t="str">
        <f aca="false">IF(H502&lt;&gt;"Eligible","Screened out",IF(COUNT(L502:M502)=0,"Not started",IF(COUNT(L502:M502)=1,"One read done",IF(O502="Yes",IF(ISNUMBER(P502),"Complete","Needs third read"),"Complete"))))</f>
        <v>Complete</v>
      </c>
      <c r="S502" s="37" t="n">
        <f aca="false">IF(Q502="","",COUNTIFS($C$5:$C$600,C502,$Q$5:$Q$600,"&gt;"&amp;Q502)+1)</f>
        <v>87</v>
      </c>
      <c r="T502" s="37" t="str">
        <f aca="false">IF(Q502="","",IF(Q502&gt;=Cutoff,"Yes","No"))</f>
        <v>No</v>
      </c>
      <c r="U502" s="49" t="n">
        <f aca="false">IF(T502="Yes",MIN(F502,INDEX(Settings!$G:$G,MATCH(C502,Settings!$E:$E,0))),0)</f>
        <v>0</v>
      </c>
      <c r="V502" s="49" t="str">
        <f aca="false">IF(T502="Yes",SUMIFS($U$5:$U$600,$C$5:$C$600,C502,$Q$5:$Q$600,"&gt;"&amp;Q502)+U502,"")</f>
        <v/>
      </c>
      <c r="W502" s="37" t="str">
        <f aca="false">IF(T502="Yes",IF(V502&lt;=INDEX(PoolList,MATCH(C502,ProgramList,0)),"Within pool","Over pool"),"")</f>
        <v/>
      </c>
      <c r="X502" s="37" t="str">
        <f aca="false">IF(O502="Yes",COUNTIF($O$5:O502,"Yes"),"")</f>
        <v/>
      </c>
    </row>
    <row r="503" customFormat="false" ht="15" hidden="false" customHeight="false" outlineLevel="0" collapsed="false">
      <c r="A503" s="35" t="s">
        <v>1189</v>
      </c>
      <c r="B503" s="35" t="s">
        <v>1190</v>
      </c>
      <c r="C503" s="35" t="s">
        <v>104</v>
      </c>
      <c r="D503" s="35" t="s">
        <v>180</v>
      </c>
      <c r="E503" s="35" t="s">
        <v>181</v>
      </c>
      <c r="F503" s="42" t="n">
        <v>84000</v>
      </c>
      <c r="G503" s="36" t="n">
        <v>45921</v>
      </c>
      <c r="H503" s="35" t="s">
        <v>54</v>
      </c>
      <c r="I503" s="35" t="s">
        <v>91</v>
      </c>
      <c r="J503" s="35" t="s">
        <v>94</v>
      </c>
      <c r="K503" s="35"/>
      <c r="L503" s="48" t="str">
        <f aca="false">IFERROR(AVERAGEIFS('Score Entry'!$M$5:$M$1276,'Score Entry'!$B$5:$B$1276,A503,'Score Entry'!$E$5:$E$1276,"Primary"),"")</f>
        <v/>
      </c>
      <c r="M503" s="48" t="n">
        <f aca="false">IFERROR(AVERAGEIFS('Score Entry'!$M$5:$M$1276,'Score Entry'!$B$5:$B$1276,A503,'Score Entry'!$E$5:$E$1276,"Secondary"),"")</f>
        <v>91</v>
      </c>
      <c r="N503" s="48" t="str">
        <f aca="false">IF(COUNT(L503:M503)=2,ABS(L503-M503),"")</f>
        <v/>
      </c>
      <c r="O503" s="37" t="str">
        <f aca="false">IF(N503="","",IF(N503&gt;=Threshold,"Yes","No"))</f>
        <v/>
      </c>
      <c r="P503" s="48" t="str">
        <f aca="false">IFERROR(AVERAGEIFS('Score Entry'!$M$5:$M$1276,'Score Entry'!$B$5:$B$1276,A503,'Score Entry'!$E$5:$E$1276,"Third"),"")</f>
        <v/>
      </c>
      <c r="Q503" s="48" t="str">
        <f aca="false">IF(H503&lt;&gt;"Eligible","",IF(O503="Yes",IF(ISNUMBER(P503),ROUND(AVERAGE(L503,M503,P503),1),""),IF(O503="No",ROUND(AVERAGE(L503:M503),1),"")))</f>
        <v/>
      </c>
      <c r="R503" s="37" t="str">
        <f aca="false">IF(H503&lt;&gt;"Eligible","Screened out",IF(COUNT(L503:M503)=0,"Not started",IF(COUNT(L503:M503)=1,"One read done",IF(O503="Yes",IF(ISNUMBER(P503),"Complete","Needs third read"),"Complete"))))</f>
        <v>One read done</v>
      </c>
      <c r="S503" s="37" t="str">
        <f aca="false">IF(Q503="","",COUNTIFS($C$5:$C$600,C503,$Q$5:$Q$600,"&gt;"&amp;Q503)+1)</f>
        <v/>
      </c>
      <c r="T503" s="37" t="str">
        <f aca="false">IF(Q503="","",IF(Q503&gt;=Cutoff,"Yes","No"))</f>
        <v/>
      </c>
      <c r="U503" s="49" t="n">
        <f aca="false">IF(T503="Yes",MIN(F503,INDEX(Settings!$G:$G,MATCH(C503,Settings!$E:$E,0))),0)</f>
        <v>0</v>
      </c>
      <c r="V503" s="49" t="str">
        <f aca="false">IF(T503="Yes",SUMIFS($U$5:$U$600,$C$5:$C$600,C503,$Q$5:$Q$600,"&gt;"&amp;Q503)+U503,"")</f>
        <v/>
      </c>
      <c r="W503" s="37" t="str">
        <f aca="false">IF(T503="Yes",IF(V503&lt;=INDEX(PoolList,MATCH(C503,ProgramList,0)),"Within pool","Over pool"),"")</f>
        <v/>
      </c>
      <c r="X503" s="37" t="str">
        <f aca="false">IF(O503="Yes",COUNTIF($O$5:O503,"Yes"),"")</f>
        <v/>
      </c>
    </row>
    <row r="504" customFormat="false" ht="15" hidden="false" customHeight="false" outlineLevel="0" collapsed="false">
      <c r="A504" s="35" t="s">
        <v>1191</v>
      </c>
      <c r="B504" s="35" t="s">
        <v>1192</v>
      </c>
      <c r="C504" s="35" t="s">
        <v>103</v>
      </c>
      <c r="D504" s="35" t="s">
        <v>174</v>
      </c>
      <c r="E504" s="35" t="s">
        <v>232</v>
      </c>
      <c r="F504" s="42" t="n">
        <v>128500</v>
      </c>
      <c r="G504" s="36" t="n">
        <v>45917</v>
      </c>
      <c r="H504" s="35" t="s">
        <v>54</v>
      </c>
      <c r="I504" s="35" t="s">
        <v>78</v>
      </c>
      <c r="J504" s="35" t="s">
        <v>88</v>
      </c>
      <c r="K504" s="35" t="s">
        <v>94</v>
      </c>
      <c r="L504" s="48" t="n">
        <f aca="false">IFERROR(AVERAGEIFS('Score Entry'!$M$5:$M$1276,'Score Entry'!$B$5:$B$1276,A504,'Score Entry'!$E$5:$E$1276,"Primary"),"")</f>
        <v>69</v>
      </c>
      <c r="M504" s="48" t="n">
        <f aca="false">IFERROR(AVERAGEIFS('Score Entry'!$M$5:$M$1276,'Score Entry'!$B$5:$B$1276,A504,'Score Entry'!$E$5:$E$1276,"Secondary"),"")</f>
        <v>51</v>
      </c>
      <c r="N504" s="48" t="n">
        <f aca="false">IF(COUNT(L504:M504)=2,ABS(L504-M504),"")</f>
        <v>18</v>
      </c>
      <c r="O504" s="37" t="str">
        <f aca="false">IF(N504="","",IF(N504&gt;=Threshold,"Yes","No"))</f>
        <v>Yes</v>
      </c>
      <c r="P504" s="48" t="n">
        <f aca="false">IFERROR(AVERAGEIFS('Score Entry'!$M$5:$M$1276,'Score Entry'!$B$5:$B$1276,A504,'Score Entry'!$E$5:$E$1276,"Third"),"")</f>
        <v>60</v>
      </c>
      <c r="Q504" s="48" t="n">
        <f aca="false">IF(H504&lt;&gt;"Eligible","",IF(O504="Yes",IF(ISNUMBER(P504),ROUND(AVERAGE(L504,M504,P504),1),""),IF(O504="No",ROUND(AVERAGE(L504:M504),1),"")))</f>
        <v>60</v>
      </c>
      <c r="R504" s="37" t="str">
        <f aca="false">IF(H504&lt;&gt;"Eligible","Screened out",IF(COUNT(L504:M504)=0,"Not started",IF(COUNT(L504:M504)=1,"One read done",IF(O504="Yes",IF(ISNUMBER(P504),"Complete","Needs third read"),"Complete"))))</f>
        <v>Complete</v>
      </c>
      <c r="S504" s="37" t="n">
        <f aca="false">IF(Q504="","",COUNTIFS($C$5:$C$600,C504,$Q$5:$Q$600,"&gt;"&amp;Q504)+1)</f>
        <v>112</v>
      </c>
      <c r="T504" s="37" t="str">
        <f aca="false">IF(Q504="","",IF(Q504&gt;=Cutoff,"Yes","No"))</f>
        <v>No</v>
      </c>
      <c r="U504" s="49" t="n">
        <f aca="false">IF(T504="Yes",MIN(F504,INDEX(Settings!$G:$G,MATCH(C504,Settings!$E:$E,0))),0)</f>
        <v>0</v>
      </c>
      <c r="V504" s="49" t="str">
        <f aca="false">IF(T504="Yes",SUMIFS($U$5:$U$600,$C$5:$C$600,C504,$Q$5:$Q$600,"&gt;"&amp;Q504)+U504,"")</f>
        <v/>
      </c>
      <c r="W504" s="37" t="str">
        <f aca="false">IF(T504="Yes",IF(V504&lt;=INDEX(PoolList,MATCH(C504,ProgramList,0)),"Within pool","Over pool"),"")</f>
        <v/>
      </c>
      <c r="X504" s="37" t="n">
        <f aca="false">IF(O504="Yes",COUNTIF($O$5:O504,"Yes"),"")</f>
        <v>61</v>
      </c>
    </row>
    <row r="505" customFormat="false" ht="15" hidden="false" customHeight="false" outlineLevel="0" collapsed="false">
      <c r="A505" s="35" t="s">
        <v>1193</v>
      </c>
      <c r="B505" s="35" t="s">
        <v>1194</v>
      </c>
      <c r="C505" s="35" t="s">
        <v>104</v>
      </c>
      <c r="D505" s="35" t="s">
        <v>239</v>
      </c>
      <c r="E505" s="35" t="s">
        <v>240</v>
      </c>
      <c r="F505" s="42" t="n">
        <v>58000</v>
      </c>
      <c r="G505" s="36" t="n">
        <v>45911</v>
      </c>
      <c r="H505" s="35" t="s">
        <v>54</v>
      </c>
      <c r="I505" s="35" t="s">
        <v>85</v>
      </c>
      <c r="J505" s="35" t="s">
        <v>91</v>
      </c>
      <c r="K505" s="35"/>
      <c r="L505" s="48" t="n">
        <f aca="false">IFERROR(AVERAGEIFS('Score Entry'!$M$5:$M$1276,'Score Entry'!$B$5:$B$1276,A505,'Score Entry'!$E$5:$E$1276,"Primary"),"")</f>
        <v>80</v>
      </c>
      <c r="M505" s="48" t="n">
        <f aca="false">IFERROR(AVERAGEIFS('Score Entry'!$M$5:$M$1276,'Score Entry'!$B$5:$B$1276,A505,'Score Entry'!$E$5:$E$1276,"Secondary"),"")</f>
        <v>85</v>
      </c>
      <c r="N505" s="48" t="n">
        <f aca="false">IF(COUNT(L505:M505)=2,ABS(L505-M505),"")</f>
        <v>5</v>
      </c>
      <c r="O505" s="37" t="str">
        <f aca="false">IF(N505="","",IF(N505&gt;=Threshold,"Yes","No"))</f>
        <v>No</v>
      </c>
      <c r="P505" s="48" t="str">
        <f aca="false">IFERROR(AVERAGEIFS('Score Entry'!$M$5:$M$1276,'Score Entry'!$B$5:$B$1276,A505,'Score Entry'!$E$5:$E$1276,"Third"),"")</f>
        <v/>
      </c>
      <c r="Q505" s="48" t="n">
        <f aca="false">IF(H505&lt;&gt;"Eligible","",IF(O505="Yes",IF(ISNUMBER(P505),ROUND(AVERAGE(L505,M505,P505),1),""),IF(O505="No",ROUND(AVERAGE(L505:M505),1),"")))</f>
        <v>82.5</v>
      </c>
      <c r="R505" s="37" t="str">
        <f aca="false">IF(H505&lt;&gt;"Eligible","Screened out",IF(COUNT(L505:M505)=0,"Not started",IF(COUNT(L505:M505)=1,"One read done",IF(O505="Yes",IF(ISNUMBER(P505),"Complete","Needs third read"),"Complete"))))</f>
        <v>Complete</v>
      </c>
      <c r="S505" s="37" t="n">
        <f aca="false">IF(Q505="","",COUNTIFS($C$5:$C$600,C505,$Q$5:$Q$600,"&gt;"&amp;Q505)+1)</f>
        <v>17</v>
      </c>
      <c r="T505" s="37" t="str">
        <f aca="false">IF(Q505="","",IF(Q505&gt;=Cutoff,"Yes","No"))</f>
        <v>No</v>
      </c>
      <c r="U505" s="49" t="n">
        <f aca="false">IF(T505="Yes",MIN(F505,INDEX(Settings!$G:$G,MATCH(C505,Settings!$E:$E,0))),0)</f>
        <v>0</v>
      </c>
      <c r="V505" s="49" t="str">
        <f aca="false">IF(T505="Yes",SUMIFS($U$5:$U$600,$C$5:$C$600,C505,$Q$5:$Q$600,"&gt;"&amp;Q505)+U505,"")</f>
        <v/>
      </c>
      <c r="W505" s="37" t="str">
        <f aca="false">IF(T505="Yes",IF(V505&lt;=INDEX(PoolList,MATCH(C505,ProgramList,0)),"Within pool","Over pool"),"")</f>
        <v/>
      </c>
      <c r="X505" s="37" t="str">
        <f aca="false">IF(O505="Yes",COUNTIF($O$5:O505,"Yes"),"")</f>
        <v/>
      </c>
    </row>
    <row r="506" customFormat="false" ht="15" hidden="false" customHeight="false" outlineLevel="0" collapsed="false">
      <c r="A506" s="35" t="s">
        <v>1195</v>
      </c>
      <c r="B506" s="35" t="s">
        <v>1196</v>
      </c>
      <c r="C506" s="35" t="s">
        <v>104</v>
      </c>
      <c r="D506" s="35" t="s">
        <v>174</v>
      </c>
      <c r="E506" s="35" t="s">
        <v>175</v>
      </c>
      <c r="F506" s="42" t="n">
        <v>56000</v>
      </c>
      <c r="G506" s="36" t="n">
        <v>45918</v>
      </c>
      <c r="H506" s="35" t="s">
        <v>54</v>
      </c>
      <c r="I506" s="35" t="s">
        <v>82</v>
      </c>
      <c r="J506" s="35" t="s">
        <v>85</v>
      </c>
      <c r="K506" s="35" t="s">
        <v>78</v>
      </c>
      <c r="L506" s="48" t="n">
        <f aca="false">IFERROR(AVERAGEIFS('Score Entry'!$M$5:$M$1276,'Score Entry'!$B$5:$B$1276,A506,'Score Entry'!$E$5:$E$1276,"Primary"),"")</f>
        <v>70</v>
      </c>
      <c r="M506" s="48" t="n">
        <f aca="false">IFERROR(AVERAGEIFS('Score Entry'!$M$5:$M$1276,'Score Entry'!$B$5:$B$1276,A506,'Score Entry'!$E$5:$E$1276,"Secondary"),"")</f>
        <v>40</v>
      </c>
      <c r="N506" s="48" t="n">
        <f aca="false">IF(COUNT(L506:M506)=2,ABS(L506-M506),"")</f>
        <v>30</v>
      </c>
      <c r="O506" s="37" t="str">
        <f aca="false">IF(N506="","",IF(N506&gt;=Threshold,"Yes","No"))</f>
        <v>Yes</v>
      </c>
      <c r="P506" s="48" t="str">
        <f aca="false">IFERROR(AVERAGEIFS('Score Entry'!$M$5:$M$1276,'Score Entry'!$B$5:$B$1276,A506,'Score Entry'!$E$5:$E$1276,"Third"),"")</f>
        <v/>
      </c>
      <c r="Q506" s="48" t="str">
        <f aca="false">IF(H506&lt;&gt;"Eligible","",IF(O506="Yes",IF(ISNUMBER(P506),ROUND(AVERAGE(L506,M506,P506),1),""),IF(O506="No",ROUND(AVERAGE(L506:M506),1),"")))</f>
        <v/>
      </c>
      <c r="R506" s="37" t="str">
        <f aca="false">IF(H506&lt;&gt;"Eligible","Screened out",IF(COUNT(L506:M506)=0,"Not started",IF(COUNT(L506:M506)=1,"One read done",IF(O506="Yes",IF(ISNUMBER(P506),"Complete","Needs third read"),"Complete"))))</f>
        <v>Needs third read</v>
      </c>
      <c r="S506" s="37" t="str">
        <f aca="false">IF(Q506="","",COUNTIFS($C$5:$C$600,C506,$Q$5:$Q$600,"&gt;"&amp;Q506)+1)</f>
        <v/>
      </c>
      <c r="T506" s="37" t="str">
        <f aca="false">IF(Q506="","",IF(Q506&gt;=Cutoff,"Yes","No"))</f>
        <v/>
      </c>
      <c r="U506" s="49" t="n">
        <f aca="false">IF(T506="Yes",MIN(F506,INDEX(Settings!$G:$G,MATCH(C506,Settings!$E:$E,0))),0)</f>
        <v>0</v>
      </c>
      <c r="V506" s="49" t="str">
        <f aca="false">IF(T506="Yes",SUMIFS($U$5:$U$600,$C$5:$C$600,C506,$Q$5:$Q$600,"&gt;"&amp;Q506)+U506,"")</f>
        <v/>
      </c>
      <c r="W506" s="37" t="str">
        <f aca="false">IF(T506="Yes",IF(V506&lt;=INDEX(PoolList,MATCH(C506,ProgramList,0)),"Within pool","Over pool"),"")</f>
        <v/>
      </c>
      <c r="X506" s="37" t="n">
        <f aca="false">IF(O506="Yes",COUNTIF($O$5:O506,"Yes"),"")</f>
        <v>62</v>
      </c>
    </row>
    <row r="507" customFormat="false" ht="15" hidden="false" customHeight="false" outlineLevel="0" collapsed="false">
      <c r="A507" s="35" t="s">
        <v>1197</v>
      </c>
      <c r="B507" s="35" t="s">
        <v>1198</v>
      </c>
      <c r="C507" s="35" t="s">
        <v>103</v>
      </c>
      <c r="D507" s="35" t="s">
        <v>180</v>
      </c>
      <c r="E507" s="35" t="s">
        <v>181</v>
      </c>
      <c r="F507" s="42" t="n">
        <v>113000</v>
      </c>
      <c r="G507" s="36" t="n">
        <v>45915</v>
      </c>
      <c r="H507" s="35" t="s">
        <v>54</v>
      </c>
      <c r="I507" s="35" t="s">
        <v>94</v>
      </c>
      <c r="J507" s="35" t="s">
        <v>82</v>
      </c>
      <c r="K507" s="35"/>
      <c r="L507" s="48" t="n">
        <f aca="false">IFERROR(AVERAGEIFS('Score Entry'!$M$5:$M$1276,'Score Entry'!$B$5:$B$1276,A507,'Score Entry'!$E$5:$E$1276,"Primary"),"")</f>
        <v>80</v>
      </c>
      <c r="M507" s="48" t="n">
        <f aca="false">IFERROR(AVERAGEIFS('Score Entry'!$M$5:$M$1276,'Score Entry'!$B$5:$B$1276,A507,'Score Entry'!$E$5:$E$1276,"Secondary"),"")</f>
        <v>89</v>
      </c>
      <c r="N507" s="48" t="n">
        <f aca="false">IF(COUNT(L507:M507)=2,ABS(L507-M507),"")</f>
        <v>9</v>
      </c>
      <c r="O507" s="37" t="str">
        <f aca="false">IF(N507="","",IF(N507&gt;=Threshold,"Yes","No"))</f>
        <v>No</v>
      </c>
      <c r="P507" s="48" t="str">
        <f aca="false">IFERROR(AVERAGEIFS('Score Entry'!$M$5:$M$1276,'Score Entry'!$B$5:$B$1276,A507,'Score Entry'!$E$5:$E$1276,"Third"),"")</f>
        <v/>
      </c>
      <c r="Q507" s="48" t="n">
        <f aca="false">IF(H507&lt;&gt;"Eligible","",IF(O507="Yes",IF(ISNUMBER(P507),ROUND(AVERAGE(L507,M507,P507),1),""),IF(O507="No",ROUND(AVERAGE(L507:M507),1),"")))</f>
        <v>84.5</v>
      </c>
      <c r="R507" s="37" t="str">
        <f aca="false">IF(H507&lt;&gt;"Eligible","Screened out",IF(COUNT(L507:M507)=0,"Not started",IF(COUNT(L507:M507)=1,"One read done",IF(O507="Yes",IF(ISNUMBER(P507),"Complete","Needs third read"),"Complete"))))</f>
        <v>Complete</v>
      </c>
      <c r="S507" s="37" t="n">
        <f aca="false">IF(Q507="","",COUNTIFS($C$5:$C$600,C507,$Q$5:$Q$600,"&gt;"&amp;Q507)+1)</f>
        <v>13</v>
      </c>
      <c r="T507" s="37" t="str">
        <f aca="false">IF(Q507="","",IF(Q507&gt;=Cutoff,"Yes","No"))</f>
        <v>No</v>
      </c>
      <c r="U507" s="49" t="n">
        <f aca="false">IF(T507="Yes",MIN(F507,INDEX(Settings!$G:$G,MATCH(C507,Settings!$E:$E,0))),0)</f>
        <v>0</v>
      </c>
      <c r="V507" s="49" t="str">
        <f aca="false">IF(T507="Yes",SUMIFS($U$5:$U$600,$C$5:$C$600,C507,$Q$5:$Q$600,"&gt;"&amp;Q507)+U507,"")</f>
        <v/>
      </c>
      <c r="W507" s="37" t="str">
        <f aca="false">IF(T507="Yes",IF(V507&lt;=INDEX(PoolList,MATCH(C507,ProgramList,0)),"Within pool","Over pool"),"")</f>
        <v/>
      </c>
      <c r="X507" s="37" t="str">
        <f aca="false">IF(O507="Yes",COUNTIF($O$5:O507,"Yes"),"")</f>
        <v/>
      </c>
    </row>
    <row r="508" customFormat="false" ht="15" hidden="false" customHeight="false" outlineLevel="0" collapsed="false">
      <c r="A508" s="35" t="s">
        <v>1199</v>
      </c>
      <c r="B508" s="35" t="s">
        <v>1200</v>
      </c>
      <c r="C508" s="35" t="s">
        <v>104</v>
      </c>
      <c r="D508" s="35" t="s">
        <v>239</v>
      </c>
      <c r="E508" s="35" t="s">
        <v>255</v>
      </c>
      <c r="F508" s="42" t="n">
        <v>97000</v>
      </c>
      <c r="G508" s="36" t="n">
        <v>45913</v>
      </c>
      <c r="H508" s="35" t="s">
        <v>54</v>
      </c>
      <c r="I508" s="35" t="s">
        <v>78</v>
      </c>
      <c r="J508" s="35" t="s">
        <v>88</v>
      </c>
      <c r="K508" s="35"/>
      <c r="L508" s="48" t="n">
        <f aca="false">IFERROR(AVERAGEIFS('Score Entry'!$M$5:$M$1276,'Score Entry'!$B$5:$B$1276,A508,'Score Entry'!$E$5:$E$1276,"Primary"),"")</f>
        <v>82</v>
      </c>
      <c r="M508" s="48" t="str">
        <f aca="false">IFERROR(AVERAGEIFS('Score Entry'!$M$5:$M$1276,'Score Entry'!$B$5:$B$1276,A508,'Score Entry'!$E$5:$E$1276,"Secondary"),"")</f>
        <v/>
      </c>
      <c r="N508" s="48" t="str">
        <f aca="false">IF(COUNT(L508:M508)=2,ABS(L508-M508),"")</f>
        <v/>
      </c>
      <c r="O508" s="37" t="str">
        <f aca="false">IF(N508="","",IF(N508&gt;=Threshold,"Yes","No"))</f>
        <v/>
      </c>
      <c r="P508" s="48" t="str">
        <f aca="false">IFERROR(AVERAGEIFS('Score Entry'!$M$5:$M$1276,'Score Entry'!$B$5:$B$1276,A508,'Score Entry'!$E$5:$E$1276,"Third"),"")</f>
        <v/>
      </c>
      <c r="Q508" s="48" t="str">
        <f aca="false">IF(H508&lt;&gt;"Eligible","",IF(O508="Yes",IF(ISNUMBER(P508),ROUND(AVERAGE(L508,M508,P508),1),""),IF(O508="No",ROUND(AVERAGE(L508:M508),1),"")))</f>
        <v/>
      </c>
      <c r="R508" s="37" t="str">
        <f aca="false">IF(H508&lt;&gt;"Eligible","Screened out",IF(COUNT(L508:M508)=0,"Not started",IF(COUNT(L508:M508)=1,"One read done",IF(O508="Yes",IF(ISNUMBER(P508),"Complete","Needs third read"),"Complete"))))</f>
        <v>One read done</v>
      </c>
      <c r="S508" s="37" t="str">
        <f aca="false">IF(Q508="","",COUNTIFS($C$5:$C$600,C508,$Q$5:$Q$600,"&gt;"&amp;Q508)+1)</f>
        <v/>
      </c>
      <c r="T508" s="37" t="str">
        <f aca="false">IF(Q508="","",IF(Q508&gt;=Cutoff,"Yes","No"))</f>
        <v/>
      </c>
      <c r="U508" s="49" t="n">
        <f aca="false">IF(T508="Yes",MIN(F508,INDEX(Settings!$G:$G,MATCH(C508,Settings!$E:$E,0))),0)</f>
        <v>0</v>
      </c>
      <c r="V508" s="49" t="str">
        <f aca="false">IF(T508="Yes",SUMIFS($U$5:$U$600,$C$5:$C$600,C508,$Q$5:$Q$600,"&gt;"&amp;Q508)+U508,"")</f>
        <v/>
      </c>
      <c r="W508" s="37" t="str">
        <f aca="false">IF(T508="Yes",IF(V508&lt;=INDEX(PoolList,MATCH(C508,ProgramList,0)),"Within pool","Over pool"),"")</f>
        <v/>
      </c>
      <c r="X508" s="37" t="str">
        <f aca="false">IF(O508="Yes",COUNTIF($O$5:O508,"Yes"),"")</f>
        <v/>
      </c>
    </row>
    <row r="509" customFormat="false" ht="15" hidden="false" customHeight="false" outlineLevel="0" collapsed="false">
      <c r="A509" s="35" t="s">
        <v>1201</v>
      </c>
      <c r="B509" s="35" t="s">
        <v>1202</v>
      </c>
      <c r="C509" s="35" t="s">
        <v>105</v>
      </c>
      <c r="D509" s="35" t="s">
        <v>174</v>
      </c>
      <c r="E509" s="35" t="s">
        <v>175</v>
      </c>
      <c r="F509" s="42" t="n">
        <v>61500</v>
      </c>
      <c r="G509" s="36" t="n">
        <v>45914</v>
      </c>
      <c r="H509" s="35" t="s">
        <v>54</v>
      </c>
      <c r="I509" s="35" t="s">
        <v>91</v>
      </c>
      <c r="J509" s="35" t="s">
        <v>78</v>
      </c>
      <c r="K509" s="35"/>
      <c r="L509" s="48" t="n">
        <f aca="false">IFERROR(AVERAGEIFS('Score Entry'!$M$5:$M$1276,'Score Entry'!$B$5:$B$1276,A509,'Score Entry'!$E$5:$E$1276,"Primary"),"")</f>
        <v>64</v>
      </c>
      <c r="M509" s="48" t="n">
        <f aca="false">IFERROR(AVERAGEIFS('Score Entry'!$M$5:$M$1276,'Score Entry'!$B$5:$B$1276,A509,'Score Entry'!$E$5:$E$1276,"Secondary"),"")</f>
        <v>53</v>
      </c>
      <c r="N509" s="48" t="n">
        <f aca="false">IF(COUNT(L509:M509)=2,ABS(L509-M509),"")</f>
        <v>11</v>
      </c>
      <c r="O509" s="37" t="str">
        <f aca="false">IF(N509="","",IF(N509&gt;=Threshold,"Yes","No"))</f>
        <v>No</v>
      </c>
      <c r="P509" s="48" t="str">
        <f aca="false">IFERROR(AVERAGEIFS('Score Entry'!$M$5:$M$1276,'Score Entry'!$B$5:$B$1276,A509,'Score Entry'!$E$5:$E$1276,"Third"),"")</f>
        <v/>
      </c>
      <c r="Q509" s="48" t="n">
        <f aca="false">IF(H509&lt;&gt;"Eligible","",IF(O509="Yes",IF(ISNUMBER(P509),ROUND(AVERAGE(L509,M509,P509),1),""),IF(O509="No",ROUND(AVERAGE(L509:M509),1),"")))</f>
        <v>58.5</v>
      </c>
      <c r="R509" s="37" t="str">
        <f aca="false">IF(H509&lt;&gt;"Eligible","Screened out",IF(COUNT(L509:M509)=0,"Not started",IF(COUNT(L509:M509)=1,"One read done",IF(O509="Yes",IF(ISNUMBER(P509),"Complete","Needs third read"),"Complete"))))</f>
        <v>Complete</v>
      </c>
      <c r="S509" s="37" t="n">
        <f aca="false">IF(Q509="","",COUNTIFS($C$5:$C$600,C509,$Q$5:$Q$600,"&gt;"&amp;Q509)+1)</f>
        <v>76</v>
      </c>
      <c r="T509" s="37" t="str">
        <f aca="false">IF(Q509="","",IF(Q509&gt;=Cutoff,"Yes","No"))</f>
        <v>No</v>
      </c>
      <c r="U509" s="49" t="n">
        <f aca="false">IF(T509="Yes",MIN(F509,INDEX(Settings!$G:$G,MATCH(C509,Settings!$E:$E,0))),0)</f>
        <v>0</v>
      </c>
      <c r="V509" s="49" t="str">
        <f aca="false">IF(T509="Yes",SUMIFS($U$5:$U$600,$C$5:$C$600,C509,$Q$5:$Q$600,"&gt;"&amp;Q509)+U509,"")</f>
        <v/>
      </c>
      <c r="W509" s="37" t="str">
        <f aca="false">IF(T509="Yes",IF(V509&lt;=INDEX(PoolList,MATCH(C509,ProgramList,0)),"Within pool","Over pool"),"")</f>
        <v/>
      </c>
      <c r="X509" s="37" t="str">
        <f aca="false">IF(O509="Yes",COUNTIF($O$5:O509,"Yes"),"")</f>
        <v/>
      </c>
    </row>
    <row r="510" customFormat="false" ht="15" hidden="false" customHeight="false" outlineLevel="0" collapsed="false">
      <c r="A510" s="35" t="s">
        <v>1203</v>
      </c>
      <c r="B510" s="35" t="s">
        <v>1204</v>
      </c>
      <c r="C510" s="35" t="s">
        <v>104</v>
      </c>
      <c r="D510" s="35" t="s">
        <v>174</v>
      </c>
      <c r="E510" s="35" t="s">
        <v>175</v>
      </c>
      <c r="F510" s="42" t="n">
        <v>105500</v>
      </c>
      <c r="G510" s="36" t="n">
        <v>45917</v>
      </c>
      <c r="H510" s="35" t="s">
        <v>54</v>
      </c>
      <c r="I510" s="35" t="s">
        <v>94</v>
      </c>
      <c r="J510" s="35" t="s">
        <v>82</v>
      </c>
      <c r="K510" s="35"/>
      <c r="L510" s="48" t="n">
        <f aca="false">IFERROR(AVERAGEIFS('Score Entry'!$M$5:$M$1276,'Score Entry'!$B$5:$B$1276,A510,'Score Entry'!$E$5:$E$1276,"Primary"),"")</f>
        <v>60</v>
      </c>
      <c r="M510" s="48" t="n">
        <f aca="false">IFERROR(AVERAGEIFS('Score Entry'!$M$5:$M$1276,'Score Entry'!$B$5:$B$1276,A510,'Score Entry'!$E$5:$E$1276,"Secondary"),"")</f>
        <v>63</v>
      </c>
      <c r="N510" s="48" t="n">
        <f aca="false">IF(COUNT(L510:M510)=2,ABS(L510-M510),"")</f>
        <v>3</v>
      </c>
      <c r="O510" s="37" t="str">
        <f aca="false">IF(N510="","",IF(N510&gt;=Threshold,"Yes","No"))</f>
        <v>No</v>
      </c>
      <c r="P510" s="48" t="str">
        <f aca="false">IFERROR(AVERAGEIFS('Score Entry'!$M$5:$M$1276,'Score Entry'!$B$5:$B$1276,A510,'Score Entry'!$E$5:$E$1276,"Third"),"")</f>
        <v/>
      </c>
      <c r="Q510" s="48" t="n">
        <f aca="false">IF(H510&lt;&gt;"Eligible","",IF(O510="Yes",IF(ISNUMBER(P510),ROUND(AVERAGE(L510,M510,P510),1),""),IF(O510="No",ROUND(AVERAGE(L510:M510),1),"")))</f>
        <v>61.5</v>
      </c>
      <c r="R510" s="37" t="str">
        <f aca="false">IF(H510&lt;&gt;"Eligible","Screened out",IF(COUNT(L510:M510)=0,"Not started",IF(COUNT(L510:M510)=1,"One read done",IF(O510="Yes",IF(ISNUMBER(P510),"Complete","Needs third read"),"Complete"))))</f>
        <v>Complete</v>
      </c>
      <c r="S510" s="37" t="n">
        <f aca="false">IF(Q510="","",COUNTIFS($C$5:$C$600,C510,$Q$5:$Q$600,"&gt;"&amp;Q510)+1)</f>
        <v>71</v>
      </c>
      <c r="T510" s="37" t="str">
        <f aca="false">IF(Q510="","",IF(Q510&gt;=Cutoff,"Yes","No"))</f>
        <v>No</v>
      </c>
      <c r="U510" s="49" t="n">
        <f aca="false">IF(T510="Yes",MIN(F510,INDEX(Settings!$G:$G,MATCH(C510,Settings!$E:$E,0))),0)</f>
        <v>0</v>
      </c>
      <c r="V510" s="49" t="str">
        <f aca="false">IF(T510="Yes",SUMIFS($U$5:$U$600,$C$5:$C$600,C510,$Q$5:$Q$600,"&gt;"&amp;Q510)+U510,"")</f>
        <v/>
      </c>
      <c r="W510" s="37" t="str">
        <f aca="false">IF(T510="Yes",IF(V510&lt;=INDEX(PoolList,MATCH(C510,ProgramList,0)),"Within pool","Over pool"),"")</f>
        <v/>
      </c>
      <c r="X510" s="37" t="str">
        <f aca="false">IF(O510="Yes",COUNTIF($O$5:O510,"Yes"),"")</f>
        <v/>
      </c>
    </row>
    <row r="511" customFormat="false" ht="15" hidden="false" customHeight="false" outlineLevel="0" collapsed="false">
      <c r="A511" s="35" t="s">
        <v>1205</v>
      </c>
      <c r="B511" s="35" t="s">
        <v>1206</v>
      </c>
      <c r="C511" s="35" t="s">
        <v>105</v>
      </c>
      <c r="D511" s="35" t="s">
        <v>174</v>
      </c>
      <c r="E511" s="35" t="s">
        <v>232</v>
      </c>
      <c r="F511" s="42" t="n">
        <v>47000</v>
      </c>
      <c r="G511" s="36" t="n">
        <v>45926</v>
      </c>
      <c r="H511" s="35" t="s">
        <v>54</v>
      </c>
      <c r="I511" s="35" t="s">
        <v>88</v>
      </c>
      <c r="J511" s="35" t="s">
        <v>85</v>
      </c>
      <c r="K511" s="35"/>
      <c r="L511" s="48" t="n">
        <f aca="false">IFERROR(AVERAGEIFS('Score Entry'!$M$5:$M$1276,'Score Entry'!$B$5:$B$1276,A511,'Score Entry'!$E$5:$E$1276,"Primary"),"")</f>
        <v>91</v>
      </c>
      <c r="M511" s="48" t="n">
        <f aca="false">IFERROR(AVERAGEIFS('Score Entry'!$M$5:$M$1276,'Score Entry'!$B$5:$B$1276,A511,'Score Entry'!$E$5:$E$1276,"Secondary"),"")</f>
        <v>85</v>
      </c>
      <c r="N511" s="48" t="n">
        <f aca="false">IF(COUNT(L511:M511)=2,ABS(L511-M511),"")</f>
        <v>6</v>
      </c>
      <c r="O511" s="37" t="str">
        <f aca="false">IF(N511="","",IF(N511&gt;=Threshold,"Yes","No"))</f>
        <v>No</v>
      </c>
      <c r="P511" s="48" t="str">
        <f aca="false">IFERROR(AVERAGEIFS('Score Entry'!$M$5:$M$1276,'Score Entry'!$B$5:$B$1276,A511,'Score Entry'!$E$5:$E$1276,"Third"),"")</f>
        <v/>
      </c>
      <c r="Q511" s="48" t="n">
        <f aca="false">IF(H511&lt;&gt;"Eligible","",IF(O511="Yes",IF(ISNUMBER(P511),ROUND(AVERAGE(L511,M511,P511),1),""),IF(O511="No",ROUND(AVERAGE(L511:M511),1),"")))</f>
        <v>88</v>
      </c>
      <c r="R511" s="37" t="str">
        <f aca="false">IF(H511&lt;&gt;"Eligible","Screened out",IF(COUNT(L511:M511)=0,"Not started",IF(COUNT(L511:M511)=1,"One read done",IF(O511="Yes",IF(ISNUMBER(P511),"Complete","Needs third read"),"Complete"))))</f>
        <v>Complete</v>
      </c>
      <c r="S511" s="37" t="n">
        <f aca="false">IF(Q511="","",COUNTIFS($C$5:$C$600,C511,$Q$5:$Q$600,"&gt;"&amp;Q511)+1)</f>
        <v>6</v>
      </c>
      <c r="T511" s="37" t="str">
        <f aca="false">IF(Q511="","",IF(Q511&gt;=Cutoff,"Yes","No"))</f>
        <v>Yes</v>
      </c>
      <c r="U511" s="49" t="n">
        <f aca="false">IF(T511="Yes",MIN(F511,INDEX(Settings!$G:$G,MATCH(C511,Settings!$E:$E,0))),0)</f>
        <v>47000</v>
      </c>
      <c r="V511" s="49" t="n">
        <f aca="false">IF(T511="Yes",SUMIFS($U$5:$U$600,$C$5:$C$600,C511,$Q$5:$Q$600,"&gt;"&amp;Q511)+U511,"")</f>
        <v>394500</v>
      </c>
      <c r="W511" s="37" t="str">
        <f aca="false">IF(T511="Yes",IF(V511&lt;=INDEX(PoolList,MATCH(C511,ProgramList,0)),"Within pool","Over pool"),"")</f>
        <v>Within pool</v>
      </c>
      <c r="X511" s="37" t="str">
        <f aca="false">IF(O511="Yes",COUNTIF($O$5:O511,"Yes"),"")</f>
        <v/>
      </c>
    </row>
    <row r="512" customFormat="false" ht="15" hidden="false" customHeight="false" outlineLevel="0" collapsed="false">
      <c r="A512" s="35" t="s">
        <v>1207</v>
      </c>
      <c r="B512" s="35" t="s">
        <v>1208</v>
      </c>
      <c r="C512" s="35" t="s">
        <v>103</v>
      </c>
      <c r="D512" s="35" t="s">
        <v>174</v>
      </c>
      <c r="E512" s="35" t="s">
        <v>175</v>
      </c>
      <c r="F512" s="42" t="n">
        <v>40000</v>
      </c>
      <c r="G512" s="36" t="n">
        <v>45925</v>
      </c>
      <c r="H512" s="35" t="s">
        <v>54</v>
      </c>
      <c r="I512" s="35" t="s">
        <v>91</v>
      </c>
      <c r="J512" s="35" t="s">
        <v>85</v>
      </c>
      <c r="K512" s="35" t="s">
        <v>82</v>
      </c>
      <c r="L512" s="48" t="n">
        <f aca="false">IFERROR(AVERAGEIFS('Score Entry'!$M$5:$M$1276,'Score Entry'!$B$5:$B$1276,A512,'Score Entry'!$E$5:$E$1276,"Primary"),"")</f>
        <v>68</v>
      </c>
      <c r="M512" s="48" t="n">
        <f aca="false">IFERROR(AVERAGEIFS('Score Entry'!$M$5:$M$1276,'Score Entry'!$B$5:$B$1276,A512,'Score Entry'!$E$5:$E$1276,"Secondary"),"")</f>
        <v>50</v>
      </c>
      <c r="N512" s="48" t="n">
        <f aca="false">IF(COUNT(L512:M512)=2,ABS(L512-M512),"")</f>
        <v>18</v>
      </c>
      <c r="O512" s="37" t="str">
        <f aca="false">IF(N512="","",IF(N512&gt;=Threshold,"Yes","No"))</f>
        <v>Yes</v>
      </c>
      <c r="P512" s="48" t="n">
        <f aca="false">IFERROR(AVERAGEIFS('Score Entry'!$M$5:$M$1276,'Score Entry'!$B$5:$B$1276,A512,'Score Entry'!$E$5:$E$1276,"Third"),"")</f>
        <v>57</v>
      </c>
      <c r="Q512" s="48" t="n">
        <f aca="false">IF(H512&lt;&gt;"Eligible","",IF(O512="Yes",IF(ISNUMBER(P512),ROUND(AVERAGE(L512,M512,P512),1),""),IF(O512="No",ROUND(AVERAGE(L512:M512),1),"")))</f>
        <v>58.3</v>
      </c>
      <c r="R512" s="37" t="str">
        <f aca="false">IF(H512&lt;&gt;"Eligible","Screened out",IF(COUNT(L512:M512)=0,"Not started",IF(COUNT(L512:M512)=1,"One read done",IF(O512="Yes",IF(ISNUMBER(P512),"Complete","Needs third read"),"Complete"))))</f>
        <v>Complete</v>
      </c>
      <c r="S512" s="37" t="n">
        <f aca="false">IF(Q512="","",COUNTIFS($C$5:$C$600,C512,$Q$5:$Q$600,"&gt;"&amp;Q512)+1)</f>
        <v>119</v>
      </c>
      <c r="T512" s="37" t="str">
        <f aca="false">IF(Q512="","",IF(Q512&gt;=Cutoff,"Yes","No"))</f>
        <v>No</v>
      </c>
      <c r="U512" s="49" t="n">
        <f aca="false">IF(T512="Yes",MIN(F512,INDEX(Settings!$G:$G,MATCH(C512,Settings!$E:$E,0))),0)</f>
        <v>0</v>
      </c>
      <c r="V512" s="49" t="str">
        <f aca="false">IF(T512="Yes",SUMIFS($U$5:$U$600,$C$5:$C$600,C512,$Q$5:$Q$600,"&gt;"&amp;Q512)+U512,"")</f>
        <v/>
      </c>
      <c r="W512" s="37" t="str">
        <f aca="false">IF(T512="Yes",IF(V512&lt;=INDEX(PoolList,MATCH(C512,ProgramList,0)),"Within pool","Over pool"),"")</f>
        <v/>
      </c>
      <c r="X512" s="37" t="n">
        <f aca="false">IF(O512="Yes",COUNTIF($O$5:O512,"Yes"),"")</f>
        <v>63</v>
      </c>
    </row>
    <row r="513" customFormat="false" ht="15" hidden="false" customHeight="false" outlineLevel="0" collapsed="false">
      <c r="A513" s="35" t="s">
        <v>1209</v>
      </c>
      <c r="B513" s="35" t="s">
        <v>1210</v>
      </c>
      <c r="C513" s="35" t="s">
        <v>103</v>
      </c>
      <c r="D513" s="35" t="s">
        <v>174</v>
      </c>
      <c r="E513" s="35" t="s">
        <v>175</v>
      </c>
      <c r="F513" s="42" t="n">
        <v>98500</v>
      </c>
      <c r="G513" s="36" t="n">
        <v>45921</v>
      </c>
      <c r="H513" s="35" t="s">
        <v>54</v>
      </c>
      <c r="I513" s="35" t="s">
        <v>88</v>
      </c>
      <c r="J513" s="35" t="s">
        <v>94</v>
      </c>
      <c r="K513" s="35"/>
      <c r="L513" s="48" t="n">
        <f aca="false">IFERROR(AVERAGEIFS('Score Entry'!$M$5:$M$1276,'Score Entry'!$B$5:$B$1276,A513,'Score Entry'!$E$5:$E$1276,"Primary"),"")</f>
        <v>71</v>
      </c>
      <c r="M513" s="48" t="n">
        <f aca="false">IFERROR(AVERAGEIFS('Score Entry'!$M$5:$M$1276,'Score Entry'!$B$5:$B$1276,A513,'Score Entry'!$E$5:$E$1276,"Secondary"),"")</f>
        <v>82</v>
      </c>
      <c r="N513" s="48" t="n">
        <f aca="false">IF(COUNT(L513:M513)=2,ABS(L513-M513),"")</f>
        <v>11</v>
      </c>
      <c r="O513" s="37" t="str">
        <f aca="false">IF(N513="","",IF(N513&gt;=Threshold,"Yes","No"))</f>
        <v>No</v>
      </c>
      <c r="P513" s="48" t="str">
        <f aca="false">IFERROR(AVERAGEIFS('Score Entry'!$M$5:$M$1276,'Score Entry'!$B$5:$B$1276,A513,'Score Entry'!$E$5:$E$1276,"Third"),"")</f>
        <v/>
      </c>
      <c r="Q513" s="48" t="n">
        <f aca="false">IF(H513&lt;&gt;"Eligible","",IF(O513="Yes",IF(ISNUMBER(P513),ROUND(AVERAGE(L513,M513,P513),1),""),IF(O513="No",ROUND(AVERAGE(L513:M513),1),"")))</f>
        <v>76.5</v>
      </c>
      <c r="R513" s="37" t="str">
        <f aca="false">IF(H513&lt;&gt;"Eligible","Screened out",IF(COUNT(L513:M513)=0,"Not started",IF(COUNT(L513:M513)=1,"One read done",IF(O513="Yes",IF(ISNUMBER(P513),"Complete","Needs third read"),"Complete"))))</f>
        <v>Complete</v>
      </c>
      <c r="S513" s="37" t="n">
        <f aca="false">IF(Q513="","",COUNTIFS($C$5:$C$600,C513,$Q$5:$Q$600,"&gt;"&amp;Q513)+1)</f>
        <v>33</v>
      </c>
      <c r="T513" s="37" t="str">
        <f aca="false">IF(Q513="","",IF(Q513&gt;=Cutoff,"Yes","No"))</f>
        <v>No</v>
      </c>
      <c r="U513" s="49" t="n">
        <f aca="false">IF(T513="Yes",MIN(F513,INDEX(Settings!$G:$G,MATCH(C513,Settings!$E:$E,0))),0)</f>
        <v>0</v>
      </c>
      <c r="V513" s="49" t="str">
        <f aca="false">IF(T513="Yes",SUMIFS($U$5:$U$600,$C$5:$C$600,C513,$Q$5:$Q$600,"&gt;"&amp;Q513)+U513,"")</f>
        <v/>
      </c>
      <c r="W513" s="37" t="str">
        <f aca="false">IF(T513="Yes",IF(V513&lt;=INDEX(PoolList,MATCH(C513,ProgramList,0)),"Within pool","Over pool"),"")</f>
        <v/>
      </c>
      <c r="X513" s="37" t="str">
        <f aca="false">IF(O513="Yes",COUNTIF($O$5:O513,"Yes"),"")</f>
        <v/>
      </c>
    </row>
    <row r="514" customFormat="false" ht="15" hidden="false" customHeight="false" outlineLevel="0" collapsed="false">
      <c r="A514" s="35" t="s">
        <v>1211</v>
      </c>
      <c r="B514" s="35" t="s">
        <v>1212</v>
      </c>
      <c r="C514" s="35" t="s">
        <v>103</v>
      </c>
      <c r="D514" s="35" t="s">
        <v>174</v>
      </c>
      <c r="E514" s="35" t="s">
        <v>175</v>
      </c>
      <c r="F514" s="42" t="n">
        <v>158000</v>
      </c>
      <c r="G514" s="36" t="n">
        <v>45918</v>
      </c>
      <c r="H514" s="35" t="s">
        <v>54</v>
      </c>
      <c r="I514" s="35" t="s">
        <v>82</v>
      </c>
      <c r="J514" s="35" t="s">
        <v>85</v>
      </c>
      <c r="K514" s="35"/>
      <c r="L514" s="48" t="n">
        <f aca="false">IFERROR(AVERAGEIFS('Score Entry'!$M$5:$M$1276,'Score Entry'!$B$5:$B$1276,A514,'Score Entry'!$E$5:$E$1276,"Primary"),"")</f>
        <v>58</v>
      </c>
      <c r="M514" s="48" t="n">
        <f aca="false">IFERROR(AVERAGEIFS('Score Entry'!$M$5:$M$1276,'Score Entry'!$B$5:$B$1276,A514,'Score Entry'!$E$5:$E$1276,"Secondary"),"")</f>
        <v>48</v>
      </c>
      <c r="N514" s="48" t="n">
        <f aca="false">IF(COUNT(L514:M514)=2,ABS(L514-M514),"")</f>
        <v>10</v>
      </c>
      <c r="O514" s="37" t="str">
        <f aca="false">IF(N514="","",IF(N514&gt;=Threshold,"Yes","No"))</f>
        <v>No</v>
      </c>
      <c r="P514" s="48" t="str">
        <f aca="false">IFERROR(AVERAGEIFS('Score Entry'!$M$5:$M$1276,'Score Entry'!$B$5:$B$1276,A514,'Score Entry'!$E$5:$E$1276,"Third"),"")</f>
        <v/>
      </c>
      <c r="Q514" s="48" t="n">
        <f aca="false">IF(H514&lt;&gt;"Eligible","",IF(O514="Yes",IF(ISNUMBER(P514),ROUND(AVERAGE(L514,M514,P514),1),""),IF(O514="No",ROUND(AVERAGE(L514:M514),1),"")))</f>
        <v>53</v>
      </c>
      <c r="R514" s="37" t="str">
        <f aca="false">IF(H514&lt;&gt;"Eligible","Screened out",IF(COUNT(L514:M514)=0,"Not started",IF(COUNT(L514:M514)=1,"One read done",IF(O514="Yes",IF(ISNUMBER(P514),"Complete","Needs third read"),"Complete"))))</f>
        <v>Complete</v>
      </c>
      <c r="S514" s="37" t="n">
        <f aca="false">IF(Q514="","",COUNTIFS($C$5:$C$600,C514,$Q$5:$Q$600,"&gt;"&amp;Q514)+1)</f>
        <v>141</v>
      </c>
      <c r="T514" s="37" t="str">
        <f aca="false">IF(Q514="","",IF(Q514&gt;=Cutoff,"Yes","No"))</f>
        <v>No</v>
      </c>
      <c r="U514" s="49" t="n">
        <f aca="false">IF(T514="Yes",MIN(F514,INDEX(Settings!$G:$G,MATCH(C514,Settings!$E:$E,0))),0)</f>
        <v>0</v>
      </c>
      <c r="V514" s="49" t="str">
        <f aca="false">IF(T514="Yes",SUMIFS($U$5:$U$600,$C$5:$C$600,C514,$Q$5:$Q$600,"&gt;"&amp;Q514)+U514,"")</f>
        <v/>
      </c>
      <c r="W514" s="37" t="str">
        <f aca="false">IF(T514="Yes",IF(V514&lt;=INDEX(PoolList,MATCH(C514,ProgramList,0)),"Within pool","Over pool"),"")</f>
        <v/>
      </c>
      <c r="X514" s="37" t="str">
        <f aca="false">IF(O514="Yes",COUNTIF($O$5:O514,"Yes"),"")</f>
        <v/>
      </c>
    </row>
    <row r="515" customFormat="false" ht="15" hidden="false" customHeight="false" outlineLevel="0" collapsed="false">
      <c r="A515" s="35" t="s">
        <v>1213</v>
      </c>
      <c r="B515" s="35" t="s">
        <v>1214</v>
      </c>
      <c r="C515" s="35" t="s">
        <v>106</v>
      </c>
      <c r="D515" s="35" t="s">
        <v>174</v>
      </c>
      <c r="E515" s="35" t="s">
        <v>232</v>
      </c>
      <c r="F515" s="42" t="n">
        <v>105000</v>
      </c>
      <c r="G515" s="36" t="n">
        <v>45914</v>
      </c>
      <c r="H515" s="35" t="s">
        <v>54</v>
      </c>
      <c r="I515" s="35" t="s">
        <v>78</v>
      </c>
      <c r="J515" s="35" t="s">
        <v>91</v>
      </c>
      <c r="K515" s="35"/>
      <c r="L515" s="48" t="n">
        <f aca="false">IFERROR(AVERAGEIFS('Score Entry'!$M$5:$M$1276,'Score Entry'!$B$5:$B$1276,A515,'Score Entry'!$E$5:$E$1276,"Primary"),"")</f>
        <v>87</v>
      </c>
      <c r="M515" s="48" t="n">
        <f aca="false">IFERROR(AVERAGEIFS('Score Entry'!$M$5:$M$1276,'Score Entry'!$B$5:$B$1276,A515,'Score Entry'!$E$5:$E$1276,"Secondary"),"")</f>
        <v>100</v>
      </c>
      <c r="N515" s="48" t="n">
        <f aca="false">IF(COUNT(L515:M515)=2,ABS(L515-M515),"")</f>
        <v>13</v>
      </c>
      <c r="O515" s="37" t="str">
        <f aca="false">IF(N515="","",IF(N515&gt;=Threshold,"Yes","No"))</f>
        <v>No</v>
      </c>
      <c r="P515" s="48" t="str">
        <f aca="false">IFERROR(AVERAGEIFS('Score Entry'!$M$5:$M$1276,'Score Entry'!$B$5:$B$1276,A515,'Score Entry'!$E$5:$E$1276,"Third"),"")</f>
        <v/>
      </c>
      <c r="Q515" s="48" t="n">
        <f aca="false">IF(H515&lt;&gt;"Eligible","",IF(O515="Yes",IF(ISNUMBER(P515),ROUND(AVERAGE(L515,M515,P515),1),""),IF(O515="No",ROUND(AVERAGE(L515:M515),1),"")))</f>
        <v>93.5</v>
      </c>
      <c r="R515" s="37" t="str">
        <f aca="false">IF(H515&lt;&gt;"Eligible","Screened out",IF(COUNT(L515:M515)=0,"Not started",IF(COUNT(L515:M515)=1,"One read done",IF(O515="Yes",IF(ISNUMBER(P515),"Complete","Needs third read"),"Complete"))))</f>
        <v>Complete</v>
      </c>
      <c r="S515" s="37" t="n">
        <f aca="false">IF(Q515="","",COUNTIFS($C$5:$C$600,C515,$Q$5:$Q$600,"&gt;"&amp;Q515)+1)</f>
        <v>4</v>
      </c>
      <c r="T515" s="37" t="str">
        <f aca="false">IF(Q515="","",IF(Q515&gt;=Cutoff,"Yes","No"))</f>
        <v>Yes</v>
      </c>
      <c r="U515" s="49" t="n">
        <f aca="false">IF(T515="Yes",MIN(F515,INDEX(Settings!$G:$G,MATCH(C515,Settings!$E:$E,0))),0)</f>
        <v>105000</v>
      </c>
      <c r="V515" s="49" t="n">
        <f aca="false">IF(T515="Yes",SUMIFS($U$5:$U$600,$C$5:$C$600,C515,$Q$5:$Q$600,"&gt;"&amp;Q515)+U515,"")</f>
        <v>267500</v>
      </c>
      <c r="W515" s="37" t="str">
        <f aca="false">IF(T515="Yes",IF(V515&lt;=INDEX(PoolList,MATCH(C515,ProgramList,0)),"Within pool","Over pool"),"")</f>
        <v>Within pool</v>
      </c>
      <c r="X515" s="37" t="str">
        <f aca="false">IF(O515="Yes",COUNTIF($O$5:O515,"Yes"),"")</f>
        <v/>
      </c>
    </row>
    <row r="516" customFormat="false" ht="15" hidden="false" customHeight="false" outlineLevel="0" collapsed="false">
      <c r="A516" s="35" t="s">
        <v>1215</v>
      </c>
      <c r="B516" s="35" t="s">
        <v>1216</v>
      </c>
      <c r="C516" s="35" t="s">
        <v>106</v>
      </c>
      <c r="D516" s="35" t="s">
        <v>180</v>
      </c>
      <c r="E516" s="35" t="s">
        <v>269</v>
      </c>
      <c r="F516" s="42" t="n">
        <v>103500</v>
      </c>
      <c r="G516" s="36" t="n">
        <v>45923</v>
      </c>
      <c r="H516" s="35" t="s">
        <v>54</v>
      </c>
      <c r="I516" s="35" t="s">
        <v>78</v>
      </c>
      <c r="J516" s="35" t="s">
        <v>88</v>
      </c>
      <c r="K516" s="35"/>
      <c r="L516" s="48" t="n">
        <f aca="false">IFERROR(AVERAGEIFS('Score Entry'!$M$5:$M$1276,'Score Entry'!$B$5:$B$1276,A516,'Score Entry'!$E$5:$E$1276,"Primary"),"")</f>
        <v>67</v>
      </c>
      <c r="M516" s="48" t="n">
        <f aca="false">IFERROR(AVERAGEIFS('Score Entry'!$M$5:$M$1276,'Score Entry'!$B$5:$B$1276,A516,'Score Entry'!$E$5:$E$1276,"Secondary"),"")</f>
        <v>71</v>
      </c>
      <c r="N516" s="48" t="n">
        <f aca="false">IF(COUNT(L516:M516)=2,ABS(L516-M516),"")</f>
        <v>4</v>
      </c>
      <c r="O516" s="37" t="str">
        <f aca="false">IF(N516="","",IF(N516&gt;=Threshold,"Yes","No"))</f>
        <v>No</v>
      </c>
      <c r="P516" s="48" t="str">
        <f aca="false">IFERROR(AVERAGEIFS('Score Entry'!$M$5:$M$1276,'Score Entry'!$B$5:$B$1276,A516,'Score Entry'!$E$5:$E$1276,"Third"),"")</f>
        <v/>
      </c>
      <c r="Q516" s="48" t="n">
        <f aca="false">IF(H516&lt;&gt;"Eligible","",IF(O516="Yes",IF(ISNUMBER(P516),ROUND(AVERAGE(L516,M516,P516),1),""),IF(O516="No",ROUND(AVERAGE(L516:M516),1),"")))</f>
        <v>69</v>
      </c>
      <c r="R516" s="37" t="str">
        <f aca="false">IF(H516&lt;&gt;"Eligible","Screened out",IF(COUNT(L516:M516)=0,"Not started",IF(COUNT(L516:M516)=1,"One read done",IF(O516="Yes",IF(ISNUMBER(P516),"Complete","Needs third read"),"Complete"))))</f>
        <v>Complete</v>
      </c>
      <c r="S516" s="37" t="n">
        <f aca="false">IF(Q516="","",COUNTIFS($C$5:$C$600,C516,$Q$5:$Q$600,"&gt;"&amp;Q516)+1)</f>
        <v>56</v>
      </c>
      <c r="T516" s="37" t="str">
        <f aca="false">IF(Q516="","",IF(Q516&gt;=Cutoff,"Yes","No"))</f>
        <v>No</v>
      </c>
      <c r="U516" s="49" t="n">
        <f aca="false">IF(T516="Yes",MIN(F516,INDEX(Settings!$G:$G,MATCH(C516,Settings!$E:$E,0))),0)</f>
        <v>0</v>
      </c>
      <c r="V516" s="49" t="str">
        <f aca="false">IF(T516="Yes",SUMIFS($U$5:$U$600,$C$5:$C$600,C516,$Q$5:$Q$600,"&gt;"&amp;Q516)+U516,"")</f>
        <v/>
      </c>
      <c r="W516" s="37" t="str">
        <f aca="false">IF(T516="Yes",IF(V516&lt;=INDEX(PoolList,MATCH(C516,ProgramList,0)),"Within pool","Over pool"),"")</f>
        <v/>
      </c>
      <c r="X516" s="37" t="str">
        <f aca="false">IF(O516="Yes",COUNTIF($O$5:O516,"Yes"),"")</f>
        <v/>
      </c>
    </row>
    <row r="517" customFormat="false" ht="15" hidden="false" customHeight="false" outlineLevel="0" collapsed="false">
      <c r="A517" s="35" t="s">
        <v>1217</v>
      </c>
      <c r="B517" s="35" t="s">
        <v>1218</v>
      </c>
      <c r="C517" s="35" t="s">
        <v>106</v>
      </c>
      <c r="D517" s="35" t="s">
        <v>174</v>
      </c>
      <c r="E517" s="35" t="s">
        <v>175</v>
      </c>
      <c r="F517" s="42" t="n">
        <v>78500</v>
      </c>
      <c r="G517" s="36" t="n">
        <v>45920</v>
      </c>
      <c r="H517" s="35" t="s">
        <v>54</v>
      </c>
      <c r="I517" s="35" t="s">
        <v>82</v>
      </c>
      <c r="J517" s="35" t="s">
        <v>85</v>
      </c>
      <c r="K517" s="35"/>
      <c r="L517" s="48" t="n">
        <f aca="false">IFERROR(AVERAGEIFS('Score Entry'!$M$5:$M$1276,'Score Entry'!$B$5:$B$1276,A517,'Score Entry'!$E$5:$E$1276,"Primary"),"")</f>
        <v>75</v>
      </c>
      <c r="M517" s="48" t="n">
        <f aca="false">IFERROR(AVERAGEIFS('Score Entry'!$M$5:$M$1276,'Score Entry'!$B$5:$B$1276,A517,'Score Entry'!$E$5:$E$1276,"Secondary"),"")</f>
        <v>68</v>
      </c>
      <c r="N517" s="48" t="n">
        <f aca="false">IF(COUNT(L517:M517)=2,ABS(L517-M517),"")</f>
        <v>7</v>
      </c>
      <c r="O517" s="37" t="str">
        <f aca="false">IF(N517="","",IF(N517&gt;=Threshold,"Yes","No"))</f>
        <v>No</v>
      </c>
      <c r="P517" s="48" t="str">
        <f aca="false">IFERROR(AVERAGEIFS('Score Entry'!$M$5:$M$1276,'Score Entry'!$B$5:$B$1276,A517,'Score Entry'!$E$5:$E$1276,"Third"),"")</f>
        <v/>
      </c>
      <c r="Q517" s="48" t="n">
        <f aca="false">IF(H517&lt;&gt;"Eligible","",IF(O517="Yes",IF(ISNUMBER(P517),ROUND(AVERAGE(L517,M517,P517),1),""),IF(O517="No",ROUND(AVERAGE(L517:M517),1),"")))</f>
        <v>71.5</v>
      </c>
      <c r="R517" s="37" t="str">
        <f aca="false">IF(H517&lt;&gt;"Eligible","Screened out",IF(COUNT(L517:M517)=0,"Not started",IF(COUNT(L517:M517)=1,"One read done",IF(O517="Yes",IF(ISNUMBER(P517),"Complete","Needs third read"),"Complete"))))</f>
        <v>Complete</v>
      </c>
      <c r="S517" s="37" t="n">
        <f aca="false">IF(Q517="","",COUNTIFS($C$5:$C$600,C517,$Q$5:$Q$600,"&gt;"&amp;Q517)+1)</f>
        <v>47</v>
      </c>
      <c r="T517" s="37" t="str">
        <f aca="false">IF(Q517="","",IF(Q517&gt;=Cutoff,"Yes","No"))</f>
        <v>No</v>
      </c>
      <c r="U517" s="49" t="n">
        <f aca="false">IF(T517="Yes",MIN(F517,INDEX(Settings!$G:$G,MATCH(C517,Settings!$E:$E,0))),0)</f>
        <v>0</v>
      </c>
      <c r="V517" s="49" t="str">
        <f aca="false">IF(T517="Yes",SUMIFS($U$5:$U$600,$C$5:$C$600,C517,$Q$5:$Q$600,"&gt;"&amp;Q517)+U517,"")</f>
        <v/>
      </c>
      <c r="W517" s="37" t="str">
        <f aca="false">IF(T517="Yes",IF(V517&lt;=INDEX(PoolList,MATCH(C517,ProgramList,0)),"Within pool","Over pool"),"")</f>
        <v/>
      </c>
      <c r="X517" s="37" t="str">
        <f aca="false">IF(O517="Yes",COUNTIF($O$5:O517,"Yes"),"")</f>
        <v/>
      </c>
    </row>
    <row r="518" customFormat="false" ht="15" hidden="false" customHeight="false" outlineLevel="0" collapsed="false">
      <c r="A518" s="35" t="s">
        <v>1219</v>
      </c>
      <c r="B518" s="35" t="s">
        <v>1220</v>
      </c>
      <c r="C518" s="35" t="s">
        <v>103</v>
      </c>
      <c r="D518" s="35" t="s">
        <v>221</v>
      </c>
      <c r="E518" s="35" t="s">
        <v>258</v>
      </c>
      <c r="F518" s="42" t="n">
        <v>126000</v>
      </c>
      <c r="G518" s="36" t="n">
        <v>45926</v>
      </c>
      <c r="H518" s="35" t="s">
        <v>54</v>
      </c>
      <c r="I518" s="35" t="s">
        <v>91</v>
      </c>
      <c r="J518" s="35" t="s">
        <v>78</v>
      </c>
      <c r="K518" s="35"/>
      <c r="L518" s="48" t="n">
        <f aca="false">IFERROR(AVERAGEIFS('Score Entry'!$M$5:$M$1276,'Score Entry'!$B$5:$B$1276,A518,'Score Entry'!$E$5:$E$1276,"Primary"),"")</f>
        <v>52</v>
      </c>
      <c r="M518" s="48" t="n">
        <f aca="false">IFERROR(AVERAGEIFS('Score Entry'!$M$5:$M$1276,'Score Entry'!$B$5:$B$1276,A518,'Score Entry'!$E$5:$E$1276,"Secondary"),"")</f>
        <v>50</v>
      </c>
      <c r="N518" s="48" t="n">
        <f aca="false">IF(COUNT(L518:M518)=2,ABS(L518-M518),"")</f>
        <v>2</v>
      </c>
      <c r="O518" s="37" t="str">
        <f aca="false">IF(N518="","",IF(N518&gt;=Threshold,"Yes","No"))</f>
        <v>No</v>
      </c>
      <c r="P518" s="48" t="str">
        <f aca="false">IFERROR(AVERAGEIFS('Score Entry'!$M$5:$M$1276,'Score Entry'!$B$5:$B$1276,A518,'Score Entry'!$E$5:$E$1276,"Third"),"")</f>
        <v/>
      </c>
      <c r="Q518" s="48" t="n">
        <f aca="false">IF(H518&lt;&gt;"Eligible","",IF(O518="Yes",IF(ISNUMBER(P518),ROUND(AVERAGE(L518,M518,P518),1),""),IF(O518="No",ROUND(AVERAGE(L518:M518),1),"")))</f>
        <v>51</v>
      </c>
      <c r="R518" s="37" t="str">
        <f aca="false">IF(H518&lt;&gt;"Eligible","Screened out",IF(COUNT(L518:M518)=0,"Not started",IF(COUNT(L518:M518)=1,"One read done",IF(O518="Yes",IF(ISNUMBER(P518),"Complete","Needs third read"),"Complete"))))</f>
        <v>Complete</v>
      </c>
      <c r="S518" s="37" t="n">
        <f aca="false">IF(Q518="","",COUNTIFS($C$5:$C$600,C518,$Q$5:$Q$600,"&gt;"&amp;Q518)+1)</f>
        <v>149</v>
      </c>
      <c r="T518" s="37" t="str">
        <f aca="false">IF(Q518="","",IF(Q518&gt;=Cutoff,"Yes","No"))</f>
        <v>No</v>
      </c>
      <c r="U518" s="49" t="n">
        <f aca="false">IF(T518="Yes",MIN(F518,INDEX(Settings!$G:$G,MATCH(C518,Settings!$E:$E,0))),0)</f>
        <v>0</v>
      </c>
      <c r="V518" s="49" t="str">
        <f aca="false">IF(T518="Yes",SUMIFS($U$5:$U$600,$C$5:$C$600,C518,$Q$5:$Q$600,"&gt;"&amp;Q518)+U518,"")</f>
        <v/>
      </c>
      <c r="W518" s="37" t="str">
        <f aca="false">IF(T518="Yes",IF(V518&lt;=INDEX(PoolList,MATCH(C518,ProgramList,0)),"Within pool","Over pool"),"")</f>
        <v/>
      </c>
      <c r="X518" s="37" t="str">
        <f aca="false">IF(O518="Yes",COUNTIF($O$5:O518,"Yes"),"")</f>
        <v/>
      </c>
    </row>
    <row r="519" customFormat="false" ht="15" hidden="false" customHeight="false" outlineLevel="0" collapsed="false">
      <c r="A519" s="35" t="s">
        <v>1221</v>
      </c>
      <c r="B519" s="35" t="s">
        <v>1222</v>
      </c>
      <c r="C519" s="35" t="s">
        <v>106</v>
      </c>
      <c r="D519" s="35" t="s">
        <v>180</v>
      </c>
      <c r="E519" s="35" t="s">
        <v>252</v>
      </c>
      <c r="F519" s="42" t="n">
        <v>131000</v>
      </c>
      <c r="G519" s="36" t="n">
        <v>45910</v>
      </c>
      <c r="H519" s="35" t="s">
        <v>54</v>
      </c>
      <c r="I519" s="35" t="s">
        <v>94</v>
      </c>
      <c r="J519" s="35" t="s">
        <v>88</v>
      </c>
      <c r="K519" s="35"/>
      <c r="L519" s="48" t="n">
        <f aca="false">IFERROR(AVERAGEIFS('Score Entry'!$M$5:$M$1276,'Score Entry'!$B$5:$B$1276,A519,'Score Entry'!$E$5:$E$1276,"Primary"),"")</f>
        <v>75</v>
      </c>
      <c r="M519" s="48" t="n">
        <f aca="false">IFERROR(AVERAGEIFS('Score Entry'!$M$5:$M$1276,'Score Entry'!$B$5:$B$1276,A519,'Score Entry'!$E$5:$E$1276,"Secondary"),"")</f>
        <v>79</v>
      </c>
      <c r="N519" s="48" t="n">
        <f aca="false">IF(COUNT(L519:M519)=2,ABS(L519-M519),"")</f>
        <v>4</v>
      </c>
      <c r="O519" s="37" t="str">
        <f aca="false">IF(N519="","",IF(N519&gt;=Threshold,"Yes","No"))</f>
        <v>No</v>
      </c>
      <c r="P519" s="48" t="str">
        <f aca="false">IFERROR(AVERAGEIFS('Score Entry'!$M$5:$M$1276,'Score Entry'!$B$5:$B$1276,A519,'Score Entry'!$E$5:$E$1276,"Third"),"")</f>
        <v/>
      </c>
      <c r="Q519" s="48" t="n">
        <f aca="false">IF(H519&lt;&gt;"Eligible","",IF(O519="Yes",IF(ISNUMBER(P519),ROUND(AVERAGE(L519,M519,P519),1),""),IF(O519="No",ROUND(AVERAGE(L519:M519),1),"")))</f>
        <v>77</v>
      </c>
      <c r="R519" s="37" t="str">
        <f aca="false">IF(H519&lt;&gt;"Eligible","Screened out",IF(COUNT(L519:M519)=0,"Not started",IF(COUNT(L519:M519)=1,"One read done",IF(O519="Yes",IF(ISNUMBER(P519),"Complete","Needs third read"),"Complete"))))</f>
        <v>Complete</v>
      </c>
      <c r="S519" s="37" t="n">
        <f aca="false">IF(Q519="","",COUNTIFS($C$5:$C$600,C519,$Q$5:$Q$600,"&gt;"&amp;Q519)+1)</f>
        <v>32</v>
      </c>
      <c r="T519" s="37" t="str">
        <f aca="false">IF(Q519="","",IF(Q519&gt;=Cutoff,"Yes","No"))</f>
        <v>No</v>
      </c>
      <c r="U519" s="49" t="n">
        <f aca="false">IF(T519="Yes",MIN(F519,INDEX(Settings!$G:$G,MATCH(C519,Settings!$E:$E,0))),0)</f>
        <v>0</v>
      </c>
      <c r="V519" s="49" t="str">
        <f aca="false">IF(T519="Yes",SUMIFS($U$5:$U$600,$C$5:$C$600,C519,$Q$5:$Q$600,"&gt;"&amp;Q519)+U519,"")</f>
        <v/>
      </c>
      <c r="W519" s="37" t="str">
        <f aca="false">IF(T519="Yes",IF(V519&lt;=INDEX(PoolList,MATCH(C519,ProgramList,0)),"Within pool","Over pool"),"")</f>
        <v/>
      </c>
      <c r="X519" s="37" t="str">
        <f aca="false">IF(O519="Yes",COUNTIF($O$5:O519,"Yes"),"")</f>
        <v/>
      </c>
    </row>
    <row r="520" customFormat="false" ht="15" hidden="false" customHeight="false" outlineLevel="0" collapsed="false">
      <c r="A520" s="35" t="s">
        <v>1223</v>
      </c>
      <c r="B520" s="35" t="s">
        <v>1224</v>
      </c>
      <c r="C520" s="35" t="s">
        <v>103</v>
      </c>
      <c r="D520" s="35" t="s">
        <v>174</v>
      </c>
      <c r="E520" s="35" t="s">
        <v>232</v>
      </c>
      <c r="F520" s="42" t="n">
        <v>145000</v>
      </c>
      <c r="G520" s="36" t="n">
        <v>45921</v>
      </c>
      <c r="H520" s="35" t="s">
        <v>54</v>
      </c>
      <c r="I520" s="35" t="s">
        <v>82</v>
      </c>
      <c r="J520" s="35" t="s">
        <v>91</v>
      </c>
      <c r="K520" s="35"/>
      <c r="L520" s="48" t="n">
        <f aca="false">IFERROR(AVERAGEIFS('Score Entry'!$M$5:$M$1276,'Score Entry'!$B$5:$B$1276,A520,'Score Entry'!$E$5:$E$1276,"Primary"),"")</f>
        <v>60</v>
      </c>
      <c r="M520" s="48" t="n">
        <f aca="false">IFERROR(AVERAGEIFS('Score Entry'!$M$5:$M$1276,'Score Entry'!$B$5:$B$1276,A520,'Score Entry'!$E$5:$E$1276,"Secondary"),"")</f>
        <v>72</v>
      </c>
      <c r="N520" s="48" t="n">
        <f aca="false">IF(COUNT(L520:M520)=2,ABS(L520-M520),"")</f>
        <v>12</v>
      </c>
      <c r="O520" s="37" t="str">
        <f aca="false">IF(N520="","",IF(N520&gt;=Threshold,"Yes","No"))</f>
        <v>No</v>
      </c>
      <c r="P520" s="48" t="str">
        <f aca="false">IFERROR(AVERAGEIFS('Score Entry'!$M$5:$M$1276,'Score Entry'!$B$5:$B$1276,A520,'Score Entry'!$E$5:$E$1276,"Third"),"")</f>
        <v/>
      </c>
      <c r="Q520" s="48" t="n">
        <f aca="false">IF(H520&lt;&gt;"Eligible","",IF(O520="Yes",IF(ISNUMBER(P520),ROUND(AVERAGE(L520,M520,P520),1),""),IF(O520="No",ROUND(AVERAGE(L520:M520),1),"")))</f>
        <v>66</v>
      </c>
      <c r="R520" s="37" t="str">
        <f aca="false">IF(H520&lt;&gt;"Eligible","Screened out",IF(COUNT(L520:M520)=0,"Not started",IF(COUNT(L520:M520)=1,"One read done",IF(O520="Yes",IF(ISNUMBER(P520),"Complete","Needs third read"),"Complete"))))</f>
        <v>Complete</v>
      </c>
      <c r="S520" s="37" t="n">
        <f aca="false">IF(Q520="","",COUNTIFS($C$5:$C$600,C520,$Q$5:$Q$600,"&gt;"&amp;Q520)+1)</f>
        <v>84</v>
      </c>
      <c r="T520" s="37" t="str">
        <f aca="false">IF(Q520="","",IF(Q520&gt;=Cutoff,"Yes","No"))</f>
        <v>No</v>
      </c>
      <c r="U520" s="49" t="n">
        <f aca="false">IF(T520="Yes",MIN(F520,INDEX(Settings!$G:$G,MATCH(C520,Settings!$E:$E,0))),0)</f>
        <v>0</v>
      </c>
      <c r="V520" s="49" t="str">
        <f aca="false">IF(T520="Yes",SUMIFS($U$5:$U$600,$C$5:$C$600,C520,$Q$5:$Q$600,"&gt;"&amp;Q520)+U520,"")</f>
        <v/>
      </c>
      <c r="W520" s="37" t="str">
        <f aca="false">IF(T520="Yes",IF(V520&lt;=INDEX(PoolList,MATCH(C520,ProgramList,0)),"Within pool","Over pool"),"")</f>
        <v/>
      </c>
      <c r="X520" s="37" t="str">
        <f aca="false">IF(O520="Yes",COUNTIF($O$5:O520,"Yes"),"")</f>
        <v/>
      </c>
    </row>
    <row r="521" customFormat="false" ht="15" hidden="false" customHeight="false" outlineLevel="0" collapsed="false">
      <c r="A521" s="35" t="s">
        <v>1225</v>
      </c>
      <c r="B521" s="35" t="s">
        <v>1226</v>
      </c>
      <c r="C521" s="35" t="s">
        <v>104</v>
      </c>
      <c r="D521" s="35" t="s">
        <v>239</v>
      </c>
      <c r="E521" s="35" t="s">
        <v>240</v>
      </c>
      <c r="F521" s="42" t="n">
        <v>35500</v>
      </c>
      <c r="G521" s="36" t="n">
        <v>45911</v>
      </c>
      <c r="H521" s="35" t="s">
        <v>54</v>
      </c>
      <c r="I521" s="35" t="s">
        <v>85</v>
      </c>
      <c r="J521" s="35" t="s">
        <v>82</v>
      </c>
      <c r="K521" s="35"/>
      <c r="L521" s="48" t="n">
        <f aca="false">IFERROR(AVERAGEIFS('Score Entry'!$M$5:$M$1276,'Score Entry'!$B$5:$B$1276,A521,'Score Entry'!$E$5:$E$1276,"Primary"),"")</f>
        <v>75</v>
      </c>
      <c r="M521" s="48" t="n">
        <f aca="false">IFERROR(AVERAGEIFS('Score Entry'!$M$5:$M$1276,'Score Entry'!$B$5:$B$1276,A521,'Score Entry'!$E$5:$E$1276,"Secondary"),"")</f>
        <v>89</v>
      </c>
      <c r="N521" s="48" t="n">
        <f aca="false">IF(COUNT(L521:M521)=2,ABS(L521-M521),"")</f>
        <v>14</v>
      </c>
      <c r="O521" s="37" t="str">
        <f aca="false">IF(N521="","",IF(N521&gt;=Threshold,"Yes","No"))</f>
        <v>No</v>
      </c>
      <c r="P521" s="48" t="str">
        <f aca="false">IFERROR(AVERAGEIFS('Score Entry'!$M$5:$M$1276,'Score Entry'!$B$5:$B$1276,A521,'Score Entry'!$E$5:$E$1276,"Third"),"")</f>
        <v/>
      </c>
      <c r="Q521" s="48" t="n">
        <f aca="false">IF(H521&lt;&gt;"Eligible","",IF(O521="Yes",IF(ISNUMBER(P521),ROUND(AVERAGE(L521,M521,P521),1),""),IF(O521="No",ROUND(AVERAGE(L521:M521),1),"")))</f>
        <v>82</v>
      </c>
      <c r="R521" s="37" t="str">
        <f aca="false">IF(H521&lt;&gt;"Eligible","Screened out",IF(COUNT(L521:M521)=0,"Not started",IF(COUNT(L521:M521)=1,"One read done",IF(O521="Yes",IF(ISNUMBER(P521),"Complete","Needs third read"),"Complete"))))</f>
        <v>Complete</v>
      </c>
      <c r="S521" s="37" t="n">
        <f aca="false">IF(Q521="","",COUNTIFS($C$5:$C$600,C521,$Q$5:$Q$600,"&gt;"&amp;Q521)+1)</f>
        <v>18</v>
      </c>
      <c r="T521" s="37" t="str">
        <f aca="false">IF(Q521="","",IF(Q521&gt;=Cutoff,"Yes","No"))</f>
        <v>No</v>
      </c>
      <c r="U521" s="49" t="n">
        <f aca="false">IF(T521="Yes",MIN(F521,INDEX(Settings!$G:$G,MATCH(C521,Settings!$E:$E,0))),0)</f>
        <v>0</v>
      </c>
      <c r="V521" s="49" t="str">
        <f aca="false">IF(T521="Yes",SUMIFS($U$5:$U$600,$C$5:$C$600,C521,$Q$5:$Q$600,"&gt;"&amp;Q521)+U521,"")</f>
        <v/>
      </c>
      <c r="W521" s="37" t="str">
        <f aca="false">IF(T521="Yes",IF(V521&lt;=INDEX(PoolList,MATCH(C521,ProgramList,0)),"Within pool","Over pool"),"")</f>
        <v/>
      </c>
      <c r="X521" s="37" t="str">
        <f aca="false">IF(O521="Yes",COUNTIF($O$5:O521,"Yes"),"")</f>
        <v/>
      </c>
    </row>
    <row r="522" customFormat="false" ht="15" hidden="false" customHeight="false" outlineLevel="0" collapsed="false">
      <c r="A522" s="35" t="s">
        <v>1227</v>
      </c>
      <c r="B522" s="35" t="s">
        <v>1228</v>
      </c>
      <c r="C522" s="35" t="s">
        <v>104</v>
      </c>
      <c r="D522" s="35" t="s">
        <v>174</v>
      </c>
      <c r="E522" s="35" t="s">
        <v>175</v>
      </c>
      <c r="F522" s="42" t="n">
        <v>66000</v>
      </c>
      <c r="G522" s="36" t="n">
        <v>45912</v>
      </c>
      <c r="H522" s="35" t="s">
        <v>54</v>
      </c>
      <c r="I522" s="35" t="s">
        <v>88</v>
      </c>
      <c r="J522" s="35" t="s">
        <v>91</v>
      </c>
      <c r="K522" s="35"/>
      <c r="L522" s="48" t="n">
        <f aca="false">IFERROR(AVERAGEIFS('Score Entry'!$M$5:$M$1276,'Score Entry'!$B$5:$B$1276,A522,'Score Entry'!$E$5:$E$1276,"Primary"),"")</f>
        <v>82</v>
      </c>
      <c r="M522" s="48" t="n">
        <f aca="false">IFERROR(AVERAGEIFS('Score Entry'!$M$5:$M$1276,'Score Entry'!$B$5:$B$1276,A522,'Score Entry'!$E$5:$E$1276,"Secondary"),"")</f>
        <v>91</v>
      </c>
      <c r="N522" s="48" t="n">
        <f aca="false">IF(COUNT(L522:M522)=2,ABS(L522-M522),"")</f>
        <v>9</v>
      </c>
      <c r="O522" s="37" t="str">
        <f aca="false">IF(N522="","",IF(N522&gt;=Threshold,"Yes","No"))</f>
        <v>No</v>
      </c>
      <c r="P522" s="48" t="str">
        <f aca="false">IFERROR(AVERAGEIFS('Score Entry'!$M$5:$M$1276,'Score Entry'!$B$5:$B$1276,A522,'Score Entry'!$E$5:$E$1276,"Third"),"")</f>
        <v/>
      </c>
      <c r="Q522" s="48" t="n">
        <f aca="false">IF(H522&lt;&gt;"Eligible","",IF(O522="Yes",IF(ISNUMBER(P522),ROUND(AVERAGE(L522,M522,P522),1),""),IF(O522="No",ROUND(AVERAGE(L522:M522),1),"")))</f>
        <v>86.5</v>
      </c>
      <c r="R522" s="37" t="str">
        <f aca="false">IF(H522&lt;&gt;"Eligible","Screened out",IF(COUNT(L522:M522)=0,"Not started",IF(COUNT(L522:M522)=1,"One read done",IF(O522="Yes",IF(ISNUMBER(P522),"Complete","Needs third read"),"Complete"))))</f>
        <v>Complete</v>
      </c>
      <c r="S522" s="37" t="n">
        <f aca="false">IF(Q522="","",COUNTIFS($C$5:$C$600,C522,$Q$5:$Q$600,"&gt;"&amp;Q522)+1)</f>
        <v>12</v>
      </c>
      <c r="T522" s="37" t="str">
        <f aca="false">IF(Q522="","",IF(Q522&gt;=Cutoff,"Yes","No"))</f>
        <v>Yes</v>
      </c>
      <c r="U522" s="49" t="n">
        <f aca="false">IF(T522="Yes",MIN(F522,INDEX(Settings!$G:$G,MATCH(C522,Settings!$E:$E,0))),0)</f>
        <v>66000</v>
      </c>
      <c r="V522" s="49" t="n">
        <f aca="false">IF(T522="Yes",SUMIFS($U$5:$U$600,$C$5:$C$600,C522,$Q$5:$Q$600,"&gt;"&amp;Q522)+U522,"")</f>
        <v>1167500</v>
      </c>
      <c r="W522" s="37" t="str">
        <f aca="false">IF(T522="Yes",IF(V522&lt;=INDEX(PoolList,MATCH(C522,ProgramList,0)),"Within pool","Over pool"),"")</f>
        <v>Over pool</v>
      </c>
      <c r="X522" s="37" t="str">
        <f aca="false">IF(O522="Yes",COUNTIF($O$5:O522,"Yes"),"")</f>
        <v/>
      </c>
    </row>
    <row r="523" customFormat="false" ht="15" hidden="false" customHeight="false" outlineLevel="0" collapsed="false">
      <c r="A523" s="35" t="s">
        <v>1229</v>
      </c>
      <c r="B523" s="35" t="s">
        <v>1230</v>
      </c>
      <c r="C523" s="35" t="s">
        <v>104</v>
      </c>
      <c r="D523" s="35" t="s">
        <v>174</v>
      </c>
      <c r="E523" s="35" t="s">
        <v>175</v>
      </c>
      <c r="F523" s="42" t="n">
        <v>87000</v>
      </c>
      <c r="G523" s="36" t="n">
        <v>45920</v>
      </c>
      <c r="H523" s="35" t="s">
        <v>54</v>
      </c>
      <c r="I523" s="35" t="s">
        <v>85</v>
      </c>
      <c r="J523" s="35" t="s">
        <v>78</v>
      </c>
      <c r="K523" s="35"/>
      <c r="L523" s="48" t="n">
        <f aca="false">IFERROR(AVERAGEIFS('Score Entry'!$M$5:$M$1276,'Score Entry'!$B$5:$B$1276,A523,'Score Entry'!$E$5:$E$1276,"Primary"),"")</f>
        <v>56</v>
      </c>
      <c r="M523" s="48" t="n">
        <f aca="false">IFERROR(AVERAGEIFS('Score Entry'!$M$5:$M$1276,'Score Entry'!$B$5:$B$1276,A523,'Score Entry'!$E$5:$E$1276,"Secondary"),"")</f>
        <v>62</v>
      </c>
      <c r="N523" s="48" t="n">
        <f aca="false">IF(COUNT(L523:M523)=2,ABS(L523-M523),"")</f>
        <v>6</v>
      </c>
      <c r="O523" s="37" t="str">
        <f aca="false">IF(N523="","",IF(N523&gt;=Threshold,"Yes","No"))</f>
        <v>No</v>
      </c>
      <c r="P523" s="48" t="str">
        <f aca="false">IFERROR(AVERAGEIFS('Score Entry'!$M$5:$M$1276,'Score Entry'!$B$5:$B$1276,A523,'Score Entry'!$E$5:$E$1276,"Third"),"")</f>
        <v/>
      </c>
      <c r="Q523" s="48" t="n">
        <f aca="false">IF(H523&lt;&gt;"Eligible","",IF(O523="Yes",IF(ISNUMBER(P523),ROUND(AVERAGE(L523,M523,P523),1),""),IF(O523="No",ROUND(AVERAGE(L523:M523),1),"")))</f>
        <v>59</v>
      </c>
      <c r="R523" s="37" t="str">
        <f aca="false">IF(H523&lt;&gt;"Eligible","Screened out",IF(COUNT(L523:M523)=0,"Not started",IF(COUNT(L523:M523)=1,"One read done",IF(O523="Yes",IF(ISNUMBER(P523),"Complete","Needs third read"),"Complete"))))</f>
        <v>Complete</v>
      </c>
      <c r="S523" s="37" t="n">
        <f aca="false">IF(Q523="","",COUNTIFS($C$5:$C$600,C523,$Q$5:$Q$600,"&gt;"&amp;Q523)+1)</f>
        <v>80</v>
      </c>
      <c r="T523" s="37" t="str">
        <f aca="false">IF(Q523="","",IF(Q523&gt;=Cutoff,"Yes","No"))</f>
        <v>No</v>
      </c>
      <c r="U523" s="49" t="n">
        <f aca="false">IF(T523="Yes",MIN(F523,INDEX(Settings!$G:$G,MATCH(C523,Settings!$E:$E,0))),0)</f>
        <v>0</v>
      </c>
      <c r="V523" s="49" t="str">
        <f aca="false">IF(T523="Yes",SUMIFS($U$5:$U$600,$C$5:$C$600,C523,$Q$5:$Q$600,"&gt;"&amp;Q523)+U523,"")</f>
        <v/>
      </c>
      <c r="W523" s="37" t="str">
        <f aca="false">IF(T523="Yes",IF(V523&lt;=INDEX(PoolList,MATCH(C523,ProgramList,0)),"Within pool","Over pool"),"")</f>
        <v/>
      </c>
      <c r="X523" s="37" t="str">
        <f aca="false">IF(O523="Yes",COUNTIF($O$5:O523,"Yes"),"")</f>
        <v/>
      </c>
    </row>
    <row r="524" customFormat="false" ht="15" hidden="false" customHeight="false" outlineLevel="0" collapsed="false">
      <c r="A524" s="35" t="s">
        <v>1231</v>
      </c>
      <c r="B524" s="35" t="s">
        <v>1232</v>
      </c>
      <c r="C524" s="35" t="s">
        <v>105</v>
      </c>
      <c r="D524" s="35" t="s">
        <v>221</v>
      </c>
      <c r="E524" s="35" t="s">
        <v>222</v>
      </c>
      <c r="F524" s="42" t="n">
        <v>27500</v>
      </c>
      <c r="G524" s="36" t="n">
        <v>45904</v>
      </c>
      <c r="H524" s="35" t="s">
        <v>96</v>
      </c>
      <c r="I524" s="35"/>
      <c r="J524" s="35"/>
      <c r="K524" s="35"/>
      <c r="L524" s="48" t="str">
        <f aca="false">IFERROR(AVERAGEIFS('Score Entry'!$M$5:$M$1276,'Score Entry'!$B$5:$B$1276,A524,'Score Entry'!$E$5:$E$1276,"Primary"),"")</f>
        <v/>
      </c>
      <c r="M524" s="48" t="str">
        <f aca="false">IFERROR(AVERAGEIFS('Score Entry'!$M$5:$M$1276,'Score Entry'!$B$5:$B$1276,A524,'Score Entry'!$E$5:$E$1276,"Secondary"),"")</f>
        <v/>
      </c>
      <c r="N524" s="48" t="str">
        <f aca="false">IF(COUNT(L524:M524)=2,ABS(L524-M524),"")</f>
        <v/>
      </c>
      <c r="O524" s="37" t="str">
        <f aca="false">IF(N524="","",IF(N524&gt;=Threshold,"Yes","No"))</f>
        <v/>
      </c>
      <c r="P524" s="48" t="str">
        <f aca="false">IFERROR(AVERAGEIFS('Score Entry'!$M$5:$M$1276,'Score Entry'!$B$5:$B$1276,A524,'Score Entry'!$E$5:$E$1276,"Third"),"")</f>
        <v/>
      </c>
      <c r="Q524" s="48" t="str">
        <f aca="false">IF(H524&lt;&gt;"Eligible","",IF(O524="Yes",IF(ISNUMBER(P524),ROUND(AVERAGE(L524,M524,P524),1),""),IF(O524="No",ROUND(AVERAGE(L524:M524),1),"")))</f>
        <v/>
      </c>
      <c r="R524" s="37" t="str">
        <f aca="false">IF(H524&lt;&gt;"Eligible","Screened out",IF(COUNT(L524:M524)=0,"Not started",IF(COUNT(L524:M524)=1,"One read done",IF(O524="Yes",IF(ISNUMBER(P524),"Complete","Needs third read"),"Complete"))))</f>
        <v>Screened out</v>
      </c>
      <c r="S524" s="37" t="str">
        <f aca="false">IF(Q524="","",COUNTIFS($C$5:$C$600,C524,$Q$5:$Q$600,"&gt;"&amp;Q524)+1)</f>
        <v/>
      </c>
      <c r="T524" s="37" t="str">
        <f aca="false">IF(Q524="","",IF(Q524&gt;=Cutoff,"Yes","No"))</f>
        <v/>
      </c>
      <c r="U524" s="49" t="n">
        <f aca="false">IF(T524="Yes",MIN(F524,INDEX(Settings!$G:$G,MATCH(C524,Settings!$E:$E,0))),0)</f>
        <v>0</v>
      </c>
      <c r="V524" s="49" t="str">
        <f aca="false">IF(T524="Yes",SUMIFS($U$5:$U$600,$C$5:$C$600,C524,$Q$5:$Q$600,"&gt;"&amp;Q524)+U524,"")</f>
        <v/>
      </c>
      <c r="W524" s="37" t="str">
        <f aca="false">IF(T524="Yes",IF(V524&lt;=INDEX(PoolList,MATCH(C524,ProgramList,0)),"Within pool","Over pool"),"")</f>
        <v/>
      </c>
      <c r="X524" s="37" t="str">
        <f aca="false">IF(O524="Yes",COUNTIF($O$5:O524,"Yes"),"")</f>
        <v/>
      </c>
    </row>
    <row r="525" customFormat="false" ht="15" hidden="false" customHeight="false" outlineLevel="0" collapsed="false">
      <c r="A525" s="35" t="s">
        <v>1233</v>
      </c>
      <c r="B525" s="35" t="s">
        <v>1234</v>
      </c>
      <c r="C525" s="35" t="s">
        <v>103</v>
      </c>
      <c r="D525" s="35" t="s">
        <v>239</v>
      </c>
      <c r="E525" s="35" t="s">
        <v>247</v>
      </c>
      <c r="F525" s="42" t="n">
        <v>101000</v>
      </c>
      <c r="G525" s="36" t="n">
        <v>45908</v>
      </c>
      <c r="H525" s="35" t="s">
        <v>54</v>
      </c>
      <c r="I525" s="35" t="s">
        <v>85</v>
      </c>
      <c r="J525" s="35" t="s">
        <v>78</v>
      </c>
      <c r="K525" s="35"/>
      <c r="L525" s="48" t="n">
        <f aca="false">IFERROR(AVERAGEIFS('Score Entry'!$M$5:$M$1276,'Score Entry'!$B$5:$B$1276,A525,'Score Entry'!$E$5:$E$1276,"Primary"),"")</f>
        <v>80</v>
      </c>
      <c r="M525" s="48" t="n">
        <f aca="false">IFERROR(AVERAGEIFS('Score Entry'!$M$5:$M$1276,'Score Entry'!$B$5:$B$1276,A525,'Score Entry'!$E$5:$E$1276,"Secondary"),"")</f>
        <v>80</v>
      </c>
      <c r="N525" s="48" t="n">
        <f aca="false">IF(COUNT(L525:M525)=2,ABS(L525-M525),"")</f>
        <v>0</v>
      </c>
      <c r="O525" s="37" t="str">
        <f aca="false">IF(N525="","",IF(N525&gt;=Threshold,"Yes","No"))</f>
        <v>No</v>
      </c>
      <c r="P525" s="48" t="str">
        <f aca="false">IFERROR(AVERAGEIFS('Score Entry'!$M$5:$M$1276,'Score Entry'!$B$5:$B$1276,A525,'Score Entry'!$E$5:$E$1276,"Third"),"")</f>
        <v/>
      </c>
      <c r="Q525" s="48" t="n">
        <f aca="false">IF(H525&lt;&gt;"Eligible","",IF(O525="Yes",IF(ISNUMBER(P525),ROUND(AVERAGE(L525,M525,P525),1),""),IF(O525="No",ROUND(AVERAGE(L525:M525),1),"")))</f>
        <v>80</v>
      </c>
      <c r="R525" s="37" t="str">
        <f aca="false">IF(H525&lt;&gt;"Eligible","Screened out",IF(COUNT(L525:M525)=0,"Not started",IF(COUNT(L525:M525)=1,"One read done",IF(O525="Yes",IF(ISNUMBER(P525),"Complete","Needs third read"),"Complete"))))</f>
        <v>Complete</v>
      </c>
      <c r="S525" s="37" t="n">
        <f aca="false">IF(Q525="","",COUNTIFS($C$5:$C$600,C525,$Q$5:$Q$600,"&gt;"&amp;Q525)+1)</f>
        <v>22</v>
      </c>
      <c r="T525" s="37" t="str">
        <f aca="false">IF(Q525="","",IF(Q525&gt;=Cutoff,"Yes","No"))</f>
        <v>No</v>
      </c>
      <c r="U525" s="49" t="n">
        <f aca="false">IF(T525="Yes",MIN(F525,INDEX(Settings!$G:$G,MATCH(C525,Settings!$E:$E,0))),0)</f>
        <v>0</v>
      </c>
      <c r="V525" s="49" t="str">
        <f aca="false">IF(T525="Yes",SUMIFS($U$5:$U$600,$C$5:$C$600,C525,$Q$5:$Q$600,"&gt;"&amp;Q525)+U525,"")</f>
        <v/>
      </c>
      <c r="W525" s="37" t="str">
        <f aca="false">IF(T525="Yes",IF(V525&lt;=INDEX(PoolList,MATCH(C525,ProgramList,0)),"Within pool","Over pool"),"")</f>
        <v/>
      </c>
      <c r="X525" s="37" t="str">
        <f aca="false">IF(O525="Yes",COUNTIF($O$5:O525,"Yes"),"")</f>
        <v/>
      </c>
    </row>
    <row r="526" customFormat="false" ht="15" hidden="false" customHeight="false" outlineLevel="0" collapsed="false">
      <c r="A526" s="35" t="s">
        <v>1235</v>
      </c>
      <c r="B526" s="35" t="s">
        <v>1236</v>
      </c>
      <c r="C526" s="35" t="s">
        <v>105</v>
      </c>
      <c r="D526" s="35" t="s">
        <v>174</v>
      </c>
      <c r="E526" s="35" t="s">
        <v>175</v>
      </c>
      <c r="F526" s="42" t="n">
        <v>117500</v>
      </c>
      <c r="G526" s="36" t="n">
        <v>45911</v>
      </c>
      <c r="H526" s="35" t="s">
        <v>54</v>
      </c>
      <c r="I526" s="35" t="s">
        <v>94</v>
      </c>
      <c r="J526" s="35" t="s">
        <v>82</v>
      </c>
      <c r="K526" s="35"/>
      <c r="L526" s="48" t="n">
        <f aca="false">IFERROR(AVERAGEIFS('Score Entry'!$M$5:$M$1276,'Score Entry'!$B$5:$B$1276,A526,'Score Entry'!$E$5:$E$1276,"Primary"),"")</f>
        <v>68</v>
      </c>
      <c r="M526" s="48" t="str">
        <f aca="false">IFERROR(AVERAGEIFS('Score Entry'!$M$5:$M$1276,'Score Entry'!$B$5:$B$1276,A526,'Score Entry'!$E$5:$E$1276,"Secondary"),"")</f>
        <v/>
      </c>
      <c r="N526" s="48" t="str">
        <f aca="false">IF(COUNT(L526:M526)=2,ABS(L526-M526),"")</f>
        <v/>
      </c>
      <c r="O526" s="37" t="str">
        <f aca="false">IF(N526="","",IF(N526&gt;=Threshold,"Yes","No"))</f>
        <v/>
      </c>
      <c r="P526" s="48" t="str">
        <f aca="false">IFERROR(AVERAGEIFS('Score Entry'!$M$5:$M$1276,'Score Entry'!$B$5:$B$1276,A526,'Score Entry'!$E$5:$E$1276,"Third"),"")</f>
        <v/>
      </c>
      <c r="Q526" s="48" t="str">
        <f aca="false">IF(H526&lt;&gt;"Eligible","",IF(O526="Yes",IF(ISNUMBER(P526),ROUND(AVERAGE(L526,M526,P526),1),""),IF(O526="No",ROUND(AVERAGE(L526:M526),1),"")))</f>
        <v/>
      </c>
      <c r="R526" s="37" t="str">
        <f aca="false">IF(H526&lt;&gt;"Eligible","Screened out",IF(COUNT(L526:M526)=0,"Not started",IF(COUNT(L526:M526)=1,"One read done",IF(O526="Yes",IF(ISNUMBER(P526),"Complete","Needs third read"),"Complete"))))</f>
        <v>One read done</v>
      </c>
      <c r="S526" s="37" t="str">
        <f aca="false">IF(Q526="","",COUNTIFS($C$5:$C$600,C526,$Q$5:$Q$600,"&gt;"&amp;Q526)+1)</f>
        <v/>
      </c>
      <c r="T526" s="37" t="str">
        <f aca="false">IF(Q526="","",IF(Q526&gt;=Cutoff,"Yes","No"))</f>
        <v/>
      </c>
      <c r="U526" s="49" t="n">
        <f aca="false">IF(T526="Yes",MIN(F526,INDEX(Settings!$G:$G,MATCH(C526,Settings!$E:$E,0))),0)</f>
        <v>0</v>
      </c>
      <c r="V526" s="49" t="str">
        <f aca="false">IF(T526="Yes",SUMIFS($U$5:$U$600,$C$5:$C$600,C526,$Q$5:$Q$600,"&gt;"&amp;Q526)+U526,"")</f>
        <v/>
      </c>
      <c r="W526" s="37" t="str">
        <f aca="false">IF(T526="Yes",IF(V526&lt;=INDEX(PoolList,MATCH(C526,ProgramList,0)),"Within pool","Over pool"),"")</f>
        <v/>
      </c>
      <c r="X526" s="37" t="str">
        <f aca="false">IF(O526="Yes",COUNTIF($O$5:O526,"Yes"),"")</f>
        <v/>
      </c>
    </row>
    <row r="527" customFormat="false" ht="15" hidden="false" customHeight="false" outlineLevel="0" collapsed="false">
      <c r="A527" s="35" t="s">
        <v>1237</v>
      </c>
      <c r="B527" s="35" t="s">
        <v>1238</v>
      </c>
      <c r="C527" s="35" t="s">
        <v>103</v>
      </c>
      <c r="D527" s="35" t="s">
        <v>174</v>
      </c>
      <c r="E527" s="35" t="s">
        <v>175</v>
      </c>
      <c r="F527" s="42" t="n">
        <v>63500</v>
      </c>
      <c r="G527" s="36" t="n">
        <v>45920</v>
      </c>
      <c r="H527" s="35" t="s">
        <v>54</v>
      </c>
      <c r="I527" s="35" t="s">
        <v>91</v>
      </c>
      <c r="J527" s="35" t="s">
        <v>88</v>
      </c>
      <c r="K527" s="35"/>
      <c r="L527" s="48" t="n">
        <f aca="false">IFERROR(AVERAGEIFS('Score Entry'!$M$5:$M$1276,'Score Entry'!$B$5:$B$1276,A527,'Score Entry'!$E$5:$E$1276,"Primary"),"")</f>
        <v>74</v>
      </c>
      <c r="M527" s="48" t="n">
        <f aca="false">IFERROR(AVERAGEIFS('Score Entry'!$M$5:$M$1276,'Score Entry'!$B$5:$B$1276,A527,'Score Entry'!$E$5:$E$1276,"Secondary"),"")</f>
        <v>59</v>
      </c>
      <c r="N527" s="48" t="n">
        <f aca="false">IF(COUNT(L527:M527)=2,ABS(L527-M527),"")</f>
        <v>15</v>
      </c>
      <c r="O527" s="37" t="str">
        <f aca="false">IF(N527="","",IF(N527&gt;=Threshold,"Yes","No"))</f>
        <v>No</v>
      </c>
      <c r="P527" s="48" t="str">
        <f aca="false">IFERROR(AVERAGEIFS('Score Entry'!$M$5:$M$1276,'Score Entry'!$B$5:$B$1276,A527,'Score Entry'!$E$5:$E$1276,"Third"),"")</f>
        <v/>
      </c>
      <c r="Q527" s="48" t="n">
        <f aca="false">IF(H527&lt;&gt;"Eligible","",IF(O527="Yes",IF(ISNUMBER(P527),ROUND(AVERAGE(L527,M527,P527),1),""),IF(O527="No",ROUND(AVERAGE(L527:M527),1),"")))</f>
        <v>66.5</v>
      </c>
      <c r="R527" s="37" t="str">
        <f aca="false">IF(H527&lt;&gt;"Eligible","Screened out",IF(COUNT(L527:M527)=0,"Not started",IF(COUNT(L527:M527)=1,"One read done",IF(O527="Yes",IF(ISNUMBER(P527),"Complete","Needs third read"),"Complete"))))</f>
        <v>Complete</v>
      </c>
      <c r="S527" s="37" t="n">
        <f aca="false">IF(Q527="","",COUNTIFS($C$5:$C$600,C527,$Q$5:$Q$600,"&gt;"&amp;Q527)+1)</f>
        <v>82</v>
      </c>
      <c r="T527" s="37" t="str">
        <f aca="false">IF(Q527="","",IF(Q527&gt;=Cutoff,"Yes","No"))</f>
        <v>No</v>
      </c>
      <c r="U527" s="49" t="n">
        <f aca="false">IF(T527="Yes",MIN(F527,INDEX(Settings!$G:$G,MATCH(C527,Settings!$E:$E,0))),0)</f>
        <v>0</v>
      </c>
      <c r="V527" s="49" t="str">
        <f aca="false">IF(T527="Yes",SUMIFS($U$5:$U$600,$C$5:$C$600,C527,$Q$5:$Q$600,"&gt;"&amp;Q527)+U527,"")</f>
        <v/>
      </c>
      <c r="W527" s="37" t="str">
        <f aca="false">IF(T527="Yes",IF(V527&lt;=INDEX(PoolList,MATCH(C527,ProgramList,0)),"Within pool","Over pool"),"")</f>
        <v/>
      </c>
      <c r="X527" s="37" t="str">
        <f aca="false">IF(O527="Yes",COUNTIF($O$5:O527,"Yes"),"")</f>
        <v/>
      </c>
    </row>
    <row r="528" customFormat="false" ht="15" hidden="false" customHeight="false" outlineLevel="0" collapsed="false">
      <c r="A528" s="35" t="s">
        <v>1239</v>
      </c>
      <c r="B528" s="35" t="s">
        <v>1240</v>
      </c>
      <c r="C528" s="35" t="s">
        <v>105</v>
      </c>
      <c r="D528" s="35" t="s">
        <v>174</v>
      </c>
      <c r="E528" s="35" t="s">
        <v>232</v>
      </c>
      <c r="F528" s="42" t="n">
        <v>32500</v>
      </c>
      <c r="G528" s="36" t="n">
        <v>45924</v>
      </c>
      <c r="H528" s="35" t="s">
        <v>54</v>
      </c>
      <c r="I528" s="35" t="s">
        <v>82</v>
      </c>
      <c r="J528" s="35" t="s">
        <v>78</v>
      </c>
      <c r="K528" s="35"/>
      <c r="L528" s="48" t="n">
        <f aca="false">IFERROR(AVERAGEIFS('Score Entry'!$M$5:$M$1276,'Score Entry'!$B$5:$B$1276,A528,'Score Entry'!$E$5:$E$1276,"Primary"),"")</f>
        <v>65</v>
      </c>
      <c r="M528" s="48" t="n">
        <f aca="false">IFERROR(AVERAGEIFS('Score Entry'!$M$5:$M$1276,'Score Entry'!$B$5:$B$1276,A528,'Score Entry'!$E$5:$E$1276,"Secondary"),"")</f>
        <v>54</v>
      </c>
      <c r="N528" s="48" t="n">
        <f aca="false">IF(COUNT(L528:M528)=2,ABS(L528-M528),"")</f>
        <v>11</v>
      </c>
      <c r="O528" s="37" t="str">
        <f aca="false">IF(N528="","",IF(N528&gt;=Threshold,"Yes","No"))</f>
        <v>No</v>
      </c>
      <c r="P528" s="48" t="str">
        <f aca="false">IFERROR(AVERAGEIFS('Score Entry'!$M$5:$M$1276,'Score Entry'!$B$5:$B$1276,A528,'Score Entry'!$E$5:$E$1276,"Third"),"")</f>
        <v/>
      </c>
      <c r="Q528" s="48" t="n">
        <f aca="false">IF(H528&lt;&gt;"Eligible","",IF(O528="Yes",IF(ISNUMBER(P528),ROUND(AVERAGE(L528,M528,P528),1),""),IF(O528="No",ROUND(AVERAGE(L528:M528),1),"")))</f>
        <v>59.5</v>
      </c>
      <c r="R528" s="37" t="str">
        <f aca="false">IF(H528&lt;&gt;"Eligible","Screened out",IF(COUNT(L528:M528)=0,"Not started",IF(COUNT(L528:M528)=1,"One read done",IF(O528="Yes",IF(ISNUMBER(P528),"Complete","Needs third read"),"Complete"))))</f>
        <v>Complete</v>
      </c>
      <c r="S528" s="37" t="n">
        <f aca="false">IF(Q528="","",COUNTIFS($C$5:$C$600,C528,$Q$5:$Q$600,"&gt;"&amp;Q528)+1)</f>
        <v>74</v>
      </c>
      <c r="T528" s="37" t="str">
        <f aca="false">IF(Q528="","",IF(Q528&gt;=Cutoff,"Yes","No"))</f>
        <v>No</v>
      </c>
      <c r="U528" s="49" t="n">
        <f aca="false">IF(T528="Yes",MIN(F528,INDEX(Settings!$G:$G,MATCH(C528,Settings!$E:$E,0))),0)</f>
        <v>0</v>
      </c>
      <c r="V528" s="49" t="str">
        <f aca="false">IF(T528="Yes",SUMIFS($U$5:$U$600,$C$5:$C$600,C528,$Q$5:$Q$600,"&gt;"&amp;Q528)+U528,"")</f>
        <v/>
      </c>
      <c r="W528" s="37" t="str">
        <f aca="false">IF(T528="Yes",IF(V528&lt;=INDEX(PoolList,MATCH(C528,ProgramList,0)),"Within pool","Over pool"),"")</f>
        <v/>
      </c>
      <c r="X528" s="37" t="str">
        <f aca="false">IF(O528="Yes",COUNTIF($O$5:O528,"Yes"),"")</f>
        <v/>
      </c>
    </row>
    <row r="529" customFormat="false" ht="15" hidden="false" customHeight="false" outlineLevel="0" collapsed="false">
      <c r="A529" s="35" t="s">
        <v>1241</v>
      </c>
      <c r="B529" s="35" t="s">
        <v>1242</v>
      </c>
      <c r="C529" s="35" t="s">
        <v>105</v>
      </c>
      <c r="D529" s="35" t="s">
        <v>239</v>
      </c>
      <c r="E529" s="35" t="s">
        <v>554</v>
      </c>
      <c r="F529" s="42" t="n">
        <v>50000</v>
      </c>
      <c r="G529" s="36" t="n">
        <v>45914</v>
      </c>
      <c r="H529" s="35" t="s">
        <v>54</v>
      </c>
      <c r="I529" s="35" t="s">
        <v>85</v>
      </c>
      <c r="J529" s="35" t="s">
        <v>88</v>
      </c>
      <c r="K529" s="35"/>
      <c r="L529" s="48" t="n">
        <f aca="false">IFERROR(AVERAGEIFS('Score Entry'!$M$5:$M$1276,'Score Entry'!$B$5:$B$1276,A529,'Score Entry'!$E$5:$E$1276,"Primary"),"")</f>
        <v>74</v>
      </c>
      <c r="M529" s="48" t="n">
        <f aca="false">IFERROR(AVERAGEIFS('Score Entry'!$M$5:$M$1276,'Score Entry'!$B$5:$B$1276,A529,'Score Entry'!$E$5:$E$1276,"Secondary"),"")</f>
        <v>74</v>
      </c>
      <c r="N529" s="48" t="n">
        <f aca="false">IF(COUNT(L529:M529)=2,ABS(L529-M529),"")</f>
        <v>0</v>
      </c>
      <c r="O529" s="37" t="str">
        <f aca="false">IF(N529="","",IF(N529&gt;=Threshold,"Yes","No"))</f>
        <v>No</v>
      </c>
      <c r="P529" s="48" t="str">
        <f aca="false">IFERROR(AVERAGEIFS('Score Entry'!$M$5:$M$1276,'Score Entry'!$B$5:$B$1276,A529,'Score Entry'!$E$5:$E$1276,"Third"),"")</f>
        <v/>
      </c>
      <c r="Q529" s="48" t="n">
        <f aca="false">IF(H529&lt;&gt;"Eligible","",IF(O529="Yes",IF(ISNUMBER(P529),ROUND(AVERAGE(L529,M529,P529),1),""),IF(O529="No",ROUND(AVERAGE(L529:M529),1),"")))</f>
        <v>74</v>
      </c>
      <c r="R529" s="37" t="str">
        <f aca="false">IF(H529&lt;&gt;"Eligible","Screened out",IF(COUNT(L529:M529)=0,"Not started",IF(COUNT(L529:M529)=1,"One read done",IF(O529="Yes",IF(ISNUMBER(P529),"Complete","Needs third read"),"Complete"))))</f>
        <v>Complete</v>
      </c>
      <c r="S529" s="37" t="n">
        <f aca="false">IF(Q529="","",COUNTIFS($C$5:$C$600,C529,$Q$5:$Q$600,"&gt;"&amp;Q529)+1)</f>
        <v>30</v>
      </c>
      <c r="T529" s="37" t="str">
        <f aca="false">IF(Q529="","",IF(Q529&gt;=Cutoff,"Yes","No"))</f>
        <v>No</v>
      </c>
      <c r="U529" s="49" t="n">
        <f aca="false">IF(T529="Yes",MIN(F529,INDEX(Settings!$G:$G,MATCH(C529,Settings!$E:$E,0))),0)</f>
        <v>0</v>
      </c>
      <c r="V529" s="49" t="str">
        <f aca="false">IF(T529="Yes",SUMIFS($U$5:$U$600,$C$5:$C$600,C529,$Q$5:$Q$600,"&gt;"&amp;Q529)+U529,"")</f>
        <v/>
      </c>
      <c r="W529" s="37" t="str">
        <f aca="false">IF(T529="Yes",IF(V529&lt;=INDEX(PoolList,MATCH(C529,ProgramList,0)),"Within pool","Over pool"),"")</f>
        <v/>
      </c>
      <c r="X529" s="37" t="str">
        <f aca="false">IF(O529="Yes",COUNTIF($O$5:O529,"Yes"),"")</f>
        <v/>
      </c>
    </row>
    <row r="530" customFormat="false" ht="15" hidden="false" customHeight="false" outlineLevel="0" collapsed="false">
      <c r="A530" s="35" t="s">
        <v>1243</v>
      </c>
      <c r="B530" s="35" t="s">
        <v>1244</v>
      </c>
      <c r="C530" s="35" t="s">
        <v>106</v>
      </c>
      <c r="D530" s="35" t="s">
        <v>180</v>
      </c>
      <c r="E530" s="35" t="s">
        <v>252</v>
      </c>
      <c r="F530" s="42" t="n">
        <v>61000</v>
      </c>
      <c r="G530" s="36" t="n">
        <v>45920</v>
      </c>
      <c r="H530" s="35" t="s">
        <v>54</v>
      </c>
      <c r="I530" s="35" t="s">
        <v>94</v>
      </c>
      <c r="J530" s="35" t="s">
        <v>78</v>
      </c>
      <c r="K530" s="35"/>
      <c r="L530" s="48" t="n">
        <f aca="false">IFERROR(AVERAGEIFS('Score Entry'!$M$5:$M$1276,'Score Entry'!$B$5:$B$1276,A530,'Score Entry'!$E$5:$E$1276,"Primary"),"")</f>
        <v>38</v>
      </c>
      <c r="M530" s="48" t="n">
        <f aca="false">IFERROR(AVERAGEIFS('Score Entry'!$M$5:$M$1276,'Score Entry'!$B$5:$B$1276,A530,'Score Entry'!$E$5:$E$1276,"Secondary"),"")</f>
        <v>44</v>
      </c>
      <c r="N530" s="48" t="n">
        <f aca="false">IF(COUNT(L530:M530)=2,ABS(L530-M530),"")</f>
        <v>6</v>
      </c>
      <c r="O530" s="37" t="str">
        <f aca="false">IF(N530="","",IF(N530&gt;=Threshold,"Yes","No"))</f>
        <v>No</v>
      </c>
      <c r="P530" s="48" t="str">
        <f aca="false">IFERROR(AVERAGEIFS('Score Entry'!$M$5:$M$1276,'Score Entry'!$B$5:$B$1276,A530,'Score Entry'!$E$5:$E$1276,"Third"),"")</f>
        <v/>
      </c>
      <c r="Q530" s="48" t="n">
        <f aca="false">IF(H530&lt;&gt;"Eligible","",IF(O530="Yes",IF(ISNUMBER(P530),ROUND(AVERAGE(L530,M530,P530),1),""),IF(O530="No",ROUND(AVERAGE(L530:M530),1),"")))</f>
        <v>41</v>
      </c>
      <c r="R530" s="37" t="str">
        <f aca="false">IF(H530&lt;&gt;"Eligible","Screened out",IF(COUNT(L530:M530)=0,"Not started",IF(COUNT(L530:M530)=1,"One read done",IF(O530="Yes",IF(ISNUMBER(P530),"Complete","Needs third read"),"Complete"))))</f>
        <v>Complete</v>
      </c>
      <c r="S530" s="37" t="n">
        <f aca="false">IF(Q530="","",COUNTIFS($C$5:$C$600,C530,$Q$5:$Q$600,"&gt;"&amp;Q530)+1)</f>
        <v>116</v>
      </c>
      <c r="T530" s="37" t="str">
        <f aca="false">IF(Q530="","",IF(Q530&gt;=Cutoff,"Yes","No"))</f>
        <v>No</v>
      </c>
      <c r="U530" s="49" t="n">
        <f aca="false">IF(T530="Yes",MIN(F530,INDEX(Settings!$G:$G,MATCH(C530,Settings!$E:$E,0))),0)</f>
        <v>0</v>
      </c>
      <c r="V530" s="49" t="str">
        <f aca="false">IF(T530="Yes",SUMIFS($U$5:$U$600,$C$5:$C$600,C530,$Q$5:$Q$600,"&gt;"&amp;Q530)+U530,"")</f>
        <v/>
      </c>
      <c r="W530" s="37" t="str">
        <f aca="false">IF(T530="Yes",IF(V530&lt;=INDEX(PoolList,MATCH(C530,ProgramList,0)),"Within pool","Over pool"),"")</f>
        <v/>
      </c>
      <c r="X530" s="37" t="str">
        <f aca="false">IF(O530="Yes",COUNTIF($O$5:O530,"Yes"),"")</f>
        <v/>
      </c>
    </row>
    <row r="531" customFormat="false" ht="15" hidden="false" customHeight="false" outlineLevel="0" collapsed="false">
      <c r="A531" s="35" t="s">
        <v>1245</v>
      </c>
      <c r="B531" s="35" t="s">
        <v>1246</v>
      </c>
      <c r="C531" s="35" t="s">
        <v>103</v>
      </c>
      <c r="D531" s="35" t="s">
        <v>180</v>
      </c>
      <c r="E531" s="35" t="s">
        <v>252</v>
      </c>
      <c r="F531" s="42" t="n">
        <v>51000</v>
      </c>
      <c r="G531" s="36" t="n">
        <v>45920</v>
      </c>
      <c r="H531" s="35" t="s">
        <v>54</v>
      </c>
      <c r="I531" s="35" t="s">
        <v>85</v>
      </c>
      <c r="J531" s="35" t="s">
        <v>91</v>
      </c>
      <c r="K531" s="35"/>
      <c r="L531" s="48" t="n">
        <f aca="false">IFERROR(AVERAGEIFS('Score Entry'!$M$5:$M$1276,'Score Entry'!$B$5:$B$1276,A531,'Score Entry'!$E$5:$E$1276,"Primary"),"")</f>
        <v>60</v>
      </c>
      <c r="M531" s="48" t="n">
        <f aca="false">IFERROR(AVERAGEIFS('Score Entry'!$M$5:$M$1276,'Score Entry'!$B$5:$B$1276,A531,'Score Entry'!$E$5:$E$1276,"Secondary"),"")</f>
        <v>46</v>
      </c>
      <c r="N531" s="48" t="n">
        <f aca="false">IF(COUNT(L531:M531)=2,ABS(L531-M531),"")</f>
        <v>14</v>
      </c>
      <c r="O531" s="37" t="str">
        <f aca="false">IF(N531="","",IF(N531&gt;=Threshold,"Yes","No"))</f>
        <v>No</v>
      </c>
      <c r="P531" s="48" t="str">
        <f aca="false">IFERROR(AVERAGEIFS('Score Entry'!$M$5:$M$1276,'Score Entry'!$B$5:$B$1276,A531,'Score Entry'!$E$5:$E$1276,"Third"),"")</f>
        <v/>
      </c>
      <c r="Q531" s="48" t="n">
        <f aca="false">IF(H531&lt;&gt;"Eligible","",IF(O531="Yes",IF(ISNUMBER(P531),ROUND(AVERAGE(L531,M531,P531),1),""),IF(O531="No",ROUND(AVERAGE(L531:M531),1),"")))</f>
        <v>53</v>
      </c>
      <c r="R531" s="37" t="str">
        <f aca="false">IF(H531&lt;&gt;"Eligible","Screened out",IF(COUNT(L531:M531)=0,"Not started",IF(COUNT(L531:M531)=1,"One read done",IF(O531="Yes",IF(ISNUMBER(P531),"Complete","Needs third read"),"Complete"))))</f>
        <v>Complete</v>
      </c>
      <c r="S531" s="37" t="n">
        <f aca="false">IF(Q531="","",COUNTIFS($C$5:$C$600,C531,$Q$5:$Q$600,"&gt;"&amp;Q531)+1)</f>
        <v>141</v>
      </c>
      <c r="T531" s="37" t="str">
        <f aca="false">IF(Q531="","",IF(Q531&gt;=Cutoff,"Yes","No"))</f>
        <v>No</v>
      </c>
      <c r="U531" s="49" t="n">
        <f aca="false">IF(T531="Yes",MIN(F531,INDEX(Settings!$G:$G,MATCH(C531,Settings!$E:$E,0))),0)</f>
        <v>0</v>
      </c>
      <c r="V531" s="49" t="str">
        <f aca="false">IF(T531="Yes",SUMIFS($U$5:$U$600,$C$5:$C$600,C531,$Q$5:$Q$600,"&gt;"&amp;Q531)+U531,"")</f>
        <v/>
      </c>
      <c r="W531" s="37" t="str">
        <f aca="false">IF(T531="Yes",IF(V531&lt;=INDEX(PoolList,MATCH(C531,ProgramList,0)),"Within pool","Over pool"),"")</f>
        <v/>
      </c>
      <c r="X531" s="37" t="str">
        <f aca="false">IF(O531="Yes",COUNTIF($O$5:O531,"Yes"),"")</f>
        <v/>
      </c>
    </row>
    <row r="532" customFormat="false" ht="15" hidden="false" customHeight="false" outlineLevel="0" collapsed="false">
      <c r="A532" s="35" t="s">
        <v>1247</v>
      </c>
      <c r="B532" s="35" t="s">
        <v>1248</v>
      </c>
      <c r="C532" s="35" t="s">
        <v>104</v>
      </c>
      <c r="D532" s="35" t="s">
        <v>174</v>
      </c>
      <c r="E532" s="35" t="s">
        <v>175</v>
      </c>
      <c r="F532" s="42" t="n">
        <v>41500</v>
      </c>
      <c r="G532" s="36" t="n">
        <v>45927</v>
      </c>
      <c r="H532" s="35" t="s">
        <v>54</v>
      </c>
      <c r="I532" s="35" t="s">
        <v>88</v>
      </c>
      <c r="J532" s="35" t="s">
        <v>94</v>
      </c>
      <c r="K532" s="35"/>
      <c r="L532" s="48" t="n">
        <f aca="false">IFERROR(AVERAGEIFS('Score Entry'!$M$5:$M$1276,'Score Entry'!$B$5:$B$1276,A532,'Score Entry'!$E$5:$E$1276,"Primary"),"")</f>
        <v>93</v>
      </c>
      <c r="M532" s="48" t="n">
        <f aca="false">IFERROR(AVERAGEIFS('Score Entry'!$M$5:$M$1276,'Score Entry'!$B$5:$B$1276,A532,'Score Entry'!$E$5:$E$1276,"Secondary"),"")</f>
        <v>80</v>
      </c>
      <c r="N532" s="48" t="n">
        <f aca="false">IF(COUNT(L532:M532)=2,ABS(L532-M532),"")</f>
        <v>13</v>
      </c>
      <c r="O532" s="37" t="str">
        <f aca="false">IF(N532="","",IF(N532&gt;=Threshold,"Yes","No"))</f>
        <v>No</v>
      </c>
      <c r="P532" s="48" t="str">
        <f aca="false">IFERROR(AVERAGEIFS('Score Entry'!$M$5:$M$1276,'Score Entry'!$B$5:$B$1276,A532,'Score Entry'!$E$5:$E$1276,"Third"),"")</f>
        <v/>
      </c>
      <c r="Q532" s="48" t="n">
        <f aca="false">IF(H532&lt;&gt;"Eligible","",IF(O532="Yes",IF(ISNUMBER(P532),ROUND(AVERAGE(L532,M532,P532),1),""),IF(O532="No",ROUND(AVERAGE(L532:M532),1),"")))</f>
        <v>86.5</v>
      </c>
      <c r="R532" s="37" t="str">
        <f aca="false">IF(H532&lt;&gt;"Eligible","Screened out",IF(COUNT(L532:M532)=0,"Not started",IF(COUNT(L532:M532)=1,"One read done",IF(O532="Yes",IF(ISNUMBER(P532),"Complete","Needs third read"),"Complete"))))</f>
        <v>Complete</v>
      </c>
      <c r="S532" s="37" t="n">
        <f aca="false">IF(Q532="","",COUNTIFS($C$5:$C$600,C532,$Q$5:$Q$600,"&gt;"&amp;Q532)+1)</f>
        <v>12</v>
      </c>
      <c r="T532" s="37" t="str">
        <f aca="false">IF(Q532="","",IF(Q532&gt;=Cutoff,"Yes","No"))</f>
        <v>Yes</v>
      </c>
      <c r="U532" s="49" t="n">
        <f aca="false">IF(T532="Yes",MIN(F532,INDEX(Settings!$G:$G,MATCH(C532,Settings!$E:$E,0))),0)</f>
        <v>41500</v>
      </c>
      <c r="V532" s="49" t="n">
        <f aca="false">IF(T532="Yes",SUMIFS($U$5:$U$600,$C$5:$C$600,C532,$Q$5:$Q$600,"&gt;"&amp;Q532)+U532,"")</f>
        <v>1143000</v>
      </c>
      <c r="W532" s="37" t="str">
        <f aca="false">IF(T532="Yes",IF(V532&lt;=INDEX(PoolList,MATCH(C532,ProgramList,0)),"Within pool","Over pool"),"")</f>
        <v>Over pool</v>
      </c>
      <c r="X532" s="37" t="str">
        <f aca="false">IF(O532="Yes",COUNTIF($O$5:O532,"Yes"),"")</f>
        <v/>
      </c>
    </row>
    <row r="533" customFormat="false" ht="15" hidden="false" customHeight="false" outlineLevel="0" collapsed="false">
      <c r="A533" s="35" t="s">
        <v>1249</v>
      </c>
      <c r="B533" s="35" t="s">
        <v>1250</v>
      </c>
      <c r="C533" s="35" t="s">
        <v>103</v>
      </c>
      <c r="D533" s="35" t="s">
        <v>239</v>
      </c>
      <c r="E533" s="35" t="s">
        <v>255</v>
      </c>
      <c r="F533" s="42" t="n">
        <v>116000</v>
      </c>
      <c r="G533" s="36" t="n">
        <v>45915</v>
      </c>
      <c r="H533" s="35" t="s">
        <v>54</v>
      </c>
      <c r="I533" s="35" t="s">
        <v>85</v>
      </c>
      <c r="J533" s="35" t="s">
        <v>91</v>
      </c>
      <c r="K533" s="35"/>
      <c r="L533" s="48" t="n">
        <f aca="false">IFERROR(AVERAGEIFS('Score Entry'!$M$5:$M$1276,'Score Entry'!$B$5:$B$1276,A533,'Score Entry'!$E$5:$E$1276,"Primary"),"")</f>
        <v>40</v>
      </c>
      <c r="M533" s="48" t="n">
        <f aca="false">IFERROR(AVERAGEIFS('Score Entry'!$M$5:$M$1276,'Score Entry'!$B$5:$B$1276,A533,'Score Entry'!$E$5:$E$1276,"Secondary"),"")</f>
        <v>27</v>
      </c>
      <c r="N533" s="48" t="n">
        <f aca="false">IF(COUNT(L533:M533)=2,ABS(L533-M533),"")</f>
        <v>13</v>
      </c>
      <c r="O533" s="37" t="str">
        <f aca="false">IF(N533="","",IF(N533&gt;=Threshold,"Yes","No"))</f>
        <v>No</v>
      </c>
      <c r="P533" s="48" t="str">
        <f aca="false">IFERROR(AVERAGEIFS('Score Entry'!$M$5:$M$1276,'Score Entry'!$B$5:$B$1276,A533,'Score Entry'!$E$5:$E$1276,"Third"),"")</f>
        <v/>
      </c>
      <c r="Q533" s="48" t="n">
        <f aca="false">IF(H533&lt;&gt;"Eligible","",IF(O533="Yes",IF(ISNUMBER(P533),ROUND(AVERAGE(L533,M533,P533),1),""),IF(O533="No",ROUND(AVERAGE(L533:M533),1),"")))</f>
        <v>33.5</v>
      </c>
      <c r="R533" s="37" t="str">
        <f aca="false">IF(H533&lt;&gt;"Eligible","Screened out",IF(COUNT(L533:M533)=0,"Not started",IF(COUNT(L533:M533)=1,"One read done",IF(O533="Yes",IF(ISNUMBER(P533),"Complete","Needs third read"),"Complete"))))</f>
        <v>Complete</v>
      </c>
      <c r="S533" s="37" t="n">
        <f aca="false">IF(Q533="","",COUNTIFS($C$5:$C$600,C533,$Q$5:$Q$600,"&gt;"&amp;Q533)+1)</f>
        <v>163</v>
      </c>
      <c r="T533" s="37" t="str">
        <f aca="false">IF(Q533="","",IF(Q533&gt;=Cutoff,"Yes","No"))</f>
        <v>No</v>
      </c>
      <c r="U533" s="49" t="n">
        <f aca="false">IF(T533="Yes",MIN(F533,INDEX(Settings!$G:$G,MATCH(C533,Settings!$E:$E,0))),0)</f>
        <v>0</v>
      </c>
      <c r="V533" s="49" t="str">
        <f aca="false">IF(T533="Yes",SUMIFS($U$5:$U$600,$C$5:$C$600,C533,$Q$5:$Q$600,"&gt;"&amp;Q533)+U533,"")</f>
        <v/>
      </c>
      <c r="W533" s="37" t="str">
        <f aca="false">IF(T533="Yes",IF(V533&lt;=INDEX(PoolList,MATCH(C533,ProgramList,0)),"Within pool","Over pool"),"")</f>
        <v/>
      </c>
      <c r="X533" s="37" t="str">
        <f aca="false">IF(O533="Yes",COUNTIF($O$5:O533,"Yes"),"")</f>
        <v/>
      </c>
    </row>
    <row r="534" customFormat="false" ht="15" hidden="false" customHeight="false" outlineLevel="0" collapsed="false">
      <c r="A534" s="35" t="s">
        <v>1251</v>
      </c>
      <c r="B534" s="35" t="s">
        <v>1252</v>
      </c>
      <c r="C534" s="35" t="s">
        <v>103</v>
      </c>
      <c r="D534" s="35" t="s">
        <v>174</v>
      </c>
      <c r="E534" s="35" t="s">
        <v>175</v>
      </c>
      <c r="F534" s="42" t="n">
        <v>74000</v>
      </c>
      <c r="G534" s="36" t="n">
        <v>45915</v>
      </c>
      <c r="H534" s="35" t="s">
        <v>54</v>
      </c>
      <c r="I534" s="35" t="s">
        <v>82</v>
      </c>
      <c r="J534" s="35" t="s">
        <v>88</v>
      </c>
      <c r="K534" s="35"/>
      <c r="L534" s="48" t="n">
        <f aca="false">IFERROR(AVERAGEIFS('Score Entry'!$M$5:$M$1276,'Score Entry'!$B$5:$B$1276,A534,'Score Entry'!$E$5:$E$1276,"Primary"),"")</f>
        <v>75</v>
      </c>
      <c r="M534" s="48" t="n">
        <f aca="false">IFERROR(AVERAGEIFS('Score Entry'!$M$5:$M$1276,'Score Entry'!$B$5:$B$1276,A534,'Score Entry'!$E$5:$E$1276,"Secondary"),"")</f>
        <v>78</v>
      </c>
      <c r="N534" s="48" t="n">
        <f aca="false">IF(COUNT(L534:M534)=2,ABS(L534-M534),"")</f>
        <v>3</v>
      </c>
      <c r="O534" s="37" t="str">
        <f aca="false">IF(N534="","",IF(N534&gt;=Threshold,"Yes","No"))</f>
        <v>No</v>
      </c>
      <c r="P534" s="48" t="str">
        <f aca="false">IFERROR(AVERAGEIFS('Score Entry'!$M$5:$M$1276,'Score Entry'!$B$5:$B$1276,A534,'Score Entry'!$E$5:$E$1276,"Third"),"")</f>
        <v/>
      </c>
      <c r="Q534" s="48" t="n">
        <f aca="false">IF(H534&lt;&gt;"Eligible","",IF(O534="Yes",IF(ISNUMBER(P534),ROUND(AVERAGE(L534,M534,P534),1),""),IF(O534="No",ROUND(AVERAGE(L534:M534),1),"")))</f>
        <v>76.5</v>
      </c>
      <c r="R534" s="37" t="str">
        <f aca="false">IF(H534&lt;&gt;"Eligible","Screened out",IF(COUNT(L534:M534)=0,"Not started",IF(COUNT(L534:M534)=1,"One read done",IF(O534="Yes",IF(ISNUMBER(P534),"Complete","Needs third read"),"Complete"))))</f>
        <v>Complete</v>
      </c>
      <c r="S534" s="37" t="n">
        <f aca="false">IF(Q534="","",COUNTIFS($C$5:$C$600,C534,$Q$5:$Q$600,"&gt;"&amp;Q534)+1)</f>
        <v>33</v>
      </c>
      <c r="T534" s="37" t="str">
        <f aca="false">IF(Q534="","",IF(Q534&gt;=Cutoff,"Yes","No"))</f>
        <v>No</v>
      </c>
      <c r="U534" s="49" t="n">
        <f aca="false">IF(T534="Yes",MIN(F534,INDEX(Settings!$G:$G,MATCH(C534,Settings!$E:$E,0))),0)</f>
        <v>0</v>
      </c>
      <c r="V534" s="49" t="str">
        <f aca="false">IF(T534="Yes",SUMIFS($U$5:$U$600,$C$5:$C$600,C534,$Q$5:$Q$600,"&gt;"&amp;Q534)+U534,"")</f>
        <v/>
      </c>
      <c r="W534" s="37" t="str">
        <f aca="false">IF(T534="Yes",IF(V534&lt;=INDEX(PoolList,MATCH(C534,ProgramList,0)),"Within pool","Over pool"),"")</f>
        <v/>
      </c>
      <c r="X534" s="37" t="str">
        <f aca="false">IF(O534="Yes",COUNTIF($O$5:O534,"Yes"),"")</f>
        <v/>
      </c>
    </row>
    <row r="535" customFormat="false" ht="15" hidden="false" customHeight="false" outlineLevel="0" collapsed="false">
      <c r="A535" s="35" t="s">
        <v>1253</v>
      </c>
      <c r="B535" s="35" t="s">
        <v>1254</v>
      </c>
      <c r="C535" s="35" t="s">
        <v>104</v>
      </c>
      <c r="D535" s="35" t="s">
        <v>180</v>
      </c>
      <c r="E535" s="35" t="s">
        <v>252</v>
      </c>
      <c r="F535" s="42" t="n">
        <v>167500</v>
      </c>
      <c r="G535" s="36" t="n">
        <v>45926</v>
      </c>
      <c r="H535" s="35" t="s">
        <v>54</v>
      </c>
      <c r="I535" s="35" t="s">
        <v>78</v>
      </c>
      <c r="J535" s="35" t="s">
        <v>91</v>
      </c>
      <c r="K535" s="35"/>
      <c r="L535" s="48" t="n">
        <f aca="false">IFERROR(AVERAGEIFS('Score Entry'!$M$5:$M$1276,'Score Entry'!$B$5:$B$1276,A535,'Score Entry'!$E$5:$E$1276,"Primary"),"")</f>
        <v>62</v>
      </c>
      <c r="M535" s="48" t="str">
        <f aca="false">IFERROR(AVERAGEIFS('Score Entry'!$M$5:$M$1276,'Score Entry'!$B$5:$B$1276,A535,'Score Entry'!$E$5:$E$1276,"Secondary"),"")</f>
        <v/>
      </c>
      <c r="N535" s="48" t="str">
        <f aca="false">IF(COUNT(L535:M535)=2,ABS(L535-M535),"")</f>
        <v/>
      </c>
      <c r="O535" s="37" t="str">
        <f aca="false">IF(N535="","",IF(N535&gt;=Threshold,"Yes","No"))</f>
        <v/>
      </c>
      <c r="P535" s="48" t="str">
        <f aca="false">IFERROR(AVERAGEIFS('Score Entry'!$M$5:$M$1276,'Score Entry'!$B$5:$B$1276,A535,'Score Entry'!$E$5:$E$1276,"Third"),"")</f>
        <v/>
      </c>
      <c r="Q535" s="48" t="str">
        <f aca="false">IF(H535&lt;&gt;"Eligible","",IF(O535="Yes",IF(ISNUMBER(P535),ROUND(AVERAGE(L535,M535,P535),1),""),IF(O535="No",ROUND(AVERAGE(L535:M535),1),"")))</f>
        <v/>
      </c>
      <c r="R535" s="37" t="str">
        <f aca="false">IF(H535&lt;&gt;"Eligible","Screened out",IF(COUNT(L535:M535)=0,"Not started",IF(COUNT(L535:M535)=1,"One read done",IF(O535="Yes",IF(ISNUMBER(P535),"Complete","Needs third read"),"Complete"))))</f>
        <v>One read done</v>
      </c>
      <c r="S535" s="37" t="str">
        <f aca="false">IF(Q535="","",COUNTIFS($C$5:$C$600,C535,$Q$5:$Q$600,"&gt;"&amp;Q535)+1)</f>
        <v/>
      </c>
      <c r="T535" s="37" t="str">
        <f aca="false">IF(Q535="","",IF(Q535&gt;=Cutoff,"Yes","No"))</f>
        <v/>
      </c>
      <c r="U535" s="49" t="n">
        <f aca="false">IF(T535="Yes",MIN(F535,INDEX(Settings!$G:$G,MATCH(C535,Settings!$E:$E,0))),0)</f>
        <v>0</v>
      </c>
      <c r="V535" s="49" t="str">
        <f aca="false">IF(T535="Yes",SUMIFS($U$5:$U$600,$C$5:$C$600,C535,$Q$5:$Q$600,"&gt;"&amp;Q535)+U535,"")</f>
        <v/>
      </c>
      <c r="W535" s="37" t="str">
        <f aca="false">IF(T535="Yes",IF(V535&lt;=INDEX(PoolList,MATCH(C535,ProgramList,0)),"Within pool","Over pool"),"")</f>
        <v/>
      </c>
      <c r="X535" s="37" t="str">
        <f aca="false">IF(O535="Yes",COUNTIF($O$5:O535,"Yes"),"")</f>
        <v/>
      </c>
    </row>
    <row r="536" customFormat="false" ht="15" hidden="false" customHeight="false" outlineLevel="0" collapsed="false">
      <c r="A536" s="35" t="s">
        <v>1255</v>
      </c>
      <c r="B536" s="35" t="s">
        <v>1256</v>
      </c>
      <c r="C536" s="35" t="s">
        <v>103</v>
      </c>
      <c r="D536" s="35" t="s">
        <v>239</v>
      </c>
      <c r="E536" s="35" t="s">
        <v>247</v>
      </c>
      <c r="F536" s="42" t="n">
        <v>123500</v>
      </c>
      <c r="G536" s="36" t="n">
        <v>45915</v>
      </c>
      <c r="H536" s="35" t="s">
        <v>54</v>
      </c>
      <c r="I536" s="35" t="s">
        <v>82</v>
      </c>
      <c r="J536" s="35" t="s">
        <v>94</v>
      </c>
      <c r="K536" s="35"/>
      <c r="L536" s="48" t="n">
        <f aca="false">IFERROR(AVERAGEIFS('Score Entry'!$M$5:$M$1276,'Score Entry'!$B$5:$B$1276,A536,'Score Entry'!$E$5:$E$1276,"Primary"),"")</f>
        <v>62</v>
      </c>
      <c r="M536" s="48" t="n">
        <f aca="false">IFERROR(AVERAGEIFS('Score Entry'!$M$5:$M$1276,'Score Entry'!$B$5:$B$1276,A536,'Score Entry'!$E$5:$E$1276,"Secondary"),"")</f>
        <v>65</v>
      </c>
      <c r="N536" s="48" t="n">
        <f aca="false">IF(COUNT(L536:M536)=2,ABS(L536-M536),"")</f>
        <v>3</v>
      </c>
      <c r="O536" s="37" t="str">
        <f aca="false">IF(N536="","",IF(N536&gt;=Threshold,"Yes","No"))</f>
        <v>No</v>
      </c>
      <c r="P536" s="48" t="str">
        <f aca="false">IFERROR(AVERAGEIFS('Score Entry'!$M$5:$M$1276,'Score Entry'!$B$5:$B$1276,A536,'Score Entry'!$E$5:$E$1276,"Third"),"")</f>
        <v/>
      </c>
      <c r="Q536" s="48" t="n">
        <f aca="false">IF(H536&lt;&gt;"Eligible","",IF(O536="Yes",IF(ISNUMBER(P536),ROUND(AVERAGE(L536,M536,P536),1),""),IF(O536="No",ROUND(AVERAGE(L536:M536),1),"")))</f>
        <v>63.5</v>
      </c>
      <c r="R536" s="37" t="str">
        <f aca="false">IF(H536&lt;&gt;"Eligible","Screened out",IF(COUNT(L536:M536)=0,"Not started",IF(COUNT(L536:M536)=1,"One read done",IF(O536="Yes",IF(ISNUMBER(P536),"Complete","Needs third read"),"Complete"))))</f>
        <v>Complete</v>
      </c>
      <c r="S536" s="37" t="n">
        <f aca="false">IF(Q536="","",COUNTIFS($C$5:$C$600,C536,$Q$5:$Q$600,"&gt;"&amp;Q536)+1)</f>
        <v>98</v>
      </c>
      <c r="T536" s="37" t="str">
        <f aca="false">IF(Q536="","",IF(Q536&gt;=Cutoff,"Yes","No"))</f>
        <v>No</v>
      </c>
      <c r="U536" s="49" t="n">
        <f aca="false">IF(T536="Yes",MIN(F536,INDEX(Settings!$G:$G,MATCH(C536,Settings!$E:$E,0))),0)</f>
        <v>0</v>
      </c>
      <c r="V536" s="49" t="str">
        <f aca="false">IF(T536="Yes",SUMIFS($U$5:$U$600,$C$5:$C$600,C536,$Q$5:$Q$600,"&gt;"&amp;Q536)+U536,"")</f>
        <v/>
      </c>
      <c r="W536" s="37" t="str">
        <f aca="false">IF(T536="Yes",IF(V536&lt;=INDEX(PoolList,MATCH(C536,ProgramList,0)),"Within pool","Over pool"),"")</f>
        <v/>
      </c>
      <c r="X536" s="37" t="str">
        <f aca="false">IF(O536="Yes",COUNTIF($O$5:O536,"Yes"),"")</f>
        <v/>
      </c>
    </row>
    <row r="537" customFormat="false" ht="15" hidden="false" customHeight="false" outlineLevel="0" collapsed="false">
      <c r="A537" s="35" t="s">
        <v>1257</v>
      </c>
      <c r="B537" s="35" t="s">
        <v>1258</v>
      </c>
      <c r="C537" s="35" t="s">
        <v>103</v>
      </c>
      <c r="D537" s="35" t="s">
        <v>174</v>
      </c>
      <c r="E537" s="35" t="s">
        <v>175</v>
      </c>
      <c r="F537" s="42" t="n">
        <v>44500</v>
      </c>
      <c r="G537" s="36" t="n">
        <v>45925</v>
      </c>
      <c r="H537" s="35" t="s">
        <v>54</v>
      </c>
      <c r="I537" s="35" t="s">
        <v>85</v>
      </c>
      <c r="J537" s="35" t="s">
        <v>78</v>
      </c>
      <c r="K537" s="35"/>
      <c r="L537" s="48" t="n">
        <f aca="false">IFERROR(AVERAGEIFS('Score Entry'!$M$5:$M$1276,'Score Entry'!$B$5:$B$1276,A537,'Score Entry'!$E$5:$E$1276,"Primary"),"")</f>
        <v>86</v>
      </c>
      <c r="M537" s="48" t="n">
        <f aca="false">IFERROR(AVERAGEIFS('Score Entry'!$M$5:$M$1276,'Score Entry'!$B$5:$B$1276,A537,'Score Entry'!$E$5:$E$1276,"Secondary"),"")</f>
        <v>96</v>
      </c>
      <c r="N537" s="48" t="n">
        <f aca="false">IF(COUNT(L537:M537)=2,ABS(L537-M537),"")</f>
        <v>10</v>
      </c>
      <c r="O537" s="37" t="str">
        <f aca="false">IF(N537="","",IF(N537&gt;=Threshold,"Yes","No"))</f>
        <v>No</v>
      </c>
      <c r="P537" s="48" t="str">
        <f aca="false">IFERROR(AVERAGEIFS('Score Entry'!$M$5:$M$1276,'Score Entry'!$B$5:$B$1276,A537,'Score Entry'!$E$5:$E$1276,"Third"),"")</f>
        <v/>
      </c>
      <c r="Q537" s="48" t="n">
        <f aca="false">IF(H537&lt;&gt;"Eligible","",IF(O537="Yes",IF(ISNUMBER(P537),ROUND(AVERAGE(L537,M537,P537),1),""),IF(O537="No",ROUND(AVERAGE(L537:M537),1),"")))</f>
        <v>91</v>
      </c>
      <c r="R537" s="37" t="str">
        <f aca="false">IF(H537&lt;&gt;"Eligible","Screened out",IF(COUNT(L537:M537)=0,"Not started",IF(COUNT(L537:M537)=1,"One read done",IF(O537="Yes",IF(ISNUMBER(P537),"Complete","Needs third read"),"Complete"))))</f>
        <v>Complete</v>
      </c>
      <c r="S537" s="37" t="n">
        <f aca="false">IF(Q537="","",COUNTIFS($C$5:$C$600,C537,$Q$5:$Q$600,"&gt;"&amp;Q537)+1)</f>
        <v>6</v>
      </c>
      <c r="T537" s="37" t="str">
        <f aca="false">IF(Q537="","",IF(Q537&gt;=Cutoff,"Yes","No"))</f>
        <v>Yes</v>
      </c>
      <c r="U537" s="49" t="n">
        <f aca="false">IF(T537="Yes",MIN(F537,INDEX(Settings!$G:$G,MATCH(C537,Settings!$E:$E,0))),0)</f>
        <v>44500</v>
      </c>
      <c r="V537" s="49" t="n">
        <f aca="false">IF(T537="Yes",SUMIFS($U$5:$U$600,$C$5:$C$600,C537,$Q$5:$Q$600,"&gt;"&amp;Q537)+U537,"")</f>
        <v>531500</v>
      </c>
      <c r="W537" s="37" t="str">
        <f aca="false">IF(T537="Yes",IF(V537&lt;=INDEX(PoolList,MATCH(C537,ProgramList,0)),"Within pool","Over pool"),"")</f>
        <v>Within pool</v>
      </c>
      <c r="X537" s="37" t="str">
        <f aca="false">IF(O537="Yes",COUNTIF($O$5:O537,"Yes"),"")</f>
        <v/>
      </c>
    </row>
    <row r="538" customFormat="false" ht="15" hidden="false" customHeight="false" outlineLevel="0" collapsed="false">
      <c r="A538" s="35" t="s">
        <v>1259</v>
      </c>
      <c r="B538" s="35" t="s">
        <v>1260</v>
      </c>
      <c r="C538" s="35" t="s">
        <v>103</v>
      </c>
      <c r="D538" s="35" t="s">
        <v>174</v>
      </c>
      <c r="E538" s="35" t="s">
        <v>175</v>
      </c>
      <c r="F538" s="42" t="n">
        <v>110000</v>
      </c>
      <c r="G538" s="36" t="n">
        <v>45920</v>
      </c>
      <c r="H538" s="35" t="s">
        <v>54</v>
      </c>
      <c r="I538" s="35" t="s">
        <v>82</v>
      </c>
      <c r="J538" s="35" t="s">
        <v>85</v>
      </c>
      <c r="K538" s="35"/>
      <c r="L538" s="48" t="n">
        <f aca="false">IFERROR(AVERAGEIFS('Score Entry'!$M$5:$M$1276,'Score Entry'!$B$5:$B$1276,A538,'Score Entry'!$E$5:$E$1276,"Primary"),"")</f>
        <v>50</v>
      </c>
      <c r="M538" s="48" t="n">
        <f aca="false">IFERROR(AVERAGEIFS('Score Entry'!$M$5:$M$1276,'Score Entry'!$B$5:$B$1276,A538,'Score Entry'!$E$5:$E$1276,"Secondary"),"")</f>
        <v>55</v>
      </c>
      <c r="N538" s="48" t="n">
        <f aca="false">IF(COUNT(L538:M538)=2,ABS(L538-M538),"")</f>
        <v>5</v>
      </c>
      <c r="O538" s="37" t="str">
        <f aca="false">IF(N538="","",IF(N538&gt;=Threshold,"Yes","No"))</f>
        <v>No</v>
      </c>
      <c r="P538" s="48" t="str">
        <f aca="false">IFERROR(AVERAGEIFS('Score Entry'!$M$5:$M$1276,'Score Entry'!$B$5:$B$1276,A538,'Score Entry'!$E$5:$E$1276,"Third"),"")</f>
        <v/>
      </c>
      <c r="Q538" s="48" t="n">
        <f aca="false">IF(H538&lt;&gt;"Eligible","",IF(O538="Yes",IF(ISNUMBER(P538),ROUND(AVERAGE(L538,M538,P538),1),""),IF(O538="No",ROUND(AVERAGE(L538:M538),1),"")))</f>
        <v>52.5</v>
      </c>
      <c r="R538" s="37" t="str">
        <f aca="false">IF(H538&lt;&gt;"Eligible","Screened out",IF(COUNT(L538:M538)=0,"Not started",IF(COUNT(L538:M538)=1,"One read done",IF(O538="Yes",IF(ISNUMBER(P538),"Complete","Needs third read"),"Complete"))))</f>
        <v>Complete</v>
      </c>
      <c r="S538" s="37" t="n">
        <f aca="false">IF(Q538="","",COUNTIFS($C$5:$C$600,C538,$Q$5:$Q$600,"&gt;"&amp;Q538)+1)</f>
        <v>145</v>
      </c>
      <c r="T538" s="37" t="str">
        <f aca="false">IF(Q538="","",IF(Q538&gt;=Cutoff,"Yes","No"))</f>
        <v>No</v>
      </c>
      <c r="U538" s="49" t="n">
        <f aca="false">IF(T538="Yes",MIN(F538,INDEX(Settings!$G:$G,MATCH(C538,Settings!$E:$E,0))),0)</f>
        <v>0</v>
      </c>
      <c r="V538" s="49" t="str">
        <f aca="false">IF(T538="Yes",SUMIFS($U$5:$U$600,$C$5:$C$600,C538,$Q$5:$Q$600,"&gt;"&amp;Q538)+U538,"")</f>
        <v/>
      </c>
      <c r="W538" s="37" t="str">
        <f aca="false">IF(T538="Yes",IF(V538&lt;=INDEX(PoolList,MATCH(C538,ProgramList,0)),"Within pool","Over pool"),"")</f>
        <v/>
      </c>
      <c r="X538" s="37" t="str">
        <f aca="false">IF(O538="Yes",COUNTIF($O$5:O538,"Yes"),"")</f>
        <v/>
      </c>
    </row>
    <row r="539" customFormat="false" ht="15" hidden="false" customHeight="false" outlineLevel="0" collapsed="false">
      <c r="A539" s="35" t="s">
        <v>1261</v>
      </c>
      <c r="B539" s="35" t="s">
        <v>1262</v>
      </c>
      <c r="C539" s="35" t="s">
        <v>103</v>
      </c>
      <c r="D539" s="35" t="s">
        <v>190</v>
      </c>
      <c r="E539" s="35" t="s">
        <v>363</v>
      </c>
      <c r="F539" s="42" t="n">
        <v>39000</v>
      </c>
      <c r="G539" s="36" t="n">
        <v>45917</v>
      </c>
      <c r="H539" s="35" t="s">
        <v>54</v>
      </c>
      <c r="I539" s="35" t="s">
        <v>85</v>
      </c>
      <c r="J539" s="35" t="s">
        <v>91</v>
      </c>
      <c r="K539" s="35" t="s">
        <v>88</v>
      </c>
      <c r="L539" s="48" t="n">
        <f aca="false">IFERROR(AVERAGEIFS('Score Entry'!$M$5:$M$1276,'Score Entry'!$B$5:$B$1276,A539,'Score Entry'!$E$5:$E$1276,"Primary"),"")</f>
        <v>62</v>
      </c>
      <c r="M539" s="48" t="n">
        <f aca="false">IFERROR(AVERAGEIFS('Score Entry'!$M$5:$M$1276,'Score Entry'!$B$5:$B$1276,A539,'Score Entry'!$E$5:$E$1276,"Secondary"),"")</f>
        <v>80</v>
      </c>
      <c r="N539" s="48" t="n">
        <f aca="false">IF(COUNT(L539:M539)=2,ABS(L539-M539),"")</f>
        <v>18</v>
      </c>
      <c r="O539" s="37" t="str">
        <f aca="false">IF(N539="","",IF(N539&gt;=Threshold,"Yes","No"))</f>
        <v>Yes</v>
      </c>
      <c r="P539" s="48" t="str">
        <f aca="false">IFERROR(AVERAGEIFS('Score Entry'!$M$5:$M$1276,'Score Entry'!$B$5:$B$1276,A539,'Score Entry'!$E$5:$E$1276,"Third"),"")</f>
        <v/>
      </c>
      <c r="Q539" s="48" t="str">
        <f aca="false">IF(H539&lt;&gt;"Eligible","",IF(O539="Yes",IF(ISNUMBER(P539),ROUND(AVERAGE(L539,M539,P539),1),""),IF(O539="No",ROUND(AVERAGE(L539:M539),1),"")))</f>
        <v/>
      </c>
      <c r="R539" s="37" t="str">
        <f aca="false">IF(H539&lt;&gt;"Eligible","Screened out",IF(COUNT(L539:M539)=0,"Not started",IF(COUNT(L539:M539)=1,"One read done",IF(O539="Yes",IF(ISNUMBER(P539),"Complete","Needs third read"),"Complete"))))</f>
        <v>Needs third read</v>
      </c>
      <c r="S539" s="37" t="str">
        <f aca="false">IF(Q539="","",COUNTIFS($C$5:$C$600,C539,$Q$5:$Q$600,"&gt;"&amp;Q539)+1)</f>
        <v/>
      </c>
      <c r="T539" s="37" t="str">
        <f aca="false">IF(Q539="","",IF(Q539&gt;=Cutoff,"Yes","No"))</f>
        <v/>
      </c>
      <c r="U539" s="49" t="n">
        <f aca="false">IF(T539="Yes",MIN(F539,INDEX(Settings!$G:$G,MATCH(C539,Settings!$E:$E,0))),0)</f>
        <v>0</v>
      </c>
      <c r="V539" s="49" t="str">
        <f aca="false">IF(T539="Yes",SUMIFS($U$5:$U$600,$C$5:$C$600,C539,$Q$5:$Q$600,"&gt;"&amp;Q539)+U539,"")</f>
        <v/>
      </c>
      <c r="W539" s="37" t="str">
        <f aca="false">IF(T539="Yes",IF(V539&lt;=INDEX(PoolList,MATCH(C539,ProgramList,0)),"Within pool","Over pool"),"")</f>
        <v/>
      </c>
      <c r="X539" s="37" t="n">
        <f aca="false">IF(O539="Yes",COUNTIF($O$5:O539,"Yes"),"")</f>
        <v>64</v>
      </c>
    </row>
    <row r="540" customFormat="false" ht="15" hidden="false" customHeight="false" outlineLevel="0" collapsed="false">
      <c r="A540" s="35" t="s">
        <v>1263</v>
      </c>
      <c r="B540" s="35" t="s">
        <v>1264</v>
      </c>
      <c r="C540" s="35" t="s">
        <v>106</v>
      </c>
      <c r="D540" s="35" t="s">
        <v>174</v>
      </c>
      <c r="E540" s="35" t="s">
        <v>175</v>
      </c>
      <c r="F540" s="42" t="n">
        <v>32000</v>
      </c>
      <c r="G540" s="36" t="n">
        <v>45927</v>
      </c>
      <c r="H540" s="35" t="s">
        <v>96</v>
      </c>
      <c r="I540" s="35"/>
      <c r="J540" s="35"/>
      <c r="K540" s="35"/>
      <c r="L540" s="48" t="str">
        <f aca="false">IFERROR(AVERAGEIFS('Score Entry'!$M$5:$M$1276,'Score Entry'!$B$5:$B$1276,A540,'Score Entry'!$E$5:$E$1276,"Primary"),"")</f>
        <v/>
      </c>
      <c r="M540" s="48" t="str">
        <f aca="false">IFERROR(AVERAGEIFS('Score Entry'!$M$5:$M$1276,'Score Entry'!$B$5:$B$1276,A540,'Score Entry'!$E$5:$E$1276,"Secondary"),"")</f>
        <v/>
      </c>
      <c r="N540" s="48" t="str">
        <f aca="false">IF(COUNT(L540:M540)=2,ABS(L540-M540),"")</f>
        <v/>
      </c>
      <c r="O540" s="37" t="str">
        <f aca="false">IF(N540="","",IF(N540&gt;=Threshold,"Yes","No"))</f>
        <v/>
      </c>
      <c r="P540" s="48" t="str">
        <f aca="false">IFERROR(AVERAGEIFS('Score Entry'!$M$5:$M$1276,'Score Entry'!$B$5:$B$1276,A540,'Score Entry'!$E$5:$E$1276,"Third"),"")</f>
        <v/>
      </c>
      <c r="Q540" s="48" t="str">
        <f aca="false">IF(H540&lt;&gt;"Eligible","",IF(O540="Yes",IF(ISNUMBER(P540),ROUND(AVERAGE(L540,M540,P540),1),""),IF(O540="No",ROUND(AVERAGE(L540:M540),1),"")))</f>
        <v/>
      </c>
      <c r="R540" s="37" t="str">
        <f aca="false">IF(H540&lt;&gt;"Eligible","Screened out",IF(COUNT(L540:M540)=0,"Not started",IF(COUNT(L540:M540)=1,"One read done",IF(O540="Yes",IF(ISNUMBER(P540),"Complete","Needs third read"),"Complete"))))</f>
        <v>Screened out</v>
      </c>
      <c r="S540" s="37" t="str">
        <f aca="false">IF(Q540="","",COUNTIFS($C$5:$C$600,C540,$Q$5:$Q$600,"&gt;"&amp;Q540)+1)</f>
        <v/>
      </c>
      <c r="T540" s="37" t="str">
        <f aca="false">IF(Q540="","",IF(Q540&gt;=Cutoff,"Yes","No"))</f>
        <v/>
      </c>
      <c r="U540" s="49" t="n">
        <f aca="false">IF(T540="Yes",MIN(F540,INDEX(Settings!$G:$G,MATCH(C540,Settings!$E:$E,0))),0)</f>
        <v>0</v>
      </c>
      <c r="V540" s="49" t="str">
        <f aca="false">IF(T540="Yes",SUMIFS($U$5:$U$600,$C$5:$C$600,C540,$Q$5:$Q$600,"&gt;"&amp;Q540)+U540,"")</f>
        <v/>
      </c>
      <c r="W540" s="37" t="str">
        <f aca="false">IF(T540="Yes",IF(V540&lt;=INDEX(PoolList,MATCH(C540,ProgramList,0)),"Within pool","Over pool"),"")</f>
        <v/>
      </c>
      <c r="X540" s="37" t="str">
        <f aca="false">IF(O540="Yes",COUNTIF($O$5:O540,"Yes"),"")</f>
        <v/>
      </c>
    </row>
    <row r="541" customFormat="false" ht="15" hidden="false" customHeight="false" outlineLevel="0" collapsed="false">
      <c r="A541" s="35" t="s">
        <v>1265</v>
      </c>
      <c r="B541" s="35" t="s">
        <v>1266</v>
      </c>
      <c r="C541" s="35" t="s">
        <v>106</v>
      </c>
      <c r="D541" s="35" t="s">
        <v>174</v>
      </c>
      <c r="E541" s="35" t="s">
        <v>175</v>
      </c>
      <c r="F541" s="42" t="n">
        <v>72000</v>
      </c>
      <c r="G541" s="36" t="n">
        <v>45927</v>
      </c>
      <c r="H541" s="35" t="s">
        <v>54</v>
      </c>
      <c r="I541" s="35" t="s">
        <v>88</v>
      </c>
      <c r="J541" s="35" t="s">
        <v>94</v>
      </c>
      <c r="K541" s="35"/>
      <c r="L541" s="48" t="n">
        <f aca="false">IFERROR(AVERAGEIFS('Score Entry'!$M$5:$M$1276,'Score Entry'!$B$5:$B$1276,A541,'Score Entry'!$E$5:$E$1276,"Primary"),"")</f>
        <v>58</v>
      </c>
      <c r="M541" s="48" t="n">
        <f aca="false">IFERROR(AVERAGEIFS('Score Entry'!$M$5:$M$1276,'Score Entry'!$B$5:$B$1276,A541,'Score Entry'!$E$5:$E$1276,"Secondary"),"")</f>
        <v>55</v>
      </c>
      <c r="N541" s="48" t="n">
        <f aca="false">IF(COUNT(L541:M541)=2,ABS(L541-M541),"")</f>
        <v>3</v>
      </c>
      <c r="O541" s="37" t="str">
        <f aca="false">IF(N541="","",IF(N541&gt;=Threshold,"Yes","No"))</f>
        <v>No</v>
      </c>
      <c r="P541" s="48" t="str">
        <f aca="false">IFERROR(AVERAGEIFS('Score Entry'!$M$5:$M$1276,'Score Entry'!$B$5:$B$1276,A541,'Score Entry'!$E$5:$E$1276,"Third"),"")</f>
        <v/>
      </c>
      <c r="Q541" s="48" t="n">
        <f aca="false">IF(H541&lt;&gt;"Eligible","",IF(O541="Yes",IF(ISNUMBER(P541),ROUND(AVERAGE(L541,M541,P541),1),""),IF(O541="No",ROUND(AVERAGE(L541:M541),1),"")))</f>
        <v>56.5</v>
      </c>
      <c r="R541" s="37" t="str">
        <f aca="false">IF(H541&lt;&gt;"Eligible","Screened out",IF(COUNT(L541:M541)=0,"Not started",IF(COUNT(L541:M541)=1,"One read done",IF(O541="Yes",IF(ISNUMBER(P541),"Complete","Needs third read"),"Complete"))))</f>
        <v>Complete</v>
      </c>
      <c r="S541" s="37" t="n">
        <f aca="false">IF(Q541="","",COUNTIFS($C$5:$C$600,C541,$Q$5:$Q$600,"&gt;"&amp;Q541)+1)</f>
        <v>96</v>
      </c>
      <c r="T541" s="37" t="str">
        <f aca="false">IF(Q541="","",IF(Q541&gt;=Cutoff,"Yes","No"))</f>
        <v>No</v>
      </c>
      <c r="U541" s="49" t="n">
        <f aca="false">IF(T541="Yes",MIN(F541,INDEX(Settings!$G:$G,MATCH(C541,Settings!$E:$E,0))),0)</f>
        <v>0</v>
      </c>
      <c r="V541" s="49" t="str">
        <f aca="false">IF(T541="Yes",SUMIFS($U$5:$U$600,$C$5:$C$600,C541,$Q$5:$Q$600,"&gt;"&amp;Q541)+U541,"")</f>
        <v/>
      </c>
      <c r="W541" s="37" t="str">
        <f aca="false">IF(T541="Yes",IF(V541&lt;=INDEX(PoolList,MATCH(C541,ProgramList,0)),"Within pool","Over pool"),"")</f>
        <v/>
      </c>
      <c r="X541" s="37" t="str">
        <f aca="false">IF(O541="Yes",COUNTIF($O$5:O541,"Yes"),"")</f>
        <v/>
      </c>
    </row>
    <row r="542" customFormat="false" ht="15" hidden="false" customHeight="false" outlineLevel="0" collapsed="false">
      <c r="A542" s="35" t="s">
        <v>1267</v>
      </c>
      <c r="B542" s="35" t="s">
        <v>1268</v>
      </c>
      <c r="C542" s="35" t="s">
        <v>103</v>
      </c>
      <c r="D542" s="35" t="s">
        <v>190</v>
      </c>
      <c r="E542" s="35" t="s">
        <v>298</v>
      </c>
      <c r="F542" s="42" t="n">
        <v>77500</v>
      </c>
      <c r="G542" s="36" t="n">
        <v>45923</v>
      </c>
      <c r="H542" s="35" t="s">
        <v>54</v>
      </c>
      <c r="I542" s="35" t="s">
        <v>88</v>
      </c>
      <c r="J542" s="35" t="s">
        <v>91</v>
      </c>
      <c r="K542" s="35"/>
      <c r="L542" s="48" t="n">
        <f aca="false">IFERROR(AVERAGEIFS('Score Entry'!$M$5:$M$1276,'Score Entry'!$B$5:$B$1276,A542,'Score Entry'!$E$5:$E$1276,"Primary"),"")</f>
        <v>43</v>
      </c>
      <c r="M542" s="48" t="n">
        <f aca="false">IFERROR(AVERAGEIFS('Score Entry'!$M$5:$M$1276,'Score Entry'!$B$5:$B$1276,A542,'Score Entry'!$E$5:$E$1276,"Secondary"),"")</f>
        <v>46</v>
      </c>
      <c r="N542" s="48" t="n">
        <f aca="false">IF(COUNT(L542:M542)=2,ABS(L542-M542),"")</f>
        <v>3</v>
      </c>
      <c r="O542" s="37" t="str">
        <f aca="false">IF(N542="","",IF(N542&gt;=Threshold,"Yes","No"))</f>
        <v>No</v>
      </c>
      <c r="P542" s="48" t="str">
        <f aca="false">IFERROR(AVERAGEIFS('Score Entry'!$M$5:$M$1276,'Score Entry'!$B$5:$B$1276,A542,'Score Entry'!$E$5:$E$1276,"Third"),"")</f>
        <v/>
      </c>
      <c r="Q542" s="48" t="n">
        <f aca="false">IF(H542&lt;&gt;"Eligible","",IF(O542="Yes",IF(ISNUMBER(P542),ROUND(AVERAGE(L542,M542,P542),1),""),IF(O542="No",ROUND(AVERAGE(L542:M542),1),"")))</f>
        <v>44.5</v>
      </c>
      <c r="R542" s="37" t="str">
        <f aca="false">IF(H542&lt;&gt;"Eligible","Screened out",IF(COUNT(L542:M542)=0,"Not started",IF(COUNT(L542:M542)=1,"One read done",IF(O542="Yes",IF(ISNUMBER(P542),"Complete","Needs third read"),"Complete"))))</f>
        <v>Complete</v>
      </c>
      <c r="S542" s="37" t="n">
        <f aca="false">IF(Q542="","",COUNTIFS($C$5:$C$600,C542,$Q$5:$Q$600,"&gt;"&amp;Q542)+1)</f>
        <v>158</v>
      </c>
      <c r="T542" s="37" t="str">
        <f aca="false">IF(Q542="","",IF(Q542&gt;=Cutoff,"Yes","No"))</f>
        <v>No</v>
      </c>
      <c r="U542" s="49" t="n">
        <f aca="false">IF(T542="Yes",MIN(F542,INDEX(Settings!$G:$G,MATCH(C542,Settings!$E:$E,0))),0)</f>
        <v>0</v>
      </c>
      <c r="V542" s="49" t="str">
        <f aca="false">IF(T542="Yes",SUMIFS($U$5:$U$600,$C$5:$C$600,C542,$Q$5:$Q$600,"&gt;"&amp;Q542)+U542,"")</f>
        <v/>
      </c>
      <c r="W542" s="37" t="str">
        <f aca="false">IF(T542="Yes",IF(V542&lt;=INDEX(PoolList,MATCH(C542,ProgramList,0)),"Within pool","Over pool"),"")</f>
        <v/>
      </c>
      <c r="X542" s="37" t="str">
        <f aca="false">IF(O542="Yes",COUNTIF($O$5:O542,"Yes"),"")</f>
        <v/>
      </c>
    </row>
    <row r="543" customFormat="false" ht="15" hidden="false" customHeight="false" outlineLevel="0" collapsed="false">
      <c r="A543" s="35" t="s">
        <v>1269</v>
      </c>
      <c r="B543" s="35" t="s">
        <v>1270</v>
      </c>
      <c r="C543" s="35" t="s">
        <v>105</v>
      </c>
      <c r="D543" s="35" t="s">
        <v>174</v>
      </c>
      <c r="E543" s="35" t="s">
        <v>175</v>
      </c>
      <c r="F543" s="42" t="n">
        <v>38000</v>
      </c>
      <c r="G543" s="36" t="n">
        <v>45927</v>
      </c>
      <c r="H543" s="35" t="s">
        <v>54</v>
      </c>
      <c r="I543" s="35" t="s">
        <v>78</v>
      </c>
      <c r="J543" s="35" t="s">
        <v>91</v>
      </c>
      <c r="K543" s="35"/>
      <c r="L543" s="48" t="n">
        <f aca="false">IFERROR(AVERAGEIFS('Score Entry'!$M$5:$M$1276,'Score Entry'!$B$5:$B$1276,A543,'Score Entry'!$E$5:$E$1276,"Primary"),"")</f>
        <v>38</v>
      </c>
      <c r="M543" s="48" t="n">
        <f aca="false">IFERROR(AVERAGEIFS('Score Entry'!$M$5:$M$1276,'Score Entry'!$B$5:$B$1276,A543,'Score Entry'!$E$5:$E$1276,"Secondary"),"")</f>
        <v>47</v>
      </c>
      <c r="N543" s="48" t="n">
        <f aca="false">IF(COUNT(L543:M543)=2,ABS(L543-M543),"")</f>
        <v>9</v>
      </c>
      <c r="O543" s="37" t="str">
        <f aca="false">IF(N543="","",IF(N543&gt;=Threshold,"Yes","No"))</f>
        <v>No</v>
      </c>
      <c r="P543" s="48" t="str">
        <f aca="false">IFERROR(AVERAGEIFS('Score Entry'!$M$5:$M$1276,'Score Entry'!$B$5:$B$1276,A543,'Score Entry'!$E$5:$E$1276,"Third"),"")</f>
        <v/>
      </c>
      <c r="Q543" s="48" t="n">
        <f aca="false">IF(H543&lt;&gt;"Eligible","",IF(O543="Yes",IF(ISNUMBER(P543),ROUND(AVERAGE(L543,M543,P543),1),""),IF(O543="No",ROUND(AVERAGE(L543:M543),1),"")))</f>
        <v>42.5</v>
      </c>
      <c r="R543" s="37" t="str">
        <f aca="false">IF(H543&lt;&gt;"Eligible","Screened out",IF(COUNT(L543:M543)=0,"Not started",IF(COUNT(L543:M543)=1,"One read done",IF(O543="Yes",IF(ISNUMBER(P543),"Complete","Needs third read"),"Complete"))))</f>
        <v>Complete</v>
      </c>
      <c r="S543" s="37" t="n">
        <f aca="false">IF(Q543="","",COUNTIFS($C$5:$C$600,C543,$Q$5:$Q$600,"&gt;"&amp;Q543)+1)</f>
        <v>99</v>
      </c>
      <c r="T543" s="37" t="str">
        <f aca="false">IF(Q543="","",IF(Q543&gt;=Cutoff,"Yes","No"))</f>
        <v>No</v>
      </c>
      <c r="U543" s="49" t="n">
        <f aca="false">IF(T543="Yes",MIN(F543,INDEX(Settings!$G:$G,MATCH(C543,Settings!$E:$E,0))),0)</f>
        <v>0</v>
      </c>
      <c r="V543" s="49" t="str">
        <f aca="false">IF(T543="Yes",SUMIFS($U$5:$U$600,$C$5:$C$600,C543,$Q$5:$Q$600,"&gt;"&amp;Q543)+U543,"")</f>
        <v/>
      </c>
      <c r="W543" s="37" t="str">
        <f aca="false">IF(T543="Yes",IF(V543&lt;=INDEX(PoolList,MATCH(C543,ProgramList,0)),"Within pool","Over pool"),"")</f>
        <v/>
      </c>
      <c r="X543" s="37" t="str">
        <f aca="false">IF(O543="Yes",COUNTIF($O$5:O543,"Yes"),"")</f>
        <v/>
      </c>
    </row>
    <row r="544" customFormat="false" ht="15" hidden="false" customHeight="false" outlineLevel="0" collapsed="false">
      <c r="A544" s="35" t="s">
        <v>1271</v>
      </c>
      <c r="B544" s="35" t="s">
        <v>1272</v>
      </c>
      <c r="C544" s="35" t="s">
        <v>105</v>
      </c>
      <c r="D544" s="35" t="s">
        <v>180</v>
      </c>
      <c r="E544" s="35" t="s">
        <v>218</v>
      </c>
      <c r="F544" s="42" t="n">
        <v>133500</v>
      </c>
      <c r="G544" s="36" t="n">
        <v>45913</v>
      </c>
      <c r="H544" s="35" t="s">
        <v>54</v>
      </c>
      <c r="I544" s="35" t="s">
        <v>82</v>
      </c>
      <c r="J544" s="35" t="s">
        <v>85</v>
      </c>
      <c r="K544" s="35"/>
      <c r="L544" s="48" t="n">
        <f aca="false">IFERROR(AVERAGEIFS('Score Entry'!$M$5:$M$1276,'Score Entry'!$B$5:$B$1276,A544,'Score Entry'!$E$5:$E$1276,"Primary"),"")</f>
        <v>70</v>
      </c>
      <c r="M544" s="48" t="n">
        <f aca="false">IFERROR(AVERAGEIFS('Score Entry'!$M$5:$M$1276,'Score Entry'!$B$5:$B$1276,A544,'Score Entry'!$E$5:$E$1276,"Secondary"),"")</f>
        <v>67</v>
      </c>
      <c r="N544" s="48" t="n">
        <f aca="false">IF(COUNT(L544:M544)=2,ABS(L544-M544),"")</f>
        <v>3</v>
      </c>
      <c r="O544" s="37" t="str">
        <f aca="false">IF(N544="","",IF(N544&gt;=Threshold,"Yes","No"))</f>
        <v>No</v>
      </c>
      <c r="P544" s="48" t="str">
        <f aca="false">IFERROR(AVERAGEIFS('Score Entry'!$M$5:$M$1276,'Score Entry'!$B$5:$B$1276,A544,'Score Entry'!$E$5:$E$1276,"Third"),"")</f>
        <v/>
      </c>
      <c r="Q544" s="48" t="n">
        <f aca="false">IF(H544&lt;&gt;"Eligible","",IF(O544="Yes",IF(ISNUMBER(P544),ROUND(AVERAGE(L544,M544,P544),1),""),IF(O544="No",ROUND(AVERAGE(L544:M544),1),"")))</f>
        <v>68.5</v>
      </c>
      <c r="R544" s="37" t="str">
        <f aca="false">IF(H544&lt;&gt;"Eligible","Screened out",IF(COUNT(L544:M544)=0,"Not started",IF(COUNT(L544:M544)=1,"One read done",IF(O544="Yes",IF(ISNUMBER(P544),"Complete","Needs third read"),"Complete"))))</f>
        <v>Complete</v>
      </c>
      <c r="S544" s="37" t="n">
        <f aca="false">IF(Q544="","",COUNTIFS($C$5:$C$600,C544,$Q$5:$Q$600,"&gt;"&amp;Q544)+1)</f>
        <v>47</v>
      </c>
      <c r="T544" s="37" t="str">
        <f aca="false">IF(Q544="","",IF(Q544&gt;=Cutoff,"Yes","No"))</f>
        <v>No</v>
      </c>
      <c r="U544" s="49" t="n">
        <f aca="false">IF(T544="Yes",MIN(F544,INDEX(Settings!$G:$G,MATCH(C544,Settings!$E:$E,0))),0)</f>
        <v>0</v>
      </c>
      <c r="V544" s="49" t="str">
        <f aca="false">IF(T544="Yes",SUMIFS($U$5:$U$600,$C$5:$C$600,C544,$Q$5:$Q$600,"&gt;"&amp;Q544)+U544,"")</f>
        <v/>
      </c>
      <c r="W544" s="37" t="str">
        <f aca="false">IF(T544="Yes",IF(V544&lt;=INDEX(PoolList,MATCH(C544,ProgramList,0)),"Within pool","Over pool"),"")</f>
        <v/>
      </c>
      <c r="X544" s="37" t="str">
        <f aca="false">IF(O544="Yes",COUNTIF($O$5:O544,"Yes"),"")</f>
        <v/>
      </c>
    </row>
    <row r="545" customFormat="false" ht="15" hidden="false" customHeight="false" outlineLevel="0" collapsed="false">
      <c r="A545" s="35" t="s">
        <v>1273</v>
      </c>
      <c r="B545" s="35" t="s">
        <v>1274</v>
      </c>
      <c r="C545" s="35" t="s">
        <v>106</v>
      </c>
      <c r="D545" s="35" t="s">
        <v>174</v>
      </c>
      <c r="E545" s="35" t="s">
        <v>175</v>
      </c>
      <c r="F545" s="42" t="n">
        <v>250000</v>
      </c>
      <c r="G545" s="36" t="n">
        <v>45923</v>
      </c>
      <c r="H545" s="35" t="s">
        <v>54</v>
      </c>
      <c r="I545" s="35" t="s">
        <v>82</v>
      </c>
      <c r="J545" s="35" t="s">
        <v>78</v>
      </c>
      <c r="K545" s="35"/>
      <c r="L545" s="48" t="n">
        <f aca="false">IFERROR(AVERAGEIFS('Score Entry'!$M$5:$M$1276,'Score Entry'!$B$5:$B$1276,A545,'Score Entry'!$E$5:$E$1276,"Primary"),"")</f>
        <v>66</v>
      </c>
      <c r="M545" s="48" t="n">
        <f aca="false">IFERROR(AVERAGEIFS('Score Entry'!$M$5:$M$1276,'Score Entry'!$B$5:$B$1276,A545,'Score Entry'!$E$5:$E$1276,"Secondary"),"")</f>
        <v>73</v>
      </c>
      <c r="N545" s="48" t="n">
        <f aca="false">IF(COUNT(L545:M545)=2,ABS(L545-M545),"")</f>
        <v>7</v>
      </c>
      <c r="O545" s="37" t="str">
        <f aca="false">IF(N545="","",IF(N545&gt;=Threshold,"Yes","No"))</f>
        <v>No</v>
      </c>
      <c r="P545" s="48" t="str">
        <f aca="false">IFERROR(AVERAGEIFS('Score Entry'!$M$5:$M$1276,'Score Entry'!$B$5:$B$1276,A545,'Score Entry'!$E$5:$E$1276,"Third"),"")</f>
        <v/>
      </c>
      <c r="Q545" s="48" t="n">
        <f aca="false">IF(H545&lt;&gt;"Eligible","",IF(O545="Yes",IF(ISNUMBER(P545),ROUND(AVERAGE(L545,M545,P545),1),""),IF(O545="No",ROUND(AVERAGE(L545:M545),1),"")))</f>
        <v>69.5</v>
      </c>
      <c r="R545" s="37" t="str">
        <f aca="false">IF(H545&lt;&gt;"Eligible","Screened out",IF(COUNT(L545:M545)=0,"Not started",IF(COUNT(L545:M545)=1,"One read done",IF(O545="Yes",IF(ISNUMBER(P545),"Complete","Needs third read"),"Complete"))))</f>
        <v>Complete</v>
      </c>
      <c r="S545" s="37" t="n">
        <f aca="false">IF(Q545="","",COUNTIFS($C$5:$C$600,C545,$Q$5:$Q$600,"&gt;"&amp;Q545)+1)</f>
        <v>54</v>
      </c>
      <c r="T545" s="37" t="str">
        <f aca="false">IF(Q545="","",IF(Q545&gt;=Cutoff,"Yes","No"))</f>
        <v>No</v>
      </c>
      <c r="U545" s="49" t="n">
        <f aca="false">IF(T545="Yes",MIN(F545,INDEX(Settings!$G:$G,MATCH(C545,Settings!$E:$E,0))),0)</f>
        <v>0</v>
      </c>
      <c r="V545" s="49" t="str">
        <f aca="false">IF(T545="Yes",SUMIFS($U$5:$U$600,$C$5:$C$600,C545,$Q$5:$Q$600,"&gt;"&amp;Q545)+U545,"")</f>
        <v/>
      </c>
      <c r="W545" s="37" t="str">
        <f aca="false">IF(T545="Yes",IF(V545&lt;=INDEX(PoolList,MATCH(C545,ProgramList,0)),"Within pool","Over pool"),"")</f>
        <v/>
      </c>
      <c r="X545" s="37" t="str">
        <f aca="false">IF(O545="Yes",COUNTIF($O$5:O545,"Yes"),"")</f>
        <v/>
      </c>
    </row>
    <row r="546" customFormat="false" ht="15" hidden="false" customHeight="false" outlineLevel="0" collapsed="false">
      <c r="A546" s="35" t="s">
        <v>1275</v>
      </c>
      <c r="B546" s="35" t="s">
        <v>1276</v>
      </c>
      <c r="C546" s="35" t="s">
        <v>105</v>
      </c>
      <c r="D546" s="35" t="s">
        <v>174</v>
      </c>
      <c r="E546" s="35" t="s">
        <v>175</v>
      </c>
      <c r="F546" s="42" t="n">
        <v>46500</v>
      </c>
      <c r="G546" s="36" t="n">
        <v>45920</v>
      </c>
      <c r="H546" s="35" t="s">
        <v>54</v>
      </c>
      <c r="I546" s="35" t="s">
        <v>88</v>
      </c>
      <c r="J546" s="35" t="s">
        <v>85</v>
      </c>
      <c r="K546" s="35" t="s">
        <v>82</v>
      </c>
      <c r="L546" s="48" t="n">
        <f aca="false">IFERROR(AVERAGEIFS('Score Entry'!$M$5:$M$1276,'Score Entry'!$B$5:$B$1276,A546,'Score Entry'!$E$5:$E$1276,"Primary"),"")</f>
        <v>75</v>
      </c>
      <c r="M546" s="48" t="n">
        <f aca="false">IFERROR(AVERAGEIFS('Score Entry'!$M$5:$M$1276,'Score Entry'!$B$5:$B$1276,A546,'Score Entry'!$E$5:$E$1276,"Secondary"),"")</f>
        <v>28</v>
      </c>
      <c r="N546" s="48" t="n">
        <f aca="false">IF(COUNT(L546:M546)=2,ABS(L546-M546),"")</f>
        <v>47</v>
      </c>
      <c r="O546" s="37" t="str">
        <f aca="false">IF(N546="","",IF(N546&gt;=Threshold,"Yes","No"))</f>
        <v>Yes</v>
      </c>
      <c r="P546" s="48" t="str">
        <f aca="false">IFERROR(AVERAGEIFS('Score Entry'!$M$5:$M$1276,'Score Entry'!$B$5:$B$1276,A546,'Score Entry'!$E$5:$E$1276,"Third"),"")</f>
        <v/>
      </c>
      <c r="Q546" s="48" t="str">
        <f aca="false">IF(H546&lt;&gt;"Eligible","",IF(O546="Yes",IF(ISNUMBER(P546),ROUND(AVERAGE(L546,M546,P546),1),""),IF(O546="No",ROUND(AVERAGE(L546:M546),1),"")))</f>
        <v/>
      </c>
      <c r="R546" s="37" t="str">
        <f aca="false">IF(H546&lt;&gt;"Eligible","Screened out",IF(COUNT(L546:M546)=0,"Not started",IF(COUNT(L546:M546)=1,"One read done",IF(O546="Yes",IF(ISNUMBER(P546),"Complete","Needs third read"),"Complete"))))</f>
        <v>Needs third read</v>
      </c>
      <c r="S546" s="37" t="str">
        <f aca="false">IF(Q546="","",COUNTIFS($C$5:$C$600,C546,$Q$5:$Q$600,"&gt;"&amp;Q546)+1)</f>
        <v/>
      </c>
      <c r="T546" s="37" t="str">
        <f aca="false">IF(Q546="","",IF(Q546&gt;=Cutoff,"Yes","No"))</f>
        <v/>
      </c>
      <c r="U546" s="49" t="n">
        <f aca="false">IF(T546="Yes",MIN(F546,INDEX(Settings!$G:$G,MATCH(C546,Settings!$E:$E,0))),0)</f>
        <v>0</v>
      </c>
      <c r="V546" s="49" t="str">
        <f aca="false">IF(T546="Yes",SUMIFS($U$5:$U$600,$C$5:$C$600,C546,$Q$5:$Q$600,"&gt;"&amp;Q546)+U546,"")</f>
        <v/>
      </c>
      <c r="W546" s="37" t="str">
        <f aca="false">IF(T546="Yes",IF(V546&lt;=INDEX(PoolList,MATCH(C546,ProgramList,0)),"Within pool","Over pool"),"")</f>
        <v/>
      </c>
      <c r="X546" s="37" t="n">
        <f aca="false">IF(O546="Yes",COUNTIF($O$5:O546,"Yes"),"")</f>
        <v>65</v>
      </c>
    </row>
    <row r="547" customFormat="false" ht="15" hidden="false" customHeight="false" outlineLevel="0" collapsed="false">
      <c r="A547" s="35" t="s">
        <v>1277</v>
      </c>
      <c r="B547" s="35" t="s">
        <v>1278</v>
      </c>
      <c r="C547" s="35" t="s">
        <v>104</v>
      </c>
      <c r="D547" s="35" t="s">
        <v>174</v>
      </c>
      <c r="E547" s="35" t="s">
        <v>175</v>
      </c>
      <c r="F547" s="42" t="n">
        <v>91000</v>
      </c>
      <c r="G547" s="36" t="n">
        <v>45927</v>
      </c>
      <c r="H547" s="35" t="s">
        <v>54</v>
      </c>
      <c r="I547" s="35" t="s">
        <v>94</v>
      </c>
      <c r="J547" s="35" t="s">
        <v>78</v>
      </c>
      <c r="K547" s="35"/>
      <c r="L547" s="48" t="n">
        <f aca="false">IFERROR(AVERAGEIFS('Score Entry'!$M$5:$M$1276,'Score Entry'!$B$5:$B$1276,A547,'Score Entry'!$E$5:$E$1276,"Primary"),"")</f>
        <v>38</v>
      </c>
      <c r="M547" s="48" t="n">
        <f aca="false">IFERROR(AVERAGEIFS('Score Entry'!$M$5:$M$1276,'Score Entry'!$B$5:$B$1276,A547,'Score Entry'!$E$5:$E$1276,"Secondary"),"")</f>
        <v>45</v>
      </c>
      <c r="N547" s="48" t="n">
        <f aca="false">IF(COUNT(L547:M547)=2,ABS(L547-M547),"")</f>
        <v>7</v>
      </c>
      <c r="O547" s="37" t="str">
        <f aca="false">IF(N547="","",IF(N547&gt;=Threshold,"Yes","No"))</f>
        <v>No</v>
      </c>
      <c r="P547" s="48" t="str">
        <f aca="false">IFERROR(AVERAGEIFS('Score Entry'!$M$5:$M$1276,'Score Entry'!$B$5:$B$1276,A547,'Score Entry'!$E$5:$E$1276,"Third"),"")</f>
        <v/>
      </c>
      <c r="Q547" s="48" t="n">
        <f aca="false">IF(H547&lt;&gt;"Eligible","",IF(O547="Yes",IF(ISNUMBER(P547),ROUND(AVERAGE(L547,M547,P547),1),""),IF(O547="No",ROUND(AVERAGE(L547:M547),1),"")))</f>
        <v>41.5</v>
      </c>
      <c r="R547" s="37" t="str">
        <f aca="false">IF(H547&lt;&gt;"Eligible","Screened out",IF(COUNT(L547:M547)=0,"Not started",IF(COUNT(L547:M547)=1,"One read done",IF(O547="Yes",IF(ISNUMBER(P547),"Complete","Needs third read"),"Complete"))))</f>
        <v>Complete</v>
      </c>
      <c r="S547" s="37" t="n">
        <f aca="false">IF(Q547="","",COUNTIFS($C$5:$C$600,C547,$Q$5:$Q$600,"&gt;"&amp;Q547)+1)</f>
        <v>101</v>
      </c>
      <c r="T547" s="37" t="str">
        <f aca="false">IF(Q547="","",IF(Q547&gt;=Cutoff,"Yes","No"))</f>
        <v>No</v>
      </c>
      <c r="U547" s="49" t="n">
        <f aca="false">IF(T547="Yes",MIN(F547,INDEX(Settings!$G:$G,MATCH(C547,Settings!$E:$E,0))),0)</f>
        <v>0</v>
      </c>
      <c r="V547" s="49" t="str">
        <f aca="false">IF(T547="Yes",SUMIFS($U$5:$U$600,$C$5:$C$600,C547,$Q$5:$Q$600,"&gt;"&amp;Q547)+U547,"")</f>
        <v/>
      </c>
      <c r="W547" s="37" t="str">
        <f aca="false">IF(T547="Yes",IF(V547&lt;=INDEX(PoolList,MATCH(C547,ProgramList,0)),"Within pool","Over pool"),"")</f>
        <v/>
      </c>
      <c r="X547" s="37" t="str">
        <f aca="false">IF(O547="Yes",COUNTIF($O$5:O547,"Yes"),"")</f>
        <v/>
      </c>
    </row>
    <row r="548" customFormat="false" ht="15" hidden="false" customHeight="false" outlineLevel="0" collapsed="false">
      <c r="A548" s="35" t="s">
        <v>1279</v>
      </c>
      <c r="B548" s="35" t="s">
        <v>1280</v>
      </c>
      <c r="C548" s="35" t="s">
        <v>105</v>
      </c>
      <c r="D548" s="35" t="s">
        <v>221</v>
      </c>
      <c r="E548" s="35" t="s">
        <v>227</v>
      </c>
      <c r="F548" s="42" t="n">
        <v>34500</v>
      </c>
      <c r="G548" s="36" t="n">
        <v>45914</v>
      </c>
      <c r="H548" s="35" t="s">
        <v>54</v>
      </c>
      <c r="I548" s="35" t="s">
        <v>85</v>
      </c>
      <c r="J548" s="35" t="s">
        <v>82</v>
      </c>
      <c r="K548" s="35"/>
      <c r="L548" s="48" t="n">
        <f aca="false">IFERROR(AVERAGEIFS('Score Entry'!$M$5:$M$1276,'Score Entry'!$B$5:$B$1276,A548,'Score Entry'!$E$5:$E$1276,"Primary"),"")</f>
        <v>76</v>
      </c>
      <c r="M548" s="48" t="n">
        <f aca="false">IFERROR(AVERAGEIFS('Score Entry'!$M$5:$M$1276,'Score Entry'!$B$5:$B$1276,A548,'Score Entry'!$E$5:$E$1276,"Secondary"),"")</f>
        <v>90</v>
      </c>
      <c r="N548" s="48" t="n">
        <f aca="false">IF(COUNT(L548:M548)=2,ABS(L548-M548),"")</f>
        <v>14</v>
      </c>
      <c r="O548" s="37" t="str">
        <f aca="false">IF(N548="","",IF(N548&gt;=Threshold,"Yes","No"))</f>
        <v>No</v>
      </c>
      <c r="P548" s="48" t="str">
        <f aca="false">IFERROR(AVERAGEIFS('Score Entry'!$M$5:$M$1276,'Score Entry'!$B$5:$B$1276,A548,'Score Entry'!$E$5:$E$1276,"Third"),"")</f>
        <v/>
      </c>
      <c r="Q548" s="48" t="n">
        <f aca="false">IF(H548&lt;&gt;"Eligible","",IF(O548="Yes",IF(ISNUMBER(P548),ROUND(AVERAGE(L548,M548,P548),1),""),IF(O548="No",ROUND(AVERAGE(L548:M548),1),"")))</f>
        <v>83</v>
      </c>
      <c r="R548" s="37" t="str">
        <f aca="false">IF(H548&lt;&gt;"Eligible","Screened out",IF(COUNT(L548:M548)=0,"Not started",IF(COUNT(L548:M548)=1,"One read done",IF(O548="Yes",IF(ISNUMBER(P548),"Complete","Needs third read"),"Complete"))))</f>
        <v>Complete</v>
      </c>
      <c r="S548" s="37" t="n">
        <f aca="false">IF(Q548="","",COUNTIFS($C$5:$C$600,C548,$Q$5:$Q$600,"&gt;"&amp;Q548)+1)</f>
        <v>14</v>
      </c>
      <c r="T548" s="37" t="str">
        <f aca="false">IF(Q548="","",IF(Q548&gt;=Cutoff,"Yes","No"))</f>
        <v>No</v>
      </c>
      <c r="U548" s="49" t="n">
        <f aca="false">IF(T548="Yes",MIN(F548,INDEX(Settings!$G:$G,MATCH(C548,Settings!$E:$E,0))),0)</f>
        <v>0</v>
      </c>
      <c r="V548" s="49" t="str">
        <f aca="false">IF(T548="Yes",SUMIFS($U$5:$U$600,$C$5:$C$600,C548,$Q$5:$Q$600,"&gt;"&amp;Q548)+U548,"")</f>
        <v/>
      </c>
      <c r="W548" s="37" t="str">
        <f aca="false">IF(T548="Yes",IF(V548&lt;=INDEX(PoolList,MATCH(C548,ProgramList,0)),"Within pool","Over pool"),"")</f>
        <v/>
      </c>
      <c r="X548" s="37" t="str">
        <f aca="false">IF(O548="Yes",COUNTIF($O$5:O548,"Yes"),"")</f>
        <v/>
      </c>
    </row>
    <row r="549" customFormat="false" ht="15" hidden="false" customHeight="false" outlineLevel="0" collapsed="false">
      <c r="A549" s="35" t="s">
        <v>1281</v>
      </c>
      <c r="B549" s="35" t="s">
        <v>1282</v>
      </c>
      <c r="C549" s="35" t="s">
        <v>103</v>
      </c>
      <c r="D549" s="35" t="s">
        <v>174</v>
      </c>
      <c r="E549" s="35" t="s">
        <v>175</v>
      </c>
      <c r="F549" s="42" t="n">
        <v>51000</v>
      </c>
      <c r="G549" s="36" t="n">
        <v>45925</v>
      </c>
      <c r="H549" s="35" t="s">
        <v>54</v>
      </c>
      <c r="I549" s="35" t="s">
        <v>91</v>
      </c>
      <c r="J549" s="35" t="s">
        <v>88</v>
      </c>
      <c r="K549" s="35" t="s">
        <v>85</v>
      </c>
      <c r="L549" s="48" t="n">
        <f aca="false">IFERROR(AVERAGEIFS('Score Entry'!$M$5:$M$1276,'Score Entry'!$B$5:$B$1276,A549,'Score Entry'!$E$5:$E$1276,"Primary"),"")</f>
        <v>72</v>
      </c>
      <c r="M549" s="48" t="n">
        <f aca="false">IFERROR(AVERAGEIFS('Score Entry'!$M$5:$M$1276,'Score Entry'!$B$5:$B$1276,A549,'Score Entry'!$E$5:$E$1276,"Secondary"),"")</f>
        <v>47</v>
      </c>
      <c r="N549" s="48" t="n">
        <f aca="false">IF(COUNT(L549:M549)=2,ABS(L549-M549),"")</f>
        <v>25</v>
      </c>
      <c r="O549" s="37" t="str">
        <f aca="false">IF(N549="","",IF(N549&gt;=Threshold,"Yes","No"))</f>
        <v>Yes</v>
      </c>
      <c r="P549" s="48" t="str">
        <f aca="false">IFERROR(AVERAGEIFS('Score Entry'!$M$5:$M$1276,'Score Entry'!$B$5:$B$1276,A549,'Score Entry'!$E$5:$E$1276,"Third"),"")</f>
        <v/>
      </c>
      <c r="Q549" s="48" t="str">
        <f aca="false">IF(H549&lt;&gt;"Eligible","",IF(O549="Yes",IF(ISNUMBER(P549),ROUND(AVERAGE(L549,M549,P549),1),""),IF(O549="No",ROUND(AVERAGE(L549:M549),1),"")))</f>
        <v/>
      </c>
      <c r="R549" s="37" t="str">
        <f aca="false">IF(H549&lt;&gt;"Eligible","Screened out",IF(COUNT(L549:M549)=0,"Not started",IF(COUNT(L549:M549)=1,"One read done",IF(O549="Yes",IF(ISNUMBER(P549),"Complete","Needs third read"),"Complete"))))</f>
        <v>Needs third read</v>
      </c>
      <c r="S549" s="37" t="str">
        <f aca="false">IF(Q549="","",COUNTIFS($C$5:$C$600,C549,$Q$5:$Q$600,"&gt;"&amp;Q549)+1)</f>
        <v/>
      </c>
      <c r="T549" s="37" t="str">
        <f aca="false">IF(Q549="","",IF(Q549&gt;=Cutoff,"Yes","No"))</f>
        <v/>
      </c>
      <c r="U549" s="49" t="n">
        <f aca="false">IF(T549="Yes",MIN(F549,INDEX(Settings!$G:$G,MATCH(C549,Settings!$E:$E,0))),0)</f>
        <v>0</v>
      </c>
      <c r="V549" s="49" t="str">
        <f aca="false">IF(T549="Yes",SUMIFS($U$5:$U$600,$C$5:$C$600,C549,$Q$5:$Q$600,"&gt;"&amp;Q549)+U549,"")</f>
        <v/>
      </c>
      <c r="W549" s="37" t="str">
        <f aca="false">IF(T549="Yes",IF(V549&lt;=INDEX(PoolList,MATCH(C549,ProgramList,0)),"Within pool","Over pool"),"")</f>
        <v/>
      </c>
      <c r="X549" s="37" t="n">
        <f aca="false">IF(O549="Yes",COUNTIF($O$5:O549,"Yes"),"")</f>
        <v>66</v>
      </c>
    </row>
    <row r="550" customFormat="false" ht="15" hidden="false" customHeight="false" outlineLevel="0" collapsed="false">
      <c r="A550" s="35" t="s">
        <v>1283</v>
      </c>
      <c r="B550" s="35" t="s">
        <v>1284</v>
      </c>
      <c r="C550" s="35" t="s">
        <v>105</v>
      </c>
      <c r="D550" s="35" t="s">
        <v>174</v>
      </c>
      <c r="E550" s="35" t="s">
        <v>175</v>
      </c>
      <c r="F550" s="42" t="n">
        <v>84000</v>
      </c>
      <c r="G550" s="36" t="n">
        <v>45913</v>
      </c>
      <c r="H550" s="35" t="s">
        <v>96</v>
      </c>
      <c r="I550" s="35"/>
      <c r="J550" s="35"/>
      <c r="K550" s="35"/>
      <c r="L550" s="48" t="str">
        <f aca="false">IFERROR(AVERAGEIFS('Score Entry'!$M$5:$M$1276,'Score Entry'!$B$5:$B$1276,A550,'Score Entry'!$E$5:$E$1276,"Primary"),"")</f>
        <v/>
      </c>
      <c r="M550" s="48" t="str">
        <f aca="false">IFERROR(AVERAGEIFS('Score Entry'!$M$5:$M$1276,'Score Entry'!$B$5:$B$1276,A550,'Score Entry'!$E$5:$E$1276,"Secondary"),"")</f>
        <v/>
      </c>
      <c r="N550" s="48" t="str">
        <f aca="false">IF(COUNT(L550:M550)=2,ABS(L550-M550),"")</f>
        <v/>
      </c>
      <c r="O550" s="37" t="str">
        <f aca="false">IF(N550="","",IF(N550&gt;=Threshold,"Yes","No"))</f>
        <v/>
      </c>
      <c r="P550" s="48" t="str">
        <f aca="false">IFERROR(AVERAGEIFS('Score Entry'!$M$5:$M$1276,'Score Entry'!$B$5:$B$1276,A550,'Score Entry'!$E$5:$E$1276,"Third"),"")</f>
        <v/>
      </c>
      <c r="Q550" s="48" t="str">
        <f aca="false">IF(H550&lt;&gt;"Eligible","",IF(O550="Yes",IF(ISNUMBER(P550),ROUND(AVERAGE(L550,M550,P550),1),""),IF(O550="No",ROUND(AVERAGE(L550:M550),1),"")))</f>
        <v/>
      </c>
      <c r="R550" s="37" t="str">
        <f aca="false">IF(H550&lt;&gt;"Eligible","Screened out",IF(COUNT(L550:M550)=0,"Not started",IF(COUNT(L550:M550)=1,"One read done",IF(O550="Yes",IF(ISNUMBER(P550),"Complete","Needs third read"),"Complete"))))</f>
        <v>Screened out</v>
      </c>
      <c r="S550" s="37" t="str">
        <f aca="false">IF(Q550="","",COUNTIFS($C$5:$C$600,C550,$Q$5:$Q$600,"&gt;"&amp;Q550)+1)</f>
        <v/>
      </c>
      <c r="T550" s="37" t="str">
        <f aca="false">IF(Q550="","",IF(Q550&gt;=Cutoff,"Yes","No"))</f>
        <v/>
      </c>
      <c r="U550" s="49" t="n">
        <f aca="false">IF(T550="Yes",MIN(F550,INDEX(Settings!$G:$G,MATCH(C550,Settings!$E:$E,0))),0)</f>
        <v>0</v>
      </c>
      <c r="V550" s="49" t="str">
        <f aca="false">IF(T550="Yes",SUMIFS($U$5:$U$600,$C$5:$C$600,C550,$Q$5:$Q$600,"&gt;"&amp;Q550)+U550,"")</f>
        <v/>
      </c>
      <c r="W550" s="37" t="str">
        <f aca="false">IF(T550="Yes",IF(V550&lt;=INDEX(PoolList,MATCH(C550,ProgramList,0)),"Within pool","Over pool"),"")</f>
        <v/>
      </c>
      <c r="X550" s="37" t="str">
        <f aca="false">IF(O550="Yes",COUNTIF($O$5:O550,"Yes"),"")</f>
        <v/>
      </c>
    </row>
    <row r="551" customFormat="false" ht="15" hidden="false" customHeight="false" outlineLevel="0" collapsed="false">
      <c r="A551" s="35" t="s">
        <v>1285</v>
      </c>
      <c r="B551" s="35" t="s">
        <v>1286</v>
      </c>
      <c r="C551" s="35" t="s">
        <v>106</v>
      </c>
      <c r="D551" s="35" t="s">
        <v>174</v>
      </c>
      <c r="E551" s="35" t="s">
        <v>175</v>
      </c>
      <c r="F551" s="42" t="n">
        <v>101000</v>
      </c>
      <c r="G551" s="36" t="n">
        <v>45919</v>
      </c>
      <c r="H551" s="35" t="s">
        <v>54</v>
      </c>
      <c r="I551" s="35" t="s">
        <v>91</v>
      </c>
      <c r="J551" s="35" t="s">
        <v>82</v>
      </c>
      <c r="K551" s="35"/>
      <c r="L551" s="48" t="n">
        <f aca="false">IFERROR(AVERAGEIFS('Score Entry'!$M$5:$M$1276,'Score Entry'!$B$5:$B$1276,A551,'Score Entry'!$E$5:$E$1276,"Primary"),"")</f>
        <v>80</v>
      </c>
      <c r="M551" s="48" t="n">
        <f aca="false">IFERROR(AVERAGEIFS('Score Entry'!$M$5:$M$1276,'Score Entry'!$B$5:$B$1276,A551,'Score Entry'!$E$5:$E$1276,"Secondary"),"")</f>
        <v>88</v>
      </c>
      <c r="N551" s="48" t="n">
        <f aca="false">IF(COUNT(L551:M551)=2,ABS(L551-M551),"")</f>
        <v>8</v>
      </c>
      <c r="O551" s="37" t="str">
        <f aca="false">IF(N551="","",IF(N551&gt;=Threshold,"Yes","No"))</f>
        <v>No</v>
      </c>
      <c r="P551" s="48" t="str">
        <f aca="false">IFERROR(AVERAGEIFS('Score Entry'!$M$5:$M$1276,'Score Entry'!$B$5:$B$1276,A551,'Score Entry'!$E$5:$E$1276,"Third"),"")</f>
        <v/>
      </c>
      <c r="Q551" s="48" t="n">
        <f aca="false">IF(H551&lt;&gt;"Eligible","",IF(O551="Yes",IF(ISNUMBER(P551),ROUND(AVERAGE(L551,M551,P551),1),""),IF(O551="No",ROUND(AVERAGE(L551:M551),1),"")))</f>
        <v>84</v>
      </c>
      <c r="R551" s="37" t="str">
        <f aca="false">IF(H551&lt;&gt;"Eligible","Screened out",IF(COUNT(L551:M551)=0,"Not started",IF(COUNT(L551:M551)=1,"One read done",IF(O551="Yes",IF(ISNUMBER(P551),"Complete","Needs third read"),"Complete"))))</f>
        <v>Complete</v>
      </c>
      <c r="S551" s="37" t="n">
        <f aca="false">IF(Q551="","",COUNTIFS($C$5:$C$600,C551,$Q$5:$Q$600,"&gt;"&amp;Q551)+1)</f>
        <v>11</v>
      </c>
      <c r="T551" s="37" t="str">
        <f aca="false">IF(Q551="","",IF(Q551&gt;=Cutoff,"Yes","No"))</f>
        <v>No</v>
      </c>
      <c r="U551" s="49" t="n">
        <f aca="false">IF(T551="Yes",MIN(F551,INDEX(Settings!$G:$G,MATCH(C551,Settings!$E:$E,0))),0)</f>
        <v>0</v>
      </c>
      <c r="V551" s="49" t="str">
        <f aca="false">IF(T551="Yes",SUMIFS($U$5:$U$600,$C$5:$C$600,C551,$Q$5:$Q$600,"&gt;"&amp;Q551)+U551,"")</f>
        <v/>
      </c>
      <c r="W551" s="37" t="str">
        <f aca="false">IF(T551="Yes",IF(V551&lt;=INDEX(PoolList,MATCH(C551,ProgramList,0)),"Within pool","Over pool"),"")</f>
        <v/>
      </c>
      <c r="X551" s="37" t="str">
        <f aca="false">IF(O551="Yes",COUNTIF($O$5:O551,"Yes"),"")</f>
        <v/>
      </c>
    </row>
    <row r="552" customFormat="false" ht="15" hidden="false" customHeight="false" outlineLevel="0" collapsed="false">
      <c r="A552" s="35" t="s">
        <v>1287</v>
      </c>
      <c r="B552" s="35" t="s">
        <v>1288</v>
      </c>
      <c r="C552" s="35" t="s">
        <v>106</v>
      </c>
      <c r="D552" s="35" t="s">
        <v>239</v>
      </c>
      <c r="E552" s="35" t="s">
        <v>247</v>
      </c>
      <c r="F552" s="42" t="n">
        <v>57500</v>
      </c>
      <c r="G552" s="36" t="n">
        <v>45922</v>
      </c>
      <c r="H552" s="35" t="s">
        <v>54</v>
      </c>
      <c r="I552" s="35" t="s">
        <v>94</v>
      </c>
      <c r="J552" s="35" t="s">
        <v>85</v>
      </c>
      <c r="K552" s="35"/>
      <c r="L552" s="48" t="n">
        <f aca="false">IFERROR(AVERAGEIFS('Score Entry'!$M$5:$M$1276,'Score Entry'!$B$5:$B$1276,A552,'Score Entry'!$E$5:$E$1276,"Primary"),"")</f>
        <v>64</v>
      </c>
      <c r="M552" s="48" t="n">
        <f aca="false">IFERROR(AVERAGEIFS('Score Entry'!$M$5:$M$1276,'Score Entry'!$B$5:$B$1276,A552,'Score Entry'!$E$5:$E$1276,"Secondary"),"")</f>
        <v>63</v>
      </c>
      <c r="N552" s="48" t="n">
        <f aca="false">IF(COUNT(L552:M552)=2,ABS(L552-M552),"")</f>
        <v>1</v>
      </c>
      <c r="O552" s="37" t="str">
        <f aca="false">IF(N552="","",IF(N552&gt;=Threshold,"Yes","No"))</f>
        <v>No</v>
      </c>
      <c r="P552" s="48" t="str">
        <f aca="false">IFERROR(AVERAGEIFS('Score Entry'!$M$5:$M$1276,'Score Entry'!$B$5:$B$1276,A552,'Score Entry'!$E$5:$E$1276,"Third"),"")</f>
        <v/>
      </c>
      <c r="Q552" s="48" t="n">
        <f aca="false">IF(H552&lt;&gt;"Eligible","",IF(O552="Yes",IF(ISNUMBER(P552),ROUND(AVERAGE(L552,M552,P552),1),""),IF(O552="No",ROUND(AVERAGE(L552:M552),1),"")))</f>
        <v>63.5</v>
      </c>
      <c r="R552" s="37" t="str">
        <f aca="false">IF(H552&lt;&gt;"Eligible","Screened out",IF(COUNT(L552:M552)=0,"Not started",IF(COUNT(L552:M552)=1,"One read done",IF(O552="Yes",IF(ISNUMBER(P552),"Complete","Needs third read"),"Complete"))))</f>
        <v>Complete</v>
      </c>
      <c r="S552" s="37" t="n">
        <f aca="false">IF(Q552="","",COUNTIFS($C$5:$C$600,C552,$Q$5:$Q$600,"&gt;"&amp;Q552)+1)</f>
        <v>75</v>
      </c>
      <c r="T552" s="37" t="str">
        <f aca="false">IF(Q552="","",IF(Q552&gt;=Cutoff,"Yes","No"))</f>
        <v>No</v>
      </c>
      <c r="U552" s="49" t="n">
        <f aca="false">IF(T552="Yes",MIN(F552,INDEX(Settings!$G:$G,MATCH(C552,Settings!$E:$E,0))),0)</f>
        <v>0</v>
      </c>
      <c r="V552" s="49" t="str">
        <f aca="false">IF(T552="Yes",SUMIFS($U$5:$U$600,$C$5:$C$600,C552,$Q$5:$Q$600,"&gt;"&amp;Q552)+U552,"")</f>
        <v/>
      </c>
      <c r="W552" s="37" t="str">
        <f aca="false">IF(T552="Yes",IF(V552&lt;=INDEX(PoolList,MATCH(C552,ProgramList,0)),"Within pool","Over pool"),"")</f>
        <v/>
      </c>
      <c r="X552" s="37" t="str">
        <f aca="false">IF(O552="Yes",COUNTIF($O$5:O552,"Yes"),"")</f>
        <v/>
      </c>
    </row>
    <row r="553" customFormat="false" ht="15" hidden="false" customHeight="false" outlineLevel="0" collapsed="false">
      <c r="A553" s="35" t="s">
        <v>1289</v>
      </c>
      <c r="B553" s="35" t="s">
        <v>1290</v>
      </c>
      <c r="C553" s="35" t="s">
        <v>103</v>
      </c>
      <c r="D553" s="35" t="s">
        <v>190</v>
      </c>
      <c r="E553" s="35" t="s">
        <v>363</v>
      </c>
      <c r="F553" s="42" t="n">
        <v>129500</v>
      </c>
      <c r="G553" s="36" t="n">
        <v>45927</v>
      </c>
      <c r="H553" s="35" t="s">
        <v>54</v>
      </c>
      <c r="I553" s="35" t="s">
        <v>88</v>
      </c>
      <c r="J553" s="35" t="s">
        <v>85</v>
      </c>
      <c r="K553" s="35"/>
      <c r="L553" s="48" t="n">
        <f aca="false">IFERROR(AVERAGEIFS('Score Entry'!$M$5:$M$1276,'Score Entry'!$B$5:$B$1276,A553,'Score Entry'!$E$5:$E$1276,"Primary"),"")</f>
        <v>71</v>
      </c>
      <c r="M553" s="48" t="n">
        <f aca="false">IFERROR(AVERAGEIFS('Score Entry'!$M$5:$M$1276,'Score Entry'!$B$5:$B$1276,A553,'Score Entry'!$E$5:$E$1276,"Secondary"),"")</f>
        <v>72</v>
      </c>
      <c r="N553" s="48" t="n">
        <f aca="false">IF(COUNT(L553:M553)=2,ABS(L553-M553),"")</f>
        <v>1</v>
      </c>
      <c r="O553" s="37" t="str">
        <f aca="false">IF(N553="","",IF(N553&gt;=Threshold,"Yes","No"))</f>
        <v>No</v>
      </c>
      <c r="P553" s="48" t="str">
        <f aca="false">IFERROR(AVERAGEIFS('Score Entry'!$M$5:$M$1276,'Score Entry'!$B$5:$B$1276,A553,'Score Entry'!$E$5:$E$1276,"Third"),"")</f>
        <v/>
      </c>
      <c r="Q553" s="48" t="n">
        <f aca="false">IF(H553&lt;&gt;"Eligible","",IF(O553="Yes",IF(ISNUMBER(P553),ROUND(AVERAGE(L553,M553,P553),1),""),IF(O553="No",ROUND(AVERAGE(L553:M553),1),"")))</f>
        <v>71.5</v>
      </c>
      <c r="R553" s="37" t="str">
        <f aca="false">IF(H553&lt;&gt;"Eligible","Screened out",IF(COUNT(L553:M553)=0,"Not started",IF(COUNT(L553:M553)=1,"One read done",IF(O553="Yes",IF(ISNUMBER(P553),"Complete","Needs third read"),"Complete"))))</f>
        <v>Complete</v>
      </c>
      <c r="S553" s="37" t="n">
        <f aca="false">IF(Q553="","",COUNTIFS($C$5:$C$600,C553,$Q$5:$Q$600,"&gt;"&amp;Q553)+1)</f>
        <v>56</v>
      </c>
      <c r="T553" s="37" t="str">
        <f aca="false">IF(Q553="","",IF(Q553&gt;=Cutoff,"Yes","No"))</f>
        <v>No</v>
      </c>
      <c r="U553" s="49" t="n">
        <f aca="false">IF(T553="Yes",MIN(F553,INDEX(Settings!$G:$G,MATCH(C553,Settings!$E:$E,0))),0)</f>
        <v>0</v>
      </c>
      <c r="V553" s="49" t="str">
        <f aca="false">IF(T553="Yes",SUMIFS($U$5:$U$600,$C$5:$C$600,C553,$Q$5:$Q$600,"&gt;"&amp;Q553)+U553,"")</f>
        <v/>
      </c>
      <c r="W553" s="37" t="str">
        <f aca="false">IF(T553="Yes",IF(V553&lt;=INDEX(PoolList,MATCH(C553,ProgramList,0)),"Within pool","Over pool"),"")</f>
        <v/>
      </c>
      <c r="X553" s="37" t="str">
        <f aca="false">IF(O553="Yes",COUNTIF($O$5:O553,"Yes"),"")</f>
        <v/>
      </c>
    </row>
    <row r="554" customFormat="false" ht="15" hidden="false" customHeight="false" outlineLevel="0" collapsed="false">
      <c r="A554" s="35" t="s">
        <v>1291</v>
      </c>
      <c r="B554" s="35" t="s">
        <v>1292</v>
      </c>
      <c r="C554" s="35" t="s">
        <v>106</v>
      </c>
      <c r="D554" s="35" t="s">
        <v>174</v>
      </c>
      <c r="E554" s="35" t="s">
        <v>175</v>
      </c>
      <c r="F554" s="42" t="n">
        <v>58000</v>
      </c>
      <c r="G554" s="36" t="n">
        <v>45906</v>
      </c>
      <c r="H554" s="35" t="s">
        <v>54</v>
      </c>
      <c r="I554" s="35" t="s">
        <v>78</v>
      </c>
      <c r="J554" s="35" t="s">
        <v>91</v>
      </c>
      <c r="K554" s="35" t="s">
        <v>85</v>
      </c>
      <c r="L554" s="48" t="n">
        <f aca="false">IFERROR(AVERAGEIFS('Score Entry'!$M$5:$M$1276,'Score Entry'!$B$5:$B$1276,A554,'Score Entry'!$E$5:$E$1276,"Primary"),"")</f>
        <v>48</v>
      </c>
      <c r="M554" s="48" t="n">
        <f aca="false">IFERROR(AVERAGEIFS('Score Entry'!$M$5:$M$1276,'Score Entry'!$B$5:$B$1276,A554,'Score Entry'!$E$5:$E$1276,"Secondary"),"")</f>
        <v>76</v>
      </c>
      <c r="N554" s="48" t="n">
        <f aca="false">IF(COUNT(L554:M554)=2,ABS(L554-M554),"")</f>
        <v>28</v>
      </c>
      <c r="O554" s="37" t="str">
        <f aca="false">IF(N554="","",IF(N554&gt;=Threshold,"Yes","No"))</f>
        <v>Yes</v>
      </c>
      <c r="P554" s="48" t="n">
        <f aca="false">IFERROR(AVERAGEIFS('Score Entry'!$M$5:$M$1276,'Score Entry'!$B$5:$B$1276,A554,'Score Entry'!$E$5:$E$1276,"Third"),"")</f>
        <v>64</v>
      </c>
      <c r="Q554" s="48" t="n">
        <f aca="false">IF(H554&lt;&gt;"Eligible","",IF(O554="Yes",IF(ISNUMBER(P554),ROUND(AVERAGE(L554,M554,P554),1),""),IF(O554="No",ROUND(AVERAGE(L554:M554),1),"")))</f>
        <v>62.7</v>
      </c>
      <c r="R554" s="37" t="str">
        <f aca="false">IF(H554&lt;&gt;"Eligible","Screened out",IF(COUNT(L554:M554)=0,"Not started",IF(COUNT(L554:M554)=1,"One read done",IF(O554="Yes",IF(ISNUMBER(P554),"Complete","Needs third read"),"Complete"))))</f>
        <v>Complete</v>
      </c>
      <c r="S554" s="37" t="n">
        <f aca="false">IF(Q554="","",COUNTIFS($C$5:$C$600,C554,$Q$5:$Q$600,"&gt;"&amp;Q554)+1)</f>
        <v>78</v>
      </c>
      <c r="T554" s="37" t="str">
        <f aca="false">IF(Q554="","",IF(Q554&gt;=Cutoff,"Yes","No"))</f>
        <v>No</v>
      </c>
      <c r="U554" s="49" t="n">
        <f aca="false">IF(T554="Yes",MIN(F554,INDEX(Settings!$G:$G,MATCH(C554,Settings!$E:$E,0))),0)</f>
        <v>0</v>
      </c>
      <c r="V554" s="49" t="str">
        <f aca="false">IF(T554="Yes",SUMIFS($U$5:$U$600,$C$5:$C$600,C554,$Q$5:$Q$600,"&gt;"&amp;Q554)+U554,"")</f>
        <v/>
      </c>
      <c r="W554" s="37" t="str">
        <f aca="false">IF(T554="Yes",IF(V554&lt;=INDEX(PoolList,MATCH(C554,ProgramList,0)),"Within pool","Over pool"),"")</f>
        <v/>
      </c>
      <c r="X554" s="37" t="n">
        <f aca="false">IF(O554="Yes",COUNTIF($O$5:O554,"Yes"),"")</f>
        <v>67</v>
      </c>
    </row>
    <row r="555" customFormat="false" ht="15" hidden="false" customHeight="false" outlineLevel="0" collapsed="false">
      <c r="A555" s="35" t="s">
        <v>1293</v>
      </c>
      <c r="B555" s="35" t="s">
        <v>1294</v>
      </c>
      <c r="C555" s="35" t="s">
        <v>103</v>
      </c>
      <c r="D555" s="35" t="s">
        <v>239</v>
      </c>
      <c r="E555" s="35" t="s">
        <v>240</v>
      </c>
      <c r="F555" s="42" t="n">
        <v>186500</v>
      </c>
      <c r="G555" s="36" t="n">
        <v>45912</v>
      </c>
      <c r="H555" s="35" t="s">
        <v>54</v>
      </c>
      <c r="I555" s="35" t="s">
        <v>88</v>
      </c>
      <c r="J555" s="35" t="s">
        <v>78</v>
      </c>
      <c r="K555" s="35"/>
      <c r="L555" s="48" t="n">
        <f aca="false">IFERROR(AVERAGEIFS('Score Entry'!$M$5:$M$1276,'Score Entry'!$B$5:$B$1276,A555,'Score Entry'!$E$5:$E$1276,"Primary"),"")</f>
        <v>68</v>
      </c>
      <c r="M555" s="48" t="n">
        <f aca="false">IFERROR(AVERAGEIFS('Score Entry'!$M$5:$M$1276,'Score Entry'!$B$5:$B$1276,A555,'Score Entry'!$E$5:$E$1276,"Secondary"),"")</f>
        <v>55</v>
      </c>
      <c r="N555" s="48" t="n">
        <f aca="false">IF(COUNT(L555:M555)=2,ABS(L555-M555),"")</f>
        <v>13</v>
      </c>
      <c r="O555" s="37" t="str">
        <f aca="false">IF(N555="","",IF(N555&gt;=Threshold,"Yes","No"))</f>
        <v>No</v>
      </c>
      <c r="P555" s="48" t="str">
        <f aca="false">IFERROR(AVERAGEIFS('Score Entry'!$M$5:$M$1276,'Score Entry'!$B$5:$B$1276,A555,'Score Entry'!$E$5:$E$1276,"Third"),"")</f>
        <v/>
      </c>
      <c r="Q555" s="48" t="n">
        <f aca="false">IF(H555&lt;&gt;"Eligible","",IF(O555="Yes",IF(ISNUMBER(P555),ROUND(AVERAGE(L555,M555,P555),1),""),IF(O555="No",ROUND(AVERAGE(L555:M555),1),"")))</f>
        <v>61.5</v>
      </c>
      <c r="R555" s="37" t="str">
        <f aca="false">IF(H555&lt;&gt;"Eligible","Screened out",IF(COUNT(L555:M555)=0,"Not started",IF(COUNT(L555:M555)=1,"One read done",IF(O555="Yes",IF(ISNUMBER(P555),"Complete","Needs third read"),"Complete"))))</f>
        <v>Complete</v>
      </c>
      <c r="S555" s="37" t="n">
        <f aca="false">IF(Q555="","",COUNTIFS($C$5:$C$600,C555,$Q$5:$Q$600,"&gt;"&amp;Q555)+1)</f>
        <v>105</v>
      </c>
      <c r="T555" s="37" t="str">
        <f aca="false">IF(Q555="","",IF(Q555&gt;=Cutoff,"Yes","No"))</f>
        <v>No</v>
      </c>
      <c r="U555" s="49" t="n">
        <f aca="false">IF(T555="Yes",MIN(F555,INDEX(Settings!$G:$G,MATCH(C555,Settings!$E:$E,0))),0)</f>
        <v>0</v>
      </c>
      <c r="V555" s="49" t="str">
        <f aca="false">IF(T555="Yes",SUMIFS($U$5:$U$600,$C$5:$C$600,C555,$Q$5:$Q$600,"&gt;"&amp;Q555)+U555,"")</f>
        <v/>
      </c>
      <c r="W555" s="37" t="str">
        <f aca="false">IF(T555="Yes",IF(V555&lt;=INDEX(PoolList,MATCH(C555,ProgramList,0)),"Within pool","Over pool"),"")</f>
        <v/>
      </c>
      <c r="X555" s="37" t="str">
        <f aca="false">IF(O555="Yes",COUNTIF($O$5:O555,"Yes"),"")</f>
        <v/>
      </c>
    </row>
    <row r="556" customFormat="false" ht="15" hidden="false" customHeight="false" outlineLevel="0" collapsed="false">
      <c r="A556" s="35" t="s">
        <v>1295</v>
      </c>
      <c r="B556" s="35" t="s">
        <v>1296</v>
      </c>
      <c r="C556" s="35" t="s">
        <v>104</v>
      </c>
      <c r="D556" s="35" t="s">
        <v>174</v>
      </c>
      <c r="E556" s="35" t="s">
        <v>175</v>
      </c>
      <c r="F556" s="42" t="n">
        <v>57000</v>
      </c>
      <c r="G556" s="36" t="n">
        <v>45918</v>
      </c>
      <c r="H556" s="35" t="s">
        <v>96</v>
      </c>
      <c r="I556" s="35"/>
      <c r="J556" s="35"/>
      <c r="K556" s="35"/>
      <c r="L556" s="48" t="str">
        <f aca="false">IFERROR(AVERAGEIFS('Score Entry'!$M$5:$M$1276,'Score Entry'!$B$5:$B$1276,A556,'Score Entry'!$E$5:$E$1276,"Primary"),"")</f>
        <v/>
      </c>
      <c r="M556" s="48" t="str">
        <f aca="false">IFERROR(AVERAGEIFS('Score Entry'!$M$5:$M$1276,'Score Entry'!$B$5:$B$1276,A556,'Score Entry'!$E$5:$E$1276,"Secondary"),"")</f>
        <v/>
      </c>
      <c r="N556" s="48" t="str">
        <f aca="false">IF(COUNT(L556:M556)=2,ABS(L556-M556),"")</f>
        <v/>
      </c>
      <c r="O556" s="37" t="str">
        <f aca="false">IF(N556="","",IF(N556&gt;=Threshold,"Yes","No"))</f>
        <v/>
      </c>
      <c r="P556" s="48" t="str">
        <f aca="false">IFERROR(AVERAGEIFS('Score Entry'!$M$5:$M$1276,'Score Entry'!$B$5:$B$1276,A556,'Score Entry'!$E$5:$E$1276,"Third"),"")</f>
        <v/>
      </c>
      <c r="Q556" s="48" t="str">
        <f aca="false">IF(H556&lt;&gt;"Eligible","",IF(O556="Yes",IF(ISNUMBER(P556),ROUND(AVERAGE(L556,M556,P556),1),""),IF(O556="No",ROUND(AVERAGE(L556:M556),1),"")))</f>
        <v/>
      </c>
      <c r="R556" s="37" t="str">
        <f aca="false">IF(H556&lt;&gt;"Eligible","Screened out",IF(COUNT(L556:M556)=0,"Not started",IF(COUNT(L556:M556)=1,"One read done",IF(O556="Yes",IF(ISNUMBER(P556),"Complete","Needs third read"),"Complete"))))</f>
        <v>Screened out</v>
      </c>
      <c r="S556" s="37" t="str">
        <f aca="false">IF(Q556="","",COUNTIFS($C$5:$C$600,C556,$Q$5:$Q$600,"&gt;"&amp;Q556)+1)</f>
        <v/>
      </c>
      <c r="T556" s="37" t="str">
        <f aca="false">IF(Q556="","",IF(Q556&gt;=Cutoff,"Yes","No"))</f>
        <v/>
      </c>
      <c r="U556" s="49" t="n">
        <f aca="false">IF(T556="Yes",MIN(F556,INDEX(Settings!$G:$G,MATCH(C556,Settings!$E:$E,0))),0)</f>
        <v>0</v>
      </c>
      <c r="V556" s="49" t="str">
        <f aca="false">IF(T556="Yes",SUMIFS($U$5:$U$600,$C$5:$C$600,C556,$Q$5:$Q$600,"&gt;"&amp;Q556)+U556,"")</f>
        <v/>
      </c>
      <c r="W556" s="37" t="str">
        <f aca="false">IF(T556="Yes",IF(V556&lt;=INDEX(PoolList,MATCH(C556,ProgramList,0)),"Within pool","Over pool"),"")</f>
        <v/>
      </c>
      <c r="X556" s="37" t="str">
        <f aca="false">IF(O556="Yes",COUNTIF($O$5:O556,"Yes"),"")</f>
        <v/>
      </c>
    </row>
    <row r="557" customFormat="false" ht="15" hidden="false" customHeight="false" outlineLevel="0" collapsed="false">
      <c r="A557" s="35" t="s">
        <v>1297</v>
      </c>
      <c r="B557" s="35" t="s">
        <v>1298</v>
      </c>
      <c r="C557" s="35" t="s">
        <v>105</v>
      </c>
      <c r="D557" s="35" t="s">
        <v>174</v>
      </c>
      <c r="E557" s="35" t="s">
        <v>175</v>
      </c>
      <c r="F557" s="42" t="n">
        <v>47500</v>
      </c>
      <c r="G557" s="36" t="n">
        <v>45927</v>
      </c>
      <c r="H557" s="35" t="s">
        <v>54</v>
      </c>
      <c r="I557" s="35" t="s">
        <v>82</v>
      </c>
      <c r="J557" s="35" t="s">
        <v>85</v>
      </c>
      <c r="K557" s="35"/>
      <c r="L557" s="48" t="n">
        <f aca="false">IFERROR(AVERAGEIFS('Score Entry'!$M$5:$M$1276,'Score Entry'!$B$5:$B$1276,A557,'Score Entry'!$E$5:$E$1276,"Primary"),"")</f>
        <v>69</v>
      </c>
      <c r="M557" s="48" t="n">
        <f aca="false">IFERROR(AVERAGEIFS('Score Entry'!$M$5:$M$1276,'Score Entry'!$B$5:$B$1276,A557,'Score Entry'!$E$5:$E$1276,"Secondary"),"")</f>
        <v>74</v>
      </c>
      <c r="N557" s="48" t="n">
        <f aca="false">IF(COUNT(L557:M557)=2,ABS(L557-M557),"")</f>
        <v>5</v>
      </c>
      <c r="O557" s="37" t="str">
        <f aca="false">IF(N557="","",IF(N557&gt;=Threshold,"Yes","No"))</f>
        <v>No</v>
      </c>
      <c r="P557" s="48" t="str">
        <f aca="false">IFERROR(AVERAGEIFS('Score Entry'!$M$5:$M$1276,'Score Entry'!$B$5:$B$1276,A557,'Score Entry'!$E$5:$E$1276,"Third"),"")</f>
        <v/>
      </c>
      <c r="Q557" s="48" t="n">
        <f aca="false">IF(H557&lt;&gt;"Eligible","",IF(O557="Yes",IF(ISNUMBER(P557),ROUND(AVERAGE(L557,M557,P557),1),""),IF(O557="No",ROUND(AVERAGE(L557:M557),1),"")))</f>
        <v>71.5</v>
      </c>
      <c r="R557" s="37" t="str">
        <f aca="false">IF(H557&lt;&gt;"Eligible","Screened out",IF(COUNT(L557:M557)=0,"Not started",IF(COUNT(L557:M557)=1,"One read done",IF(O557="Yes",IF(ISNUMBER(P557),"Complete","Needs third read"),"Complete"))))</f>
        <v>Complete</v>
      </c>
      <c r="S557" s="37" t="n">
        <f aca="false">IF(Q557="","",COUNTIFS($C$5:$C$600,C557,$Q$5:$Q$600,"&gt;"&amp;Q557)+1)</f>
        <v>36</v>
      </c>
      <c r="T557" s="37" t="str">
        <f aca="false">IF(Q557="","",IF(Q557&gt;=Cutoff,"Yes","No"))</f>
        <v>No</v>
      </c>
      <c r="U557" s="49" t="n">
        <f aca="false">IF(T557="Yes",MIN(F557,INDEX(Settings!$G:$G,MATCH(C557,Settings!$E:$E,0))),0)</f>
        <v>0</v>
      </c>
      <c r="V557" s="49" t="str">
        <f aca="false">IF(T557="Yes",SUMIFS($U$5:$U$600,$C$5:$C$600,C557,$Q$5:$Q$600,"&gt;"&amp;Q557)+U557,"")</f>
        <v/>
      </c>
      <c r="W557" s="37" t="str">
        <f aca="false">IF(T557="Yes",IF(V557&lt;=INDEX(PoolList,MATCH(C557,ProgramList,0)),"Within pool","Over pool"),"")</f>
        <v/>
      </c>
      <c r="X557" s="37" t="str">
        <f aca="false">IF(O557="Yes",COUNTIF($O$5:O557,"Yes"),"")</f>
        <v/>
      </c>
    </row>
    <row r="558" customFormat="false" ht="15" hidden="false" customHeight="false" outlineLevel="0" collapsed="false">
      <c r="A558" s="35" t="s">
        <v>1299</v>
      </c>
      <c r="B558" s="35" t="s">
        <v>1300</v>
      </c>
      <c r="C558" s="35" t="s">
        <v>106</v>
      </c>
      <c r="D558" s="35" t="s">
        <v>221</v>
      </c>
      <c r="E558" s="35" t="s">
        <v>258</v>
      </c>
      <c r="F558" s="42" t="n">
        <v>36000</v>
      </c>
      <c r="G558" s="36" t="n">
        <v>45927</v>
      </c>
      <c r="H558" s="35" t="s">
        <v>54</v>
      </c>
      <c r="I558" s="35" t="s">
        <v>94</v>
      </c>
      <c r="J558" s="35" t="s">
        <v>82</v>
      </c>
      <c r="K558" s="35"/>
      <c r="L558" s="48" t="n">
        <f aca="false">IFERROR(AVERAGEIFS('Score Entry'!$M$5:$M$1276,'Score Entry'!$B$5:$B$1276,A558,'Score Entry'!$E$5:$E$1276,"Primary"),"")</f>
        <v>76</v>
      </c>
      <c r="M558" s="48" t="n">
        <f aca="false">IFERROR(AVERAGEIFS('Score Entry'!$M$5:$M$1276,'Score Entry'!$B$5:$B$1276,A558,'Score Entry'!$E$5:$E$1276,"Secondary"),"")</f>
        <v>80</v>
      </c>
      <c r="N558" s="48" t="n">
        <f aca="false">IF(COUNT(L558:M558)=2,ABS(L558-M558),"")</f>
        <v>4</v>
      </c>
      <c r="O558" s="37" t="str">
        <f aca="false">IF(N558="","",IF(N558&gt;=Threshold,"Yes","No"))</f>
        <v>No</v>
      </c>
      <c r="P558" s="48" t="str">
        <f aca="false">IFERROR(AVERAGEIFS('Score Entry'!$M$5:$M$1276,'Score Entry'!$B$5:$B$1276,A558,'Score Entry'!$E$5:$E$1276,"Third"),"")</f>
        <v/>
      </c>
      <c r="Q558" s="48" t="n">
        <f aca="false">IF(H558&lt;&gt;"Eligible","",IF(O558="Yes",IF(ISNUMBER(P558),ROUND(AVERAGE(L558,M558,P558),1),""),IF(O558="No",ROUND(AVERAGE(L558:M558),1),"")))</f>
        <v>78</v>
      </c>
      <c r="R558" s="37" t="str">
        <f aca="false">IF(H558&lt;&gt;"Eligible","Screened out",IF(COUNT(L558:M558)=0,"Not started",IF(COUNT(L558:M558)=1,"One read done",IF(O558="Yes",IF(ISNUMBER(P558),"Complete","Needs third read"),"Complete"))))</f>
        <v>Complete</v>
      </c>
      <c r="S558" s="37" t="n">
        <f aca="false">IF(Q558="","",COUNTIFS($C$5:$C$600,C558,$Q$5:$Q$600,"&gt;"&amp;Q558)+1)</f>
        <v>26</v>
      </c>
      <c r="T558" s="37" t="str">
        <f aca="false">IF(Q558="","",IF(Q558&gt;=Cutoff,"Yes","No"))</f>
        <v>No</v>
      </c>
      <c r="U558" s="49" t="n">
        <f aca="false">IF(T558="Yes",MIN(F558,INDEX(Settings!$G:$G,MATCH(C558,Settings!$E:$E,0))),0)</f>
        <v>0</v>
      </c>
      <c r="V558" s="49" t="str">
        <f aca="false">IF(T558="Yes",SUMIFS($U$5:$U$600,$C$5:$C$600,C558,$Q$5:$Q$600,"&gt;"&amp;Q558)+U558,"")</f>
        <v/>
      </c>
      <c r="W558" s="37" t="str">
        <f aca="false">IF(T558="Yes",IF(V558&lt;=INDEX(PoolList,MATCH(C558,ProgramList,0)),"Within pool","Over pool"),"")</f>
        <v/>
      </c>
      <c r="X558" s="37" t="str">
        <f aca="false">IF(O558="Yes",COUNTIF($O$5:O558,"Yes"),"")</f>
        <v/>
      </c>
    </row>
    <row r="559" customFormat="false" ht="15" hidden="false" customHeight="false" outlineLevel="0" collapsed="false">
      <c r="A559" s="35" t="s">
        <v>1301</v>
      </c>
      <c r="B559" s="35" t="s">
        <v>1302</v>
      </c>
      <c r="C559" s="35" t="s">
        <v>103</v>
      </c>
      <c r="D559" s="35" t="s">
        <v>174</v>
      </c>
      <c r="E559" s="35" t="s">
        <v>175</v>
      </c>
      <c r="F559" s="42" t="n">
        <v>132500</v>
      </c>
      <c r="G559" s="36" t="n">
        <v>45914</v>
      </c>
      <c r="H559" s="35" t="s">
        <v>54</v>
      </c>
      <c r="I559" s="35" t="s">
        <v>78</v>
      </c>
      <c r="J559" s="35" t="s">
        <v>88</v>
      </c>
      <c r="K559" s="35"/>
      <c r="L559" s="48" t="n">
        <f aca="false">IFERROR(AVERAGEIFS('Score Entry'!$M$5:$M$1276,'Score Entry'!$B$5:$B$1276,A559,'Score Entry'!$E$5:$E$1276,"Primary"),"")</f>
        <v>75</v>
      </c>
      <c r="M559" s="48" t="n">
        <f aca="false">IFERROR(AVERAGEIFS('Score Entry'!$M$5:$M$1276,'Score Entry'!$B$5:$B$1276,A559,'Score Entry'!$E$5:$E$1276,"Secondary"),"")</f>
        <v>63</v>
      </c>
      <c r="N559" s="48" t="n">
        <f aca="false">IF(COUNT(L559:M559)=2,ABS(L559-M559),"")</f>
        <v>12</v>
      </c>
      <c r="O559" s="37" t="str">
        <f aca="false">IF(N559="","",IF(N559&gt;=Threshold,"Yes","No"))</f>
        <v>No</v>
      </c>
      <c r="P559" s="48" t="str">
        <f aca="false">IFERROR(AVERAGEIFS('Score Entry'!$M$5:$M$1276,'Score Entry'!$B$5:$B$1276,A559,'Score Entry'!$E$5:$E$1276,"Third"),"")</f>
        <v/>
      </c>
      <c r="Q559" s="48" t="n">
        <f aca="false">IF(H559&lt;&gt;"Eligible","",IF(O559="Yes",IF(ISNUMBER(P559),ROUND(AVERAGE(L559,M559,P559),1),""),IF(O559="No",ROUND(AVERAGE(L559:M559),1),"")))</f>
        <v>69</v>
      </c>
      <c r="R559" s="37" t="str">
        <f aca="false">IF(H559&lt;&gt;"Eligible","Screened out",IF(COUNT(L559:M559)=0,"Not started",IF(COUNT(L559:M559)=1,"One read done",IF(O559="Yes",IF(ISNUMBER(P559),"Complete","Needs third read"),"Complete"))))</f>
        <v>Complete</v>
      </c>
      <c r="S559" s="37" t="n">
        <f aca="false">IF(Q559="","",COUNTIFS($C$5:$C$600,C559,$Q$5:$Q$600,"&gt;"&amp;Q559)+1)</f>
        <v>69</v>
      </c>
      <c r="T559" s="37" t="str">
        <f aca="false">IF(Q559="","",IF(Q559&gt;=Cutoff,"Yes","No"))</f>
        <v>No</v>
      </c>
      <c r="U559" s="49" t="n">
        <f aca="false">IF(T559="Yes",MIN(F559,INDEX(Settings!$G:$G,MATCH(C559,Settings!$E:$E,0))),0)</f>
        <v>0</v>
      </c>
      <c r="V559" s="49" t="str">
        <f aca="false">IF(T559="Yes",SUMIFS($U$5:$U$600,$C$5:$C$600,C559,$Q$5:$Q$600,"&gt;"&amp;Q559)+U559,"")</f>
        <v/>
      </c>
      <c r="W559" s="37" t="str">
        <f aca="false">IF(T559="Yes",IF(V559&lt;=INDEX(PoolList,MATCH(C559,ProgramList,0)),"Within pool","Over pool"),"")</f>
        <v/>
      </c>
      <c r="X559" s="37" t="str">
        <f aca="false">IF(O559="Yes",COUNTIF($O$5:O559,"Yes"),"")</f>
        <v/>
      </c>
    </row>
    <row r="560" customFormat="false" ht="15" hidden="false" customHeight="false" outlineLevel="0" collapsed="false">
      <c r="A560" s="35" t="s">
        <v>1303</v>
      </c>
      <c r="B560" s="35" t="s">
        <v>1304</v>
      </c>
      <c r="C560" s="35" t="s">
        <v>104</v>
      </c>
      <c r="D560" s="35" t="s">
        <v>174</v>
      </c>
      <c r="E560" s="35" t="s">
        <v>175</v>
      </c>
      <c r="F560" s="42" t="n">
        <v>145500</v>
      </c>
      <c r="G560" s="36" t="n">
        <v>45918</v>
      </c>
      <c r="H560" s="35" t="s">
        <v>54</v>
      </c>
      <c r="I560" s="35" t="s">
        <v>91</v>
      </c>
      <c r="J560" s="35" t="s">
        <v>85</v>
      </c>
      <c r="K560" s="35" t="s">
        <v>94</v>
      </c>
      <c r="L560" s="48" t="n">
        <f aca="false">IFERROR(AVERAGEIFS('Score Entry'!$M$5:$M$1276,'Score Entry'!$B$5:$B$1276,A560,'Score Entry'!$E$5:$E$1276,"Primary"),"")</f>
        <v>25</v>
      </c>
      <c r="M560" s="48" t="n">
        <f aca="false">IFERROR(AVERAGEIFS('Score Entry'!$M$5:$M$1276,'Score Entry'!$B$5:$B$1276,A560,'Score Entry'!$E$5:$E$1276,"Secondary"),"")</f>
        <v>60</v>
      </c>
      <c r="N560" s="48" t="n">
        <f aca="false">IF(COUNT(L560:M560)=2,ABS(L560-M560),"")</f>
        <v>35</v>
      </c>
      <c r="O560" s="37" t="str">
        <f aca="false">IF(N560="","",IF(N560&gt;=Threshold,"Yes","No"))</f>
        <v>Yes</v>
      </c>
      <c r="P560" s="48" t="str">
        <f aca="false">IFERROR(AVERAGEIFS('Score Entry'!$M$5:$M$1276,'Score Entry'!$B$5:$B$1276,A560,'Score Entry'!$E$5:$E$1276,"Third"),"")</f>
        <v/>
      </c>
      <c r="Q560" s="48" t="str">
        <f aca="false">IF(H560&lt;&gt;"Eligible","",IF(O560="Yes",IF(ISNUMBER(P560),ROUND(AVERAGE(L560,M560,P560),1),""),IF(O560="No",ROUND(AVERAGE(L560:M560),1),"")))</f>
        <v/>
      </c>
      <c r="R560" s="37" t="str">
        <f aca="false">IF(H560&lt;&gt;"Eligible","Screened out",IF(COUNT(L560:M560)=0,"Not started",IF(COUNT(L560:M560)=1,"One read done",IF(O560="Yes",IF(ISNUMBER(P560),"Complete","Needs third read"),"Complete"))))</f>
        <v>Needs third read</v>
      </c>
      <c r="S560" s="37" t="str">
        <f aca="false">IF(Q560="","",COUNTIFS($C$5:$C$600,C560,$Q$5:$Q$600,"&gt;"&amp;Q560)+1)</f>
        <v/>
      </c>
      <c r="T560" s="37" t="str">
        <f aca="false">IF(Q560="","",IF(Q560&gt;=Cutoff,"Yes","No"))</f>
        <v/>
      </c>
      <c r="U560" s="49" t="n">
        <f aca="false">IF(T560="Yes",MIN(F560,INDEX(Settings!$G:$G,MATCH(C560,Settings!$E:$E,0))),0)</f>
        <v>0</v>
      </c>
      <c r="V560" s="49" t="str">
        <f aca="false">IF(T560="Yes",SUMIFS($U$5:$U$600,$C$5:$C$600,C560,$Q$5:$Q$600,"&gt;"&amp;Q560)+U560,"")</f>
        <v/>
      </c>
      <c r="W560" s="37" t="str">
        <f aca="false">IF(T560="Yes",IF(V560&lt;=INDEX(PoolList,MATCH(C560,ProgramList,0)),"Within pool","Over pool"),"")</f>
        <v/>
      </c>
      <c r="X560" s="37" t="n">
        <f aca="false">IF(O560="Yes",COUNTIF($O$5:O560,"Yes"),"")</f>
        <v>68</v>
      </c>
    </row>
    <row r="561" customFormat="false" ht="15" hidden="false" customHeight="false" outlineLevel="0" collapsed="false">
      <c r="A561" s="35" t="s">
        <v>1305</v>
      </c>
      <c r="B561" s="35" t="s">
        <v>1306</v>
      </c>
      <c r="C561" s="35" t="s">
        <v>104</v>
      </c>
      <c r="D561" s="35" t="s">
        <v>180</v>
      </c>
      <c r="E561" s="35" t="s">
        <v>269</v>
      </c>
      <c r="F561" s="42" t="n">
        <v>134500</v>
      </c>
      <c r="G561" s="36" t="n">
        <v>45913</v>
      </c>
      <c r="H561" s="35" t="s">
        <v>54</v>
      </c>
      <c r="I561" s="35" t="s">
        <v>94</v>
      </c>
      <c r="J561" s="35" t="s">
        <v>85</v>
      </c>
      <c r="K561" s="35"/>
      <c r="L561" s="48" t="n">
        <f aca="false">IFERROR(AVERAGEIFS('Score Entry'!$M$5:$M$1276,'Score Entry'!$B$5:$B$1276,A561,'Score Entry'!$E$5:$E$1276,"Primary"),"")</f>
        <v>76</v>
      </c>
      <c r="M561" s="48" t="n">
        <f aca="false">IFERROR(AVERAGEIFS('Score Entry'!$M$5:$M$1276,'Score Entry'!$B$5:$B$1276,A561,'Score Entry'!$E$5:$E$1276,"Secondary"),"")</f>
        <v>76</v>
      </c>
      <c r="N561" s="48" t="n">
        <f aca="false">IF(COUNT(L561:M561)=2,ABS(L561-M561),"")</f>
        <v>0</v>
      </c>
      <c r="O561" s="37" t="str">
        <f aca="false">IF(N561="","",IF(N561&gt;=Threshold,"Yes","No"))</f>
        <v>No</v>
      </c>
      <c r="P561" s="48" t="str">
        <f aca="false">IFERROR(AVERAGEIFS('Score Entry'!$M$5:$M$1276,'Score Entry'!$B$5:$B$1276,A561,'Score Entry'!$E$5:$E$1276,"Third"),"")</f>
        <v/>
      </c>
      <c r="Q561" s="48" t="n">
        <f aca="false">IF(H561&lt;&gt;"Eligible","",IF(O561="Yes",IF(ISNUMBER(P561),ROUND(AVERAGE(L561,M561,P561),1),""),IF(O561="No",ROUND(AVERAGE(L561:M561),1),"")))</f>
        <v>76</v>
      </c>
      <c r="R561" s="37" t="str">
        <f aca="false">IF(H561&lt;&gt;"Eligible","Screened out",IF(COUNT(L561:M561)=0,"Not started",IF(COUNT(L561:M561)=1,"One read done",IF(O561="Yes",IF(ISNUMBER(P561),"Complete","Needs third read"),"Complete"))))</f>
        <v>Complete</v>
      </c>
      <c r="S561" s="37" t="n">
        <f aca="false">IF(Q561="","",COUNTIFS($C$5:$C$600,C561,$Q$5:$Q$600,"&gt;"&amp;Q561)+1)</f>
        <v>30</v>
      </c>
      <c r="T561" s="37" t="str">
        <f aca="false">IF(Q561="","",IF(Q561&gt;=Cutoff,"Yes","No"))</f>
        <v>No</v>
      </c>
      <c r="U561" s="49" t="n">
        <f aca="false">IF(T561="Yes",MIN(F561,INDEX(Settings!$G:$G,MATCH(C561,Settings!$E:$E,0))),0)</f>
        <v>0</v>
      </c>
      <c r="V561" s="49" t="str">
        <f aca="false">IF(T561="Yes",SUMIFS($U$5:$U$600,$C$5:$C$600,C561,$Q$5:$Q$600,"&gt;"&amp;Q561)+U561,"")</f>
        <v/>
      </c>
      <c r="W561" s="37" t="str">
        <f aca="false">IF(T561="Yes",IF(V561&lt;=INDEX(PoolList,MATCH(C561,ProgramList,0)),"Within pool","Over pool"),"")</f>
        <v/>
      </c>
      <c r="X561" s="37" t="str">
        <f aca="false">IF(O561="Yes",COUNTIF($O$5:O561,"Yes"),"")</f>
        <v/>
      </c>
    </row>
    <row r="562" customFormat="false" ht="15" hidden="false" customHeight="false" outlineLevel="0" collapsed="false">
      <c r="A562" s="35" t="s">
        <v>1307</v>
      </c>
      <c r="B562" s="35" t="s">
        <v>1308</v>
      </c>
      <c r="C562" s="35" t="s">
        <v>105</v>
      </c>
      <c r="D562" s="35" t="s">
        <v>239</v>
      </c>
      <c r="E562" s="35" t="s">
        <v>240</v>
      </c>
      <c r="F562" s="42" t="n">
        <v>78000</v>
      </c>
      <c r="G562" s="36" t="n">
        <v>45927</v>
      </c>
      <c r="H562" s="35" t="s">
        <v>54</v>
      </c>
      <c r="I562" s="35" t="s">
        <v>88</v>
      </c>
      <c r="J562" s="35" t="s">
        <v>78</v>
      </c>
      <c r="K562" s="35"/>
      <c r="L562" s="48" t="n">
        <f aca="false">IFERROR(AVERAGEIFS('Score Entry'!$M$5:$M$1276,'Score Entry'!$B$5:$B$1276,A562,'Score Entry'!$E$5:$E$1276,"Primary"),"")</f>
        <v>33</v>
      </c>
      <c r="M562" s="48" t="n">
        <f aca="false">IFERROR(AVERAGEIFS('Score Entry'!$M$5:$M$1276,'Score Entry'!$B$5:$B$1276,A562,'Score Entry'!$E$5:$E$1276,"Secondary"),"")</f>
        <v>38</v>
      </c>
      <c r="N562" s="48" t="n">
        <f aca="false">IF(COUNT(L562:M562)=2,ABS(L562-M562),"")</f>
        <v>5</v>
      </c>
      <c r="O562" s="37" t="str">
        <f aca="false">IF(N562="","",IF(N562&gt;=Threshold,"Yes","No"))</f>
        <v>No</v>
      </c>
      <c r="P562" s="48" t="str">
        <f aca="false">IFERROR(AVERAGEIFS('Score Entry'!$M$5:$M$1276,'Score Entry'!$B$5:$B$1276,A562,'Score Entry'!$E$5:$E$1276,"Third"),"")</f>
        <v/>
      </c>
      <c r="Q562" s="48" t="n">
        <f aca="false">IF(H562&lt;&gt;"Eligible","",IF(O562="Yes",IF(ISNUMBER(P562),ROUND(AVERAGE(L562,M562,P562),1),""),IF(O562="No",ROUND(AVERAGE(L562:M562),1),"")))</f>
        <v>35.5</v>
      </c>
      <c r="R562" s="37" t="str">
        <f aca="false">IF(H562&lt;&gt;"Eligible","Screened out",IF(COUNT(L562:M562)=0,"Not started",IF(COUNT(L562:M562)=1,"One read done",IF(O562="Yes",IF(ISNUMBER(P562),"Complete","Needs third read"),"Complete"))))</f>
        <v>Complete</v>
      </c>
      <c r="S562" s="37" t="n">
        <f aca="false">IF(Q562="","",COUNTIFS($C$5:$C$600,C562,$Q$5:$Q$600,"&gt;"&amp;Q562)+1)</f>
        <v>102</v>
      </c>
      <c r="T562" s="37" t="str">
        <f aca="false">IF(Q562="","",IF(Q562&gt;=Cutoff,"Yes","No"))</f>
        <v>No</v>
      </c>
      <c r="U562" s="49" t="n">
        <f aca="false">IF(T562="Yes",MIN(F562,INDEX(Settings!$G:$G,MATCH(C562,Settings!$E:$E,0))),0)</f>
        <v>0</v>
      </c>
      <c r="V562" s="49" t="str">
        <f aca="false">IF(T562="Yes",SUMIFS($U$5:$U$600,$C$5:$C$600,C562,$Q$5:$Q$600,"&gt;"&amp;Q562)+U562,"")</f>
        <v/>
      </c>
      <c r="W562" s="37" t="str">
        <f aca="false">IF(T562="Yes",IF(V562&lt;=INDEX(PoolList,MATCH(C562,ProgramList,0)),"Within pool","Over pool"),"")</f>
        <v/>
      </c>
      <c r="X562" s="37" t="str">
        <f aca="false">IF(O562="Yes",COUNTIF($O$5:O562,"Yes"),"")</f>
        <v/>
      </c>
    </row>
    <row r="563" customFormat="false" ht="15" hidden="false" customHeight="false" outlineLevel="0" collapsed="false">
      <c r="A563" s="35" t="s">
        <v>1309</v>
      </c>
      <c r="B563" s="35" t="s">
        <v>1310</v>
      </c>
      <c r="C563" s="35" t="s">
        <v>103</v>
      </c>
      <c r="D563" s="35" t="s">
        <v>180</v>
      </c>
      <c r="E563" s="35" t="s">
        <v>269</v>
      </c>
      <c r="F563" s="42" t="n">
        <v>76500</v>
      </c>
      <c r="G563" s="36" t="n">
        <v>45917</v>
      </c>
      <c r="H563" s="35" t="s">
        <v>54</v>
      </c>
      <c r="I563" s="35" t="s">
        <v>91</v>
      </c>
      <c r="J563" s="35" t="s">
        <v>82</v>
      </c>
      <c r="K563" s="35"/>
      <c r="L563" s="48" t="n">
        <f aca="false">IFERROR(AVERAGEIFS('Score Entry'!$M$5:$M$1276,'Score Entry'!$B$5:$B$1276,A563,'Score Entry'!$E$5:$E$1276,"Primary"),"")</f>
        <v>73</v>
      </c>
      <c r="M563" s="48" t="n">
        <f aca="false">IFERROR(AVERAGEIFS('Score Entry'!$M$5:$M$1276,'Score Entry'!$B$5:$B$1276,A563,'Score Entry'!$E$5:$E$1276,"Secondary"),"")</f>
        <v>64</v>
      </c>
      <c r="N563" s="48" t="n">
        <f aca="false">IF(COUNT(L563:M563)=2,ABS(L563-M563),"")</f>
        <v>9</v>
      </c>
      <c r="O563" s="37" t="str">
        <f aca="false">IF(N563="","",IF(N563&gt;=Threshold,"Yes","No"))</f>
        <v>No</v>
      </c>
      <c r="P563" s="48" t="str">
        <f aca="false">IFERROR(AVERAGEIFS('Score Entry'!$M$5:$M$1276,'Score Entry'!$B$5:$B$1276,A563,'Score Entry'!$E$5:$E$1276,"Third"),"")</f>
        <v/>
      </c>
      <c r="Q563" s="48" t="n">
        <f aca="false">IF(H563&lt;&gt;"Eligible","",IF(O563="Yes",IF(ISNUMBER(P563),ROUND(AVERAGE(L563,M563,P563),1),""),IF(O563="No",ROUND(AVERAGE(L563:M563),1),"")))</f>
        <v>68.5</v>
      </c>
      <c r="R563" s="37" t="str">
        <f aca="false">IF(H563&lt;&gt;"Eligible","Screened out",IF(COUNT(L563:M563)=0,"Not started",IF(COUNT(L563:M563)=1,"One read done",IF(O563="Yes",IF(ISNUMBER(P563),"Complete","Needs third read"),"Complete"))))</f>
        <v>Complete</v>
      </c>
      <c r="S563" s="37" t="n">
        <f aca="false">IF(Q563="","",COUNTIFS($C$5:$C$600,C563,$Q$5:$Q$600,"&gt;"&amp;Q563)+1)</f>
        <v>71</v>
      </c>
      <c r="T563" s="37" t="str">
        <f aca="false">IF(Q563="","",IF(Q563&gt;=Cutoff,"Yes","No"))</f>
        <v>No</v>
      </c>
      <c r="U563" s="49" t="n">
        <f aca="false">IF(T563="Yes",MIN(F563,INDEX(Settings!$G:$G,MATCH(C563,Settings!$E:$E,0))),0)</f>
        <v>0</v>
      </c>
      <c r="V563" s="49" t="str">
        <f aca="false">IF(T563="Yes",SUMIFS($U$5:$U$600,$C$5:$C$600,C563,$Q$5:$Q$600,"&gt;"&amp;Q563)+U563,"")</f>
        <v/>
      </c>
      <c r="W563" s="37" t="str">
        <f aca="false">IF(T563="Yes",IF(V563&lt;=INDEX(PoolList,MATCH(C563,ProgramList,0)),"Within pool","Over pool"),"")</f>
        <v/>
      </c>
      <c r="X563" s="37" t="str">
        <f aca="false">IF(O563="Yes",COUNTIF($O$5:O563,"Yes"),"")</f>
        <v/>
      </c>
    </row>
    <row r="564" customFormat="false" ht="15" hidden="false" customHeight="false" outlineLevel="0" collapsed="false">
      <c r="A564" s="35" t="s">
        <v>1311</v>
      </c>
      <c r="B564" s="35" t="s">
        <v>1312</v>
      </c>
      <c r="C564" s="35" t="s">
        <v>104</v>
      </c>
      <c r="D564" s="35" t="s">
        <v>174</v>
      </c>
      <c r="E564" s="35" t="s">
        <v>175</v>
      </c>
      <c r="F564" s="42" t="n">
        <v>167000</v>
      </c>
      <c r="G564" s="36" t="n">
        <v>45927</v>
      </c>
      <c r="H564" s="35" t="s">
        <v>54</v>
      </c>
      <c r="I564" s="35" t="s">
        <v>88</v>
      </c>
      <c r="J564" s="35" t="s">
        <v>78</v>
      </c>
      <c r="K564" s="35"/>
      <c r="L564" s="48" t="n">
        <f aca="false">IFERROR(AVERAGEIFS('Score Entry'!$M$5:$M$1276,'Score Entry'!$B$5:$B$1276,A564,'Score Entry'!$E$5:$E$1276,"Primary"),"")</f>
        <v>93</v>
      </c>
      <c r="M564" s="48" t="n">
        <f aca="false">IFERROR(AVERAGEIFS('Score Entry'!$M$5:$M$1276,'Score Entry'!$B$5:$B$1276,A564,'Score Entry'!$E$5:$E$1276,"Secondary"),"")</f>
        <v>96</v>
      </c>
      <c r="N564" s="48" t="n">
        <f aca="false">IF(COUNT(L564:M564)=2,ABS(L564-M564),"")</f>
        <v>3</v>
      </c>
      <c r="O564" s="37" t="str">
        <f aca="false">IF(N564="","",IF(N564&gt;=Threshold,"Yes","No"))</f>
        <v>No</v>
      </c>
      <c r="P564" s="48" t="str">
        <f aca="false">IFERROR(AVERAGEIFS('Score Entry'!$M$5:$M$1276,'Score Entry'!$B$5:$B$1276,A564,'Score Entry'!$E$5:$E$1276,"Third"),"")</f>
        <v/>
      </c>
      <c r="Q564" s="48" t="n">
        <f aca="false">IF(H564&lt;&gt;"Eligible","",IF(O564="Yes",IF(ISNUMBER(P564),ROUND(AVERAGE(L564,M564,P564),1),""),IF(O564="No",ROUND(AVERAGE(L564:M564),1),"")))</f>
        <v>94.5</v>
      </c>
      <c r="R564" s="37" t="str">
        <f aca="false">IF(H564&lt;&gt;"Eligible","Screened out",IF(COUNT(L564:M564)=0,"Not started",IF(COUNT(L564:M564)=1,"One read done",IF(O564="Yes",IF(ISNUMBER(P564),"Complete","Needs third read"),"Complete"))))</f>
        <v>Complete</v>
      </c>
      <c r="S564" s="37" t="n">
        <f aca="false">IF(Q564="","",COUNTIFS($C$5:$C$600,C564,$Q$5:$Q$600,"&gt;"&amp;Q564)+1)</f>
        <v>4</v>
      </c>
      <c r="T564" s="37" t="str">
        <f aca="false">IF(Q564="","",IF(Q564&gt;=Cutoff,"Yes","No"))</f>
        <v>Yes</v>
      </c>
      <c r="U564" s="49" t="n">
        <f aca="false">IF(T564="Yes",MIN(F564,INDEX(Settings!$G:$G,MATCH(C564,Settings!$E:$E,0))),0)</f>
        <v>167000</v>
      </c>
      <c r="V564" s="49" t="n">
        <f aca="false">IF(T564="Yes",SUMIFS($U$5:$U$600,$C$5:$C$600,C564,$Q$5:$Q$600,"&gt;"&amp;Q564)+U564,"")</f>
        <v>318500</v>
      </c>
      <c r="W564" s="37" t="str">
        <f aca="false">IF(T564="Yes",IF(V564&lt;=INDEX(PoolList,MATCH(C564,ProgramList,0)),"Within pool","Over pool"),"")</f>
        <v>Within pool</v>
      </c>
      <c r="X564" s="37" t="str">
        <f aca="false">IF(O564="Yes",COUNTIF($O$5:O564,"Yes"),"")</f>
        <v/>
      </c>
    </row>
    <row r="565" customFormat="false" ht="15" hidden="false" customHeight="false" outlineLevel="0" collapsed="false">
      <c r="A565" s="35" t="s">
        <v>1313</v>
      </c>
      <c r="B565" s="35" t="s">
        <v>1314</v>
      </c>
      <c r="C565" s="35" t="s">
        <v>106</v>
      </c>
      <c r="D565" s="35" t="s">
        <v>239</v>
      </c>
      <c r="E565" s="35" t="s">
        <v>554</v>
      </c>
      <c r="F565" s="42" t="n">
        <v>91500</v>
      </c>
      <c r="G565" s="36" t="n">
        <v>45927</v>
      </c>
      <c r="H565" s="35" t="s">
        <v>54</v>
      </c>
      <c r="I565" s="35" t="s">
        <v>82</v>
      </c>
      <c r="J565" s="35" t="s">
        <v>91</v>
      </c>
      <c r="K565" s="35"/>
      <c r="L565" s="48" t="n">
        <f aca="false">IFERROR(AVERAGEIFS('Score Entry'!$M$5:$M$1276,'Score Entry'!$B$5:$B$1276,A565,'Score Entry'!$E$5:$E$1276,"Primary"),"")</f>
        <v>70</v>
      </c>
      <c r="M565" s="48" t="n">
        <f aca="false">IFERROR(AVERAGEIFS('Score Entry'!$M$5:$M$1276,'Score Entry'!$B$5:$B$1276,A565,'Score Entry'!$E$5:$E$1276,"Secondary"),"")</f>
        <v>74</v>
      </c>
      <c r="N565" s="48" t="n">
        <f aca="false">IF(COUNT(L565:M565)=2,ABS(L565-M565),"")</f>
        <v>4</v>
      </c>
      <c r="O565" s="37" t="str">
        <f aca="false">IF(N565="","",IF(N565&gt;=Threshold,"Yes","No"))</f>
        <v>No</v>
      </c>
      <c r="P565" s="48" t="str">
        <f aca="false">IFERROR(AVERAGEIFS('Score Entry'!$M$5:$M$1276,'Score Entry'!$B$5:$B$1276,A565,'Score Entry'!$E$5:$E$1276,"Third"),"")</f>
        <v/>
      </c>
      <c r="Q565" s="48" t="n">
        <f aca="false">IF(H565&lt;&gt;"Eligible","",IF(O565="Yes",IF(ISNUMBER(P565),ROUND(AVERAGE(L565,M565,P565),1),""),IF(O565="No",ROUND(AVERAGE(L565:M565),1),"")))</f>
        <v>72</v>
      </c>
      <c r="R565" s="37" t="str">
        <f aca="false">IF(H565&lt;&gt;"Eligible","Screened out",IF(COUNT(L565:M565)=0,"Not started",IF(COUNT(L565:M565)=1,"One read done",IF(O565="Yes",IF(ISNUMBER(P565),"Complete","Needs third read"),"Complete"))))</f>
        <v>Complete</v>
      </c>
      <c r="S565" s="37" t="n">
        <f aca="false">IF(Q565="","",COUNTIFS($C$5:$C$600,C565,$Q$5:$Q$600,"&gt;"&amp;Q565)+1)</f>
        <v>45</v>
      </c>
      <c r="T565" s="37" t="str">
        <f aca="false">IF(Q565="","",IF(Q565&gt;=Cutoff,"Yes","No"))</f>
        <v>No</v>
      </c>
      <c r="U565" s="49" t="n">
        <f aca="false">IF(T565="Yes",MIN(F565,INDEX(Settings!$G:$G,MATCH(C565,Settings!$E:$E,0))),0)</f>
        <v>0</v>
      </c>
      <c r="V565" s="49" t="str">
        <f aca="false">IF(T565="Yes",SUMIFS($U$5:$U$600,$C$5:$C$600,C565,$Q$5:$Q$600,"&gt;"&amp;Q565)+U565,"")</f>
        <v/>
      </c>
      <c r="W565" s="37" t="str">
        <f aca="false">IF(T565="Yes",IF(V565&lt;=INDEX(PoolList,MATCH(C565,ProgramList,0)),"Within pool","Over pool"),"")</f>
        <v/>
      </c>
      <c r="X565" s="37" t="str">
        <f aca="false">IF(O565="Yes",COUNTIF($O$5:O565,"Yes"),"")</f>
        <v/>
      </c>
    </row>
    <row r="566" customFormat="false" ht="15" hidden="false" customHeight="false" outlineLevel="0" collapsed="false">
      <c r="A566" s="35" t="s">
        <v>1315</v>
      </c>
      <c r="B566" s="35" t="s">
        <v>1316</v>
      </c>
      <c r="C566" s="35" t="s">
        <v>103</v>
      </c>
      <c r="D566" s="35" t="s">
        <v>174</v>
      </c>
      <c r="E566" s="35" t="s">
        <v>232</v>
      </c>
      <c r="F566" s="42" t="n">
        <v>83000</v>
      </c>
      <c r="G566" s="36" t="n">
        <v>45918</v>
      </c>
      <c r="H566" s="35" t="s">
        <v>96</v>
      </c>
      <c r="I566" s="35"/>
      <c r="J566" s="35"/>
      <c r="K566" s="35"/>
      <c r="L566" s="48" t="str">
        <f aca="false">IFERROR(AVERAGEIFS('Score Entry'!$M$5:$M$1276,'Score Entry'!$B$5:$B$1276,A566,'Score Entry'!$E$5:$E$1276,"Primary"),"")</f>
        <v/>
      </c>
      <c r="M566" s="48" t="str">
        <f aca="false">IFERROR(AVERAGEIFS('Score Entry'!$M$5:$M$1276,'Score Entry'!$B$5:$B$1276,A566,'Score Entry'!$E$5:$E$1276,"Secondary"),"")</f>
        <v/>
      </c>
      <c r="N566" s="48" t="str">
        <f aca="false">IF(COUNT(L566:M566)=2,ABS(L566-M566),"")</f>
        <v/>
      </c>
      <c r="O566" s="37" t="str">
        <f aca="false">IF(N566="","",IF(N566&gt;=Threshold,"Yes","No"))</f>
        <v/>
      </c>
      <c r="P566" s="48" t="str">
        <f aca="false">IFERROR(AVERAGEIFS('Score Entry'!$M$5:$M$1276,'Score Entry'!$B$5:$B$1276,A566,'Score Entry'!$E$5:$E$1276,"Third"),"")</f>
        <v/>
      </c>
      <c r="Q566" s="48" t="str">
        <f aca="false">IF(H566&lt;&gt;"Eligible","",IF(O566="Yes",IF(ISNUMBER(P566),ROUND(AVERAGE(L566,M566,P566),1),""),IF(O566="No",ROUND(AVERAGE(L566:M566),1),"")))</f>
        <v/>
      </c>
      <c r="R566" s="37" t="str">
        <f aca="false">IF(H566&lt;&gt;"Eligible","Screened out",IF(COUNT(L566:M566)=0,"Not started",IF(COUNT(L566:M566)=1,"One read done",IF(O566="Yes",IF(ISNUMBER(P566),"Complete","Needs third read"),"Complete"))))</f>
        <v>Screened out</v>
      </c>
      <c r="S566" s="37" t="str">
        <f aca="false">IF(Q566="","",COUNTIFS($C$5:$C$600,C566,$Q$5:$Q$600,"&gt;"&amp;Q566)+1)</f>
        <v/>
      </c>
      <c r="T566" s="37" t="str">
        <f aca="false">IF(Q566="","",IF(Q566&gt;=Cutoff,"Yes","No"))</f>
        <v/>
      </c>
      <c r="U566" s="49" t="n">
        <f aca="false">IF(T566="Yes",MIN(F566,INDEX(Settings!$G:$G,MATCH(C566,Settings!$E:$E,0))),0)</f>
        <v>0</v>
      </c>
      <c r="V566" s="49" t="str">
        <f aca="false">IF(T566="Yes",SUMIFS($U$5:$U$600,$C$5:$C$600,C566,$Q$5:$Q$600,"&gt;"&amp;Q566)+U566,"")</f>
        <v/>
      </c>
      <c r="W566" s="37" t="str">
        <f aca="false">IF(T566="Yes",IF(V566&lt;=INDEX(PoolList,MATCH(C566,ProgramList,0)),"Within pool","Over pool"),"")</f>
        <v/>
      </c>
      <c r="X566" s="37" t="str">
        <f aca="false">IF(O566="Yes",COUNTIF($O$5:O566,"Yes"),"")</f>
        <v/>
      </c>
    </row>
    <row r="567" customFormat="false" ht="15" hidden="false" customHeight="false" outlineLevel="0" collapsed="false">
      <c r="A567" s="35" t="s">
        <v>1317</v>
      </c>
      <c r="B567" s="35" t="s">
        <v>1318</v>
      </c>
      <c r="C567" s="35" t="s">
        <v>105</v>
      </c>
      <c r="D567" s="35" t="s">
        <v>180</v>
      </c>
      <c r="E567" s="35" t="s">
        <v>181</v>
      </c>
      <c r="F567" s="42" t="n">
        <v>35500</v>
      </c>
      <c r="G567" s="36" t="n">
        <v>45927</v>
      </c>
      <c r="H567" s="35" t="s">
        <v>54</v>
      </c>
      <c r="I567" s="35" t="s">
        <v>85</v>
      </c>
      <c r="J567" s="35" t="s">
        <v>88</v>
      </c>
      <c r="K567" s="35"/>
      <c r="L567" s="48" t="n">
        <f aca="false">IFERROR(AVERAGEIFS('Score Entry'!$M$5:$M$1276,'Score Entry'!$B$5:$B$1276,A567,'Score Entry'!$E$5:$E$1276,"Primary"),"")</f>
        <v>100</v>
      </c>
      <c r="M567" s="48" t="n">
        <f aca="false">IFERROR(AVERAGEIFS('Score Entry'!$M$5:$M$1276,'Score Entry'!$B$5:$B$1276,A567,'Score Entry'!$E$5:$E$1276,"Secondary"),"")</f>
        <v>97</v>
      </c>
      <c r="N567" s="48" t="n">
        <f aca="false">IF(COUNT(L567:M567)=2,ABS(L567-M567),"")</f>
        <v>3</v>
      </c>
      <c r="O567" s="37" t="str">
        <f aca="false">IF(N567="","",IF(N567&gt;=Threshold,"Yes","No"))</f>
        <v>No</v>
      </c>
      <c r="P567" s="48" t="str">
        <f aca="false">IFERROR(AVERAGEIFS('Score Entry'!$M$5:$M$1276,'Score Entry'!$B$5:$B$1276,A567,'Score Entry'!$E$5:$E$1276,"Third"),"")</f>
        <v/>
      </c>
      <c r="Q567" s="48" t="n">
        <f aca="false">IF(H567&lt;&gt;"Eligible","",IF(O567="Yes",IF(ISNUMBER(P567),ROUND(AVERAGE(L567,M567,P567),1),""),IF(O567="No",ROUND(AVERAGE(L567:M567),1),"")))</f>
        <v>98.5</v>
      </c>
      <c r="R567" s="37" t="str">
        <f aca="false">IF(H567&lt;&gt;"Eligible","Screened out",IF(COUNT(L567:M567)=0,"Not started",IF(COUNT(L567:M567)=1,"One read done",IF(O567="Yes",IF(ISNUMBER(P567),"Complete","Needs third read"),"Complete"))))</f>
        <v>Complete</v>
      </c>
      <c r="S567" s="37" t="n">
        <f aca="false">IF(Q567="","",COUNTIFS($C$5:$C$600,C567,$Q$5:$Q$600,"&gt;"&amp;Q567)+1)</f>
        <v>1</v>
      </c>
      <c r="T567" s="37" t="str">
        <f aca="false">IF(Q567="","",IF(Q567&gt;=Cutoff,"Yes","No"))</f>
        <v>Yes</v>
      </c>
      <c r="U567" s="49" t="n">
        <f aca="false">IF(T567="Yes",MIN(F567,INDEX(Settings!$G:$G,MATCH(C567,Settings!$E:$E,0))),0)</f>
        <v>35500</v>
      </c>
      <c r="V567" s="49" t="n">
        <f aca="false">IF(T567="Yes",SUMIFS($U$5:$U$600,$C$5:$C$600,C567,$Q$5:$Q$600,"&gt;"&amp;Q567)+U567,"")</f>
        <v>35500</v>
      </c>
      <c r="W567" s="37" t="str">
        <f aca="false">IF(T567="Yes",IF(V567&lt;=INDEX(PoolList,MATCH(C567,ProgramList,0)),"Within pool","Over pool"),"")</f>
        <v>Within pool</v>
      </c>
      <c r="X567" s="37" t="str">
        <f aca="false">IF(O567="Yes",COUNTIF($O$5:O567,"Yes"),"")</f>
        <v/>
      </c>
    </row>
    <row r="568" customFormat="false" ht="15" hidden="false" customHeight="false" outlineLevel="0" collapsed="false">
      <c r="A568" s="35" t="s">
        <v>1319</v>
      </c>
      <c r="B568" s="35" t="s">
        <v>1320</v>
      </c>
      <c r="C568" s="35" t="s">
        <v>105</v>
      </c>
      <c r="D568" s="35" t="s">
        <v>174</v>
      </c>
      <c r="E568" s="35" t="s">
        <v>175</v>
      </c>
      <c r="F568" s="42" t="n">
        <v>75000</v>
      </c>
      <c r="G568" s="36" t="n">
        <v>45919</v>
      </c>
      <c r="H568" s="35" t="s">
        <v>54</v>
      </c>
      <c r="I568" s="35" t="s">
        <v>85</v>
      </c>
      <c r="J568" s="35" t="s">
        <v>94</v>
      </c>
      <c r="K568" s="35"/>
      <c r="L568" s="48" t="n">
        <f aca="false">IFERROR(AVERAGEIFS('Score Entry'!$M$5:$M$1276,'Score Entry'!$B$5:$B$1276,A568,'Score Entry'!$E$5:$E$1276,"Primary"),"")</f>
        <v>70</v>
      </c>
      <c r="M568" s="48" t="n">
        <f aca="false">IFERROR(AVERAGEIFS('Score Entry'!$M$5:$M$1276,'Score Entry'!$B$5:$B$1276,A568,'Score Entry'!$E$5:$E$1276,"Secondary"),"")</f>
        <v>56</v>
      </c>
      <c r="N568" s="48" t="n">
        <f aca="false">IF(COUNT(L568:M568)=2,ABS(L568-M568),"")</f>
        <v>14</v>
      </c>
      <c r="O568" s="37" t="str">
        <f aca="false">IF(N568="","",IF(N568&gt;=Threshold,"Yes","No"))</f>
        <v>No</v>
      </c>
      <c r="P568" s="48" t="str">
        <f aca="false">IFERROR(AVERAGEIFS('Score Entry'!$M$5:$M$1276,'Score Entry'!$B$5:$B$1276,A568,'Score Entry'!$E$5:$E$1276,"Third"),"")</f>
        <v/>
      </c>
      <c r="Q568" s="48" t="n">
        <f aca="false">IF(H568&lt;&gt;"Eligible","",IF(O568="Yes",IF(ISNUMBER(P568),ROUND(AVERAGE(L568,M568,P568),1),""),IF(O568="No",ROUND(AVERAGE(L568:M568),1),"")))</f>
        <v>63</v>
      </c>
      <c r="R568" s="37" t="str">
        <f aca="false">IF(H568&lt;&gt;"Eligible","Screened out",IF(COUNT(L568:M568)=0,"Not started",IF(COUNT(L568:M568)=1,"One read done",IF(O568="Yes",IF(ISNUMBER(P568),"Complete","Needs third read"),"Complete"))))</f>
        <v>Complete</v>
      </c>
      <c r="S568" s="37" t="n">
        <f aca="false">IF(Q568="","",COUNTIFS($C$5:$C$600,C568,$Q$5:$Q$600,"&gt;"&amp;Q568)+1)</f>
        <v>64</v>
      </c>
      <c r="T568" s="37" t="str">
        <f aca="false">IF(Q568="","",IF(Q568&gt;=Cutoff,"Yes","No"))</f>
        <v>No</v>
      </c>
      <c r="U568" s="49" t="n">
        <f aca="false">IF(T568="Yes",MIN(F568,INDEX(Settings!$G:$G,MATCH(C568,Settings!$E:$E,0))),0)</f>
        <v>0</v>
      </c>
      <c r="V568" s="49" t="str">
        <f aca="false">IF(T568="Yes",SUMIFS($U$5:$U$600,$C$5:$C$600,C568,$Q$5:$Q$600,"&gt;"&amp;Q568)+U568,"")</f>
        <v/>
      </c>
      <c r="W568" s="37" t="str">
        <f aca="false">IF(T568="Yes",IF(V568&lt;=INDEX(PoolList,MATCH(C568,ProgramList,0)),"Within pool","Over pool"),"")</f>
        <v/>
      </c>
      <c r="X568" s="37" t="str">
        <f aca="false">IF(O568="Yes",COUNTIF($O$5:O568,"Yes"),"")</f>
        <v/>
      </c>
    </row>
    <row r="569" customFormat="false" ht="15" hidden="false" customHeight="false" outlineLevel="0" collapsed="false">
      <c r="A569" s="35" t="s">
        <v>1321</v>
      </c>
      <c r="B569" s="35" t="s">
        <v>1322</v>
      </c>
      <c r="C569" s="35" t="s">
        <v>105</v>
      </c>
      <c r="D569" s="35" t="s">
        <v>174</v>
      </c>
      <c r="E569" s="35" t="s">
        <v>175</v>
      </c>
      <c r="F569" s="42" t="n">
        <v>71500</v>
      </c>
      <c r="G569" s="36" t="n">
        <v>45919</v>
      </c>
      <c r="H569" s="35" t="s">
        <v>96</v>
      </c>
      <c r="I569" s="35"/>
      <c r="J569" s="35"/>
      <c r="K569" s="35"/>
      <c r="L569" s="48" t="str">
        <f aca="false">IFERROR(AVERAGEIFS('Score Entry'!$M$5:$M$1276,'Score Entry'!$B$5:$B$1276,A569,'Score Entry'!$E$5:$E$1276,"Primary"),"")</f>
        <v/>
      </c>
      <c r="M569" s="48" t="str">
        <f aca="false">IFERROR(AVERAGEIFS('Score Entry'!$M$5:$M$1276,'Score Entry'!$B$5:$B$1276,A569,'Score Entry'!$E$5:$E$1276,"Secondary"),"")</f>
        <v/>
      </c>
      <c r="N569" s="48" t="str">
        <f aca="false">IF(COUNT(L569:M569)=2,ABS(L569-M569),"")</f>
        <v/>
      </c>
      <c r="O569" s="37" t="str">
        <f aca="false">IF(N569="","",IF(N569&gt;=Threshold,"Yes","No"))</f>
        <v/>
      </c>
      <c r="P569" s="48" t="str">
        <f aca="false">IFERROR(AVERAGEIFS('Score Entry'!$M$5:$M$1276,'Score Entry'!$B$5:$B$1276,A569,'Score Entry'!$E$5:$E$1276,"Third"),"")</f>
        <v/>
      </c>
      <c r="Q569" s="48" t="str">
        <f aca="false">IF(H569&lt;&gt;"Eligible","",IF(O569="Yes",IF(ISNUMBER(P569),ROUND(AVERAGE(L569,M569,P569),1),""),IF(O569="No",ROUND(AVERAGE(L569:M569),1),"")))</f>
        <v/>
      </c>
      <c r="R569" s="37" t="str">
        <f aca="false">IF(H569&lt;&gt;"Eligible","Screened out",IF(COUNT(L569:M569)=0,"Not started",IF(COUNT(L569:M569)=1,"One read done",IF(O569="Yes",IF(ISNUMBER(P569),"Complete","Needs third read"),"Complete"))))</f>
        <v>Screened out</v>
      </c>
      <c r="S569" s="37" t="str">
        <f aca="false">IF(Q569="","",COUNTIFS($C$5:$C$600,C569,$Q$5:$Q$600,"&gt;"&amp;Q569)+1)</f>
        <v/>
      </c>
      <c r="T569" s="37" t="str">
        <f aca="false">IF(Q569="","",IF(Q569&gt;=Cutoff,"Yes","No"))</f>
        <v/>
      </c>
      <c r="U569" s="49" t="n">
        <f aca="false">IF(T569="Yes",MIN(F569,INDEX(Settings!$G:$G,MATCH(C569,Settings!$E:$E,0))),0)</f>
        <v>0</v>
      </c>
      <c r="V569" s="49" t="str">
        <f aca="false">IF(T569="Yes",SUMIFS($U$5:$U$600,$C$5:$C$600,C569,$Q$5:$Q$600,"&gt;"&amp;Q569)+U569,"")</f>
        <v/>
      </c>
      <c r="W569" s="37" t="str">
        <f aca="false">IF(T569="Yes",IF(V569&lt;=INDEX(PoolList,MATCH(C569,ProgramList,0)),"Within pool","Over pool"),"")</f>
        <v/>
      </c>
      <c r="X569" s="37" t="str">
        <f aca="false">IF(O569="Yes",COUNTIF($O$5:O569,"Yes"),"")</f>
        <v/>
      </c>
    </row>
    <row r="570" customFormat="false" ht="15" hidden="false" customHeight="false" outlineLevel="0" collapsed="false">
      <c r="A570" s="35" t="s">
        <v>1323</v>
      </c>
      <c r="B570" s="35" t="s">
        <v>1324</v>
      </c>
      <c r="C570" s="35" t="s">
        <v>104</v>
      </c>
      <c r="D570" s="35" t="s">
        <v>239</v>
      </c>
      <c r="E570" s="35" t="s">
        <v>240</v>
      </c>
      <c r="F570" s="42" t="n">
        <v>146000</v>
      </c>
      <c r="G570" s="36" t="n">
        <v>45917</v>
      </c>
      <c r="H570" s="35" t="s">
        <v>54</v>
      </c>
      <c r="I570" s="35" t="s">
        <v>78</v>
      </c>
      <c r="J570" s="35" t="s">
        <v>91</v>
      </c>
      <c r="K570" s="35"/>
      <c r="L570" s="48" t="n">
        <f aca="false">IFERROR(AVERAGEIFS('Score Entry'!$M$5:$M$1276,'Score Entry'!$B$5:$B$1276,A570,'Score Entry'!$E$5:$E$1276,"Primary"),"")</f>
        <v>62</v>
      </c>
      <c r="M570" s="48" t="n">
        <f aca="false">IFERROR(AVERAGEIFS('Score Entry'!$M$5:$M$1276,'Score Entry'!$B$5:$B$1276,A570,'Score Entry'!$E$5:$E$1276,"Secondary"),"")</f>
        <v>53</v>
      </c>
      <c r="N570" s="48" t="n">
        <f aca="false">IF(COUNT(L570:M570)=2,ABS(L570-M570),"")</f>
        <v>9</v>
      </c>
      <c r="O570" s="37" t="str">
        <f aca="false">IF(N570="","",IF(N570&gt;=Threshold,"Yes","No"))</f>
        <v>No</v>
      </c>
      <c r="P570" s="48" t="str">
        <f aca="false">IFERROR(AVERAGEIFS('Score Entry'!$M$5:$M$1276,'Score Entry'!$B$5:$B$1276,A570,'Score Entry'!$E$5:$E$1276,"Third"),"")</f>
        <v/>
      </c>
      <c r="Q570" s="48" t="n">
        <f aca="false">IF(H570&lt;&gt;"Eligible","",IF(O570="Yes",IF(ISNUMBER(P570),ROUND(AVERAGE(L570,M570,P570),1),""),IF(O570="No",ROUND(AVERAGE(L570:M570),1),"")))</f>
        <v>57.5</v>
      </c>
      <c r="R570" s="37" t="str">
        <f aca="false">IF(H570&lt;&gt;"Eligible","Screened out",IF(COUNT(L570:M570)=0,"Not started",IF(COUNT(L570:M570)=1,"One read done",IF(O570="Yes",IF(ISNUMBER(P570),"Complete","Needs third read"),"Complete"))))</f>
        <v>Complete</v>
      </c>
      <c r="S570" s="37" t="n">
        <f aca="false">IF(Q570="","",COUNTIFS($C$5:$C$600,C570,$Q$5:$Q$600,"&gt;"&amp;Q570)+1)</f>
        <v>81</v>
      </c>
      <c r="T570" s="37" t="str">
        <f aca="false">IF(Q570="","",IF(Q570&gt;=Cutoff,"Yes","No"))</f>
        <v>No</v>
      </c>
      <c r="U570" s="49" t="n">
        <f aca="false">IF(T570="Yes",MIN(F570,INDEX(Settings!$G:$G,MATCH(C570,Settings!$E:$E,0))),0)</f>
        <v>0</v>
      </c>
      <c r="V570" s="49" t="str">
        <f aca="false">IF(T570="Yes",SUMIFS($U$5:$U$600,$C$5:$C$600,C570,$Q$5:$Q$600,"&gt;"&amp;Q570)+U570,"")</f>
        <v/>
      </c>
      <c r="W570" s="37" t="str">
        <f aca="false">IF(T570="Yes",IF(V570&lt;=INDEX(PoolList,MATCH(C570,ProgramList,0)),"Within pool","Over pool"),"")</f>
        <v/>
      </c>
      <c r="X570" s="37" t="str">
        <f aca="false">IF(O570="Yes",COUNTIF($O$5:O570,"Yes"),"")</f>
        <v/>
      </c>
    </row>
    <row r="571" customFormat="false" ht="15" hidden="false" customHeight="false" outlineLevel="0" collapsed="false">
      <c r="A571" s="35" t="s">
        <v>1325</v>
      </c>
      <c r="B571" s="35" t="s">
        <v>1326</v>
      </c>
      <c r="C571" s="35" t="s">
        <v>106</v>
      </c>
      <c r="D571" s="35" t="s">
        <v>174</v>
      </c>
      <c r="E571" s="35" t="s">
        <v>175</v>
      </c>
      <c r="F571" s="42" t="n">
        <v>85000</v>
      </c>
      <c r="G571" s="36" t="n">
        <v>45913</v>
      </c>
      <c r="H571" s="35" t="s">
        <v>54</v>
      </c>
      <c r="I571" s="35" t="s">
        <v>82</v>
      </c>
      <c r="J571" s="35" t="s">
        <v>88</v>
      </c>
      <c r="K571" s="35"/>
      <c r="L571" s="48" t="n">
        <f aca="false">IFERROR(AVERAGEIFS('Score Entry'!$M$5:$M$1276,'Score Entry'!$B$5:$B$1276,A571,'Score Entry'!$E$5:$E$1276,"Primary"),"")</f>
        <v>78</v>
      </c>
      <c r="M571" s="48" t="n">
        <f aca="false">IFERROR(AVERAGEIFS('Score Entry'!$M$5:$M$1276,'Score Entry'!$B$5:$B$1276,A571,'Score Entry'!$E$5:$E$1276,"Secondary"),"")</f>
        <v>78</v>
      </c>
      <c r="N571" s="48" t="n">
        <f aca="false">IF(COUNT(L571:M571)=2,ABS(L571-M571),"")</f>
        <v>0</v>
      </c>
      <c r="O571" s="37" t="str">
        <f aca="false">IF(N571="","",IF(N571&gt;=Threshold,"Yes","No"))</f>
        <v>No</v>
      </c>
      <c r="P571" s="48" t="str">
        <f aca="false">IFERROR(AVERAGEIFS('Score Entry'!$M$5:$M$1276,'Score Entry'!$B$5:$B$1276,A571,'Score Entry'!$E$5:$E$1276,"Third"),"")</f>
        <v/>
      </c>
      <c r="Q571" s="48" t="n">
        <f aca="false">IF(H571&lt;&gt;"Eligible","",IF(O571="Yes",IF(ISNUMBER(P571),ROUND(AVERAGE(L571,M571,P571),1),""),IF(O571="No",ROUND(AVERAGE(L571:M571),1),"")))</f>
        <v>78</v>
      </c>
      <c r="R571" s="37" t="str">
        <f aca="false">IF(H571&lt;&gt;"Eligible","Screened out",IF(COUNT(L571:M571)=0,"Not started",IF(COUNT(L571:M571)=1,"One read done",IF(O571="Yes",IF(ISNUMBER(P571),"Complete","Needs third read"),"Complete"))))</f>
        <v>Complete</v>
      </c>
      <c r="S571" s="37" t="n">
        <f aca="false">IF(Q571="","",COUNTIFS($C$5:$C$600,C571,$Q$5:$Q$600,"&gt;"&amp;Q571)+1)</f>
        <v>26</v>
      </c>
      <c r="T571" s="37" t="str">
        <f aca="false">IF(Q571="","",IF(Q571&gt;=Cutoff,"Yes","No"))</f>
        <v>No</v>
      </c>
      <c r="U571" s="49" t="n">
        <f aca="false">IF(T571="Yes",MIN(F571,INDEX(Settings!$G:$G,MATCH(C571,Settings!$E:$E,0))),0)</f>
        <v>0</v>
      </c>
      <c r="V571" s="49" t="str">
        <f aca="false">IF(T571="Yes",SUMIFS($U$5:$U$600,$C$5:$C$600,C571,$Q$5:$Q$600,"&gt;"&amp;Q571)+U571,"")</f>
        <v/>
      </c>
      <c r="W571" s="37" t="str">
        <f aca="false">IF(T571="Yes",IF(V571&lt;=INDEX(PoolList,MATCH(C571,ProgramList,0)),"Within pool","Over pool"),"")</f>
        <v/>
      </c>
      <c r="X571" s="37" t="str">
        <f aca="false">IF(O571="Yes",COUNTIF($O$5:O571,"Yes"),"")</f>
        <v/>
      </c>
    </row>
    <row r="572" customFormat="false" ht="15" hidden="false" customHeight="false" outlineLevel="0" collapsed="false">
      <c r="A572" s="35" t="s">
        <v>1327</v>
      </c>
      <c r="B572" s="35" t="s">
        <v>1328</v>
      </c>
      <c r="C572" s="35" t="s">
        <v>105</v>
      </c>
      <c r="D572" s="35" t="s">
        <v>174</v>
      </c>
      <c r="E572" s="35" t="s">
        <v>175</v>
      </c>
      <c r="F572" s="42" t="n">
        <v>42000</v>
      </c>
      <c r="G572" s="36" t="n">
        <v>45924</v>
      </c>
      <c r="H572" s="35" t="s">
        <v>54</v>
      </c>
      <c r="I572" s="35" t="s">
        <v>82</v>
      </c>
      <c r="J572" s="35" t="s">
        <v>91</v>
      </c>
      <c r="K572" s="35"/>
      <c r="L572" s="48" t="n">
        <f aca="false">IFERROR(AVERAGEIFS('Score Entry'!$M$5:$M$1276,'Score Entry'!$B$5:$B$1276,A572,'Score Entry'!$E$5:$E$1276,"Primary"),"")</f>
        <v>56</v>
      </c>
      <c r="M572" s="48" t="str">
        <f aca="false">IFERROR(AVERAGEIFS('Score Entry'!$M$5:$M$1276,'Score Entry'!$B$5:$B$1276,A572,'Score Entry'!$E$5:$E$1276,"Secondary"),"")</f>
        <v/>
      </c>
      <c r="N572" s="48" t="str">
        <f aca="false">IF(COUNT(L572:M572)=2,ABS(L572-M572),"")</f>
        <v/>
      </c>
      <c r="O572" s="37" t="str">
        <f aca="false">IF(N572="","",IF(N572&gt;=Threshold,"Yes","No"))</f>
        <v/>
      </c>
      <c r="P572" s="48" t="str">
        <f aca="false">IFERROR(AVERAGEIFS('Score Entry'!$M$5:$M$1276,'Score Entry'!$B$5:$B$1276,A572,'Score Entry'!$E$5:$E$1276,"Third"),"")</f>
        <v/>
      </c>
      <c r="Q572" s="48" t="str">
        <f aca="false">IF(H572&lt;&gt;"Eligible","",IF(O572="Yes",IF(ISNUMBER(P572),ROUND(AVERAGE(L572,M572,P572),1),""),IF(O572="No",ROUND(AVERAGE(L572:M572),1),"")))</f>
        <v/>
      </c>
      <c r="R572" s="37" t="str">
        <f aca="false">IF(H572&lt;&gt;"Eligible","Screened out",IF(COUNT(L572:M572)=0,"Not started",IF(COUNT(L572:M572)=1,"One read done",IF(O572="Yes",IF(ISNUMBER(P572),"Complete","Needs third read"),"Complete"))))</f>
        <v>One read done</v>
      </c>
      <c r="S572" s="37" t="str">
        <f aca="false">IF(Q572="","",COUNTIFS($C$5:$C$600,C572,$Q$5:$Q$600,"&gt;"&amp;Q572)+1)</f>
        <v/>
      </c>
      <c r="T572" s="37" t="str">
        <f aca="false">IF(Q572="","",IF(Q572&gt;=Cutoff,"Yes","No"))</f>
        <v/>
      </c>
      <c r="U572" s="49" t="n">
        <f aca="false">IF(T572="Yes",MIN(F572,INDEX(Settings!$G:$G,MATCH(C572,Settings!$E:$E,0))),0)</f>
        <v>0</v>
      </c>
      <c r="V572" s="49" t="str">
        <f aca="false">IF(T572="Yes",SUMIFS($U$5:$U$600,$C$5:$C$600,C572,$Q$5:$Q$600,"&gt;"&amp;Q572)+U572,"")</f>
        <v/>
      </c>
      <c r="W572" s="37" t="str">
        <f aca="false">IF(T572="Yes",IF(V572&lt;=INDEX(PoolList,MATCH(C572,ProgramList,0)),"Within pool","Over pool"),"")</f>
        <v/>
      </c>
      <c r="X572" s="37" t="str">
        <f aca="false">IF(O572="Yes",COUNTIF($O$5:O572,"Yes"),"")</f>
        <v/>
      </c>
    </row>
    <row r="573" customFormat="false" ht="15" hidden="false" customHeight="false" outlineLevel="0" collapsed="false">
      <c r="A573" s="35" t="s">
        <v>1329</v>
      </c>
      <c r="B573" s="35" t="s">
        <v>1330</v>
      </c>
      <c r="C573" s="35" t="s">
        <v>103</v>
      </c>
      <c r="D573" s="35" t="s">
        <v>221</v>
      </c>
      <c r="E573" s="35" t="s">
        <v>222</v>
      </c>
      <c r="F573" s="42" t="n">
        <v>46000</v>
      </c>
      <c r="G573" s="36" t="n">
        <v>45927</v>
      </c>
      <c r="H573" s="35" t="s">
        <v>54</v>
      </c>
      <c r="I573" s="35" t="s">
        <v>85</v>
      </c>
      <c r="J573" s="35" t="s">
        <v>94</v>
      </c>
      <c r="K573" s="35"/>
      <c r="L573" s="48" t="n">
        <f aca="false">IFERROR(AVERAGEIFS('Score Entry'!$M$5:$M$1276,'Score Entry'!$B$5:$B$1276,A573,'Score Entry'!$E$5:$E$1276,"Primary"),"")</f>
        <v>64</v>
      </c>
      <c r="M573" s="48" t="n">
        <f aca="false">IFERROR(AVERAGEIFS('Score Entry'!$M$5:$M$1276,'Score Entry'!$B$5:$B$1276,A573,'Score Entry'!$E$5:$E$1276,"Secondary"),"")</f>
        <v>66</v>
      </c>
      <c r="N573" s="48" t="n">
        <f aca="false">IF(COUNT(L573:M573)=2,ABS(L573-M573),"")</f>
        <v>2</v>
      </c>
      <c r="O573" s="37" t="str">
        <f aca="false">IF(N573="","",IF(N573&gt;=Threshold,"Yes","No"))</f>
        <v>No</v>
      </c>
      <c r="P573" s="48" t="str">
        <f aca="false">IFERROR(AVERAGEIFS('Score Entry'!$M$5:$M$1276,'Score Entry'!$B$5:$B$1276,A573,'Score Entry'!$E$5:$E$1276,"Third"),"")</f>
        <v/>
      </c>
      <c r="Q573" s="48" t="n">
        <f aca="false">IF(H573&lt;&gt;"Eligible","",IF(O573="Yes",IF(ISNUMBER(P573),ROUND(AVERAGE(L573,M573,P573),1),""),IF(O573="No",ROUND(AVERAGE(L573:M573),1),"")))</f>
        <v>65</v>
      </c>
      <c r="R573" s="37" t="str">
        <f aca="false">IF(H573&lt;&gt;"Eligible","Screened out",IF(COUNT(L573:M573)=0,"Not started",IF(COUNT(L573:M573)=1,"One read done",IF(O573="Yes",IF(ISNUMBER(P573),"Complete","Needs third read"),"Complete"))))</f>
        <v>Complete</v>
      </c>
      <c r="S573" s="37" t="n">
        <f aca="false">IF(Q573="","",COUNTIFS($C$5:$C$600,C573,$Q$5:$Q$600,"&gt;"&amp;Q573)+1)</f>
        <v>89</v>
      </c>
      <c r="T573" s="37" t="str">
        <f aca="false">IF(Q573="","",IF(Q573&gt;=Cutoff,"Yes","No"))</f>
        <v>No</v>
      </c>
      <c r="U573" s="49" t="n">
        <f aca="false">IF(T573="Yes",MIN(F573,INDEX(Settings!$G:$G,MATCH(C573,Settings!$E:$E,0))),0)</f>
        <v>0</v>
      </c>
      <c r="V573" s="49" t="str">
        <f aca="false">IF(T573="Yes",SUMIFS($U$5:$U$600,$C$5:$C$600,C573,$Q$5:$Q$600,"&gt;"&amp;Q573)+U573,"")</f>
        <v/>
      </c>
      <c r="W573" s="37" t="str">
        <f aca="false">IF(T573="Yes",IF(V573&lt;=INDEX(PoolList,MATCH(C573,ProgramList,0)),"Within pool","Over pool"),"")</f>
        <v/>
      </c>
      <c r="X573" s="37" t="str">
        <f aca="false">IF(O573="Yes",COUNTIF($O$5:O573,"Yes"),"")</f>
        <v/>
      </c>
    </row>
    <row r="574" customFormat="false" ht="15" hidden="false" customHeight="false" outlineLevel="0" collapsed="false">
      <c r="A574" s="35" t="s">
        <v>1331</v>
      </c>
      <c r="B574" s="35" t="s">
        <v>1332</v>
      </c>
      <c r="C574" s="35" t="s">
        <v>103</v>
      </c>
      <c r="D574" s="35" t="s">
        <v>221</v>
      </c>
      <c r="E574" s="35" t="s">
        <v>222</v>
      </c>
      <c r="F574" s="42" t="n">
        <v>34500</v>
      </c>
      <c r="G574" s="36" t="n">
        <v>45913</v>
      </c>
      <c r="H574" s="35" t="s">
        <v>54</v>
      </c>
      <c r="I574" s="35" t="s">
        <v>78</v>
      </c>
      <c r="J574" s="35" t="s">
        <v>94</v>
      </c>
      <c r="K574" s="35"/>
      <c r="L574" s="48" t="n">
        <f aca="false">IFERROR(AVERAGEIFS('Score Entry'!$M$5:$M$1276,'Score Entry'!$B$5:$B$1276,A574,'Score Entry'!$E$5:$E$1276,"Primary"),"")</f>
        <v>76</v>
      </c>
      <c r="M574" s="48" t="n">
        <f aca="false">IFERROR(AVERAGEIFS('Score Entry'!$M$5:$M$1276,'Score Entry'!$B$5:$B$1276,A574,'Score Entry'!$E$5:$E$1276,"Secondary"),"")</f>
        <v>82</v>
      </c>
      <c r="N574" s="48" t="n">
        <f aca="false">IF(COUNT(L574:M574)=2,ABS(L574-M574),"")</f>
        <v>6</v>
      </c>
      <c r="O574" s="37" t="str">
        <f aca="false">IF(N574="","",IF(N574&gt;=Threshold,"Yes","No"))</f>
        <v>No</v>
      </c>
      <c r="P574" s="48" t="str">
        <f aca="false">IFERROR(AVERAGEIFS('Score Entry'!$M$5:$M$1276,'Score Entry'!$B$5:$B$1276,A574,'Score Entry'!$E$5:$E$1276,"Third"),"")</f>
        <v/>
      </c>
      <c r="Q574" s="48" t="n">
        <f aca="false">IF(H574&lt;&gt;"Eligible","",IF(O574="Yes",IF(ISNUMBER(P574),ROUND(AVERAGE(L574,M574,P574),1),""),IF(O574="No",ROUND(AVERAGE(L574:M574),1),"")))</f>
        <v>79</v>
      </c>
      <c r="R574" s="37" t="str">
        <f aca="false">IF(H574&lt;&gt;"Eligible","Screened out",IF(COUNT(L574:M574)=0,"Not started",IF(COUNT(L574:M574)=1,"One read done",IF(O574="Yes",IF(ISNUMBER(P574),"Complete","Needs third read"),"Complete"))))</f>
        <v>Complete</v>
      </c>
      <c r="S574" s="37" t="n">
        <f aca="false">IF(Q574="","",COUNTIFS($C$5:$C$600,C574,$Q$5:$Q$600,"&gt;"&amp;Q574)+1)</f>
        <v>24</v>
      </c>
      <c r="T574" s="37" t="str">
        <f aca="false">IF(Q574="","",IF(Q574&gt;=Cutoff,"Yes","No"))</f>
        <v>No</v>
      </c>
      <c r="U574" s="49" t="n">
        <f aca="false">IF(T574="Yes",MIN(F574,INDEX(Settings!$G:$G,MATCH(C574,Settings!$E:$E,0))),0)</f>
        <v>0</v>
      </c>
      <c r="V574" s="49" t="str">
        <f aca="false">IF(T574="Yes",SUMIFS($U$5:$U$600,$C$5:$C$600,C574,$Q$5:$Q$600,"&gt;"&amp;Q574)+U574,"")</f>
        <v/>
      </c>
      <c r="W574" s="37" t="str">
        <f aca="false">IF(T574="Yes",IF(V574&lt;=INDEX(PoolList,MATCH(C574,ProgramList,0)),"Within pool","Over pool"),"")</f>
        <v/>
      </c>
      <c r="X574" s="37" t="str">
        <f aca="false">IF(O574="Yes",COUNTIF($O$5:O574,"Yes"),"")</f>
        <v/>
      </c>
    </row>
    <row r="575" customFormat="false" ht="15" hidden="false" customHeight="false" outlineLevel="0" collapsed="false">
      <c r="A575" s="35" t="s">
        <v>1333</v>
      </c>
      <c r="B575" s="35" t="s">
        <v>1334</v>
      </c>
      <c r="C575" s="35" t="s">
        <v>103</v>
      </c>
      <c r="D575" s="35" t="s">
        <v>239</v>
      </c>
      <c r="E575" s="35" t="s">
        <v>240</v>
      </c>
      <c r="F575" s="42" t="n">
        <v>89000</v>
      </c>
      <c r="G575" s="36" t="n">
        <v>45913</v>
      </c>
      <c r="H575" s="35" t="s">
        <v>54</v>
      </c>
      <c r="I575" s="35" t="s">
        <v>78</v>
      </c>
      <c r="J575" s="35" t="s">
        <v>88</v>
      </c>
      <c r="K575" s="35" t="s">
        <v>94</v>
      </c>
      <c r="L575" s="48" t="n">
        <f aca="false">IFERROR(AVERAGEIFS('Score Entry'!$M$5:$M$1276,'Score Entry'!$B$5:$B$1276,A575,'Score Entry'!$E$5:$E$1276,"Primary"),"")</f>
        <v>71</v>
      </c>
      <c r="M575" s="48" t="n">
        <f aca="false">IFERROR(AVERAGEIFS('Score Entry'!$M$5:$M$1276,'Score Entry'!$B$5:$B$1276,A575,'Score Entry'!$E$5:$E$1276,"Secondary"),"")</f>
        <v>90</v>
      </c>
      <c r="N575" s="48" t="n">
        <f aca="false">IF(COUNT(L575:M575)=2,ABS(L575-M575),"")</f>
        <v>19</v>
      </c>
      <c r="O575" s="37" t="str">
        <f aca="false">IF(N575="","",IF(N575&gt;=Threshold,"Yes","No"))</f>
        <v>Yes</v>
      </c>
      <c r="P575" s="48" t="str">
        <f aca="false">IFERROR(AVERAGEIFS('Score Entry'!$M$5:$M$1276,'Score Entry'!$B$5:$B$1276,A575,'Score Entry'!$E$5:$E$1276,"Third"),"")</f>
        <v/>
      </c>
      <c r="Q575" s="48" t="str">
        <f aca="false">IF(H575&lt;&gt;"Eligible","",IF(O575="Yes",IF(ISNUMBER(P575),ROUND(AVERAGE(L575,M575,P575),1),""),IF(O575="No",ROUND(AVERAGE(L575:M575),1),"")))</f>
        <v/>
      </c>
      <c r="R575" s="37" t="str">
        <f aca="false">IF(H575&lt;&gt;"Eligible","Screened out",IF(COUNT(L575:M575)=0,"Not started",IF(COUNT(L575:M575)=1,"One read done",IF(O575="Yes",IF(ISNUMBER(P575),"Complete","Needs third read"),"Complete"))))</f>
        <v>Needs third read</v>
      </c>
      <c r="S575" s="37" t="str">
        <f aca="false">IF(Q575="","",COUNTIFS($C$5:$C$600,C575,$Q$5:$Q$600,"&gt;"&amp;Q575)+1)</f>
        <v/>
      </c>
      <c r="T575" s="37" t="str">
        <f aca="false">IF(Q575="","",IF(Q575&gt;=Cutoff,"Yes","No"))</f>
        <v/>
      </c>
      <c r="U575" s="49" t="n">
        <f aca="false">IF(T575="Yes",MIN(F575,INDEX(Settings!$G:$G,MATCH(C575,Settings!$E:$E,0))),0)</f>
        <v>0</v>
      </c>
      <c r="V575" s="49" t="str">
        <f aca="false">IF(T575="Yes",SUMIFS($U$5:$U$600,$C$5:$C$600,C575,$Q$5:$Q$600,"&gt;"&amp;Q575)+U575,"")</f>
        <v/>
      </c>
      <c r="W575" s="37" t="str">
        <f aca="false">IF(T575="Yes",IF(V575&lt;=INDEX(PoolList,MATCH(C575,ProgramList,0)),"Within pool","Over pool"),"")</f>
        <v/>
      </c>
      <c r="X575" s="37" t="n">
        <f aca="false">IF(O575="Yes",COUNTIF($O$5:O575,"Yes"),"")</f>
        <v>69</v>
      </c>
    </row>
    <row r="576" customFormat="false" ht="15" hidden="false" customHeight="false" outlineLevel="0" collapsed="false">
      <c r="A576" s="35" t="s">
        <v>1335</v>
      </c>
      <c r="B576" s="35" t="s">
        <v>1336</v>
      </c>
      <c r="C576" s="35" t="s">
        <v>103</v>
      </c>
      <c r="D576" s="35" t="s">
        <v>174</v>
      </c>
      <c r="E576" s="35" t="s">
        <v>175</v>
      </c>
      <c r="F576" s="42" t="n">
        <v>166000</v>
      </c>
      <c r="G576" s="36" t="n">
        <v>45927</v>
      </c>
      <c r="H576" s="35" t="s">
        <v>54</v>
      </c>
      <c r="I576" s="35" t="s">
        <v>85</v>
      </c>
      <c r="J576" s="35" t="s">
        <v>91</v>
      </c>
      <c r="K576" s="35"/>
      <c r="L576" s="48" t="n">
        <f aca="false">IFERROR(AVERAGEIFS('Score Entry'!$M$5:$M$1276,'Score Entry'!$B$5:$B$1276,A576,'Score Entry'!$E$5:$E$1276,"Primary"),"")</f>
        <v>48</v>
      </c>
      <c r="M576" s="48" t="n">
        <f aca="false">IFERROR(AVERAGEIFS('Score Entry'!$M$5:$M$1276,'Score Entry'!$B$5:$B$1276,A576,'Score Entry'!$E$5:$E$1276,"Secondary"),"")</f>
        <v>40</v>
      </c>
      <c r="N576" s="48" t="n">
        <f aca="false">IF(COUNT(L576:M576)=2,ABS(L576-M576),"")</f>
        <v>8</v>
      </c>
      <c r="O576" s="37" t="str">
        <f aca="false">IF(N576="","",IF(N576&gt;=Threshold,"Yes","No"))</f>
        <v>No</v>
      </c>
      <c r="P576" s="48" t="str">
        <f aca="false">IFERROR(AVERAGEIFS('Score Entry'!$M$5:$M$1276,'Score Entry'!$B$5:$B$1276,A576,'Score Entry'!$E$5:$E$1276,"Third"),"")</f>
        <v/>
      </c>
      <c r="Q576" s="48" t="n">
        <f aca="false">IF(H576&lt;&gt;"Eligible","",IF(O576="Yes",IF(ISNUMBER(P576),ROUND(AVERAGE(L576,M576,P576),1),""),IF(O576="No",ROUND(AVERAGE(L576:M576),1),"")))</f>
        <v>44</v>
      </c>
      <c r="R576" s="37" t="str">
        <f aca="false">IF(H576&lt;&gt;"Eligible","Screened out",IF(COUNT(L576:M576)=0,"Not started",IF(COUNT(L576:M576)=1,"One read done",IF(O576="Yes",IF(ISNUMBER(P576),"Complete","Needs third read"),"Complete"))))</f>
        <v>Complete</v>
      </c>
      <c r="S576" s="37" t="n">
        <f aca="false">IF(Q576="","",COUNTIFS($C$5:$C$600,C576,$Q$5:$Q$600,"&gt;"&amp;Q576)+1)</f>
        <v>159</v>
      </c>
      <c r="T576" s="37" t="str">
        <f aca="false">IF(Q576="","",IF(Q576&gt;=Cutoff,"Yes","No"))</f>
        <v>No</v>
      </c>
      <c r="U576" s="49" t="n">
        <f aca="false">IF(T576="Yes",MIN(F576,INDEX(Settings!$G:$G,MATCH(C576,Settings!$E:$E,0))),0)</f>
        <v>0</v>
      </c>
      <c r="V576" s="49" t="str">
        <f aca="false">IF(T576="Yes",SUMIFS($U$5:$U$600,$C$5:$C$600,C576,$Q$5:$Q$600,"&gt;"&amp;Q576)+U576,"")</f>
        <v/>
      </c>
      <c r="W576" s="37" t="str">
        <f aca="false">IF(T576="Yes",IF(V576&lt;=INDEX(PoolList,MATCH(C576,ProgramList,0)),"Within pool","Over pool"),"")</f>
        <v/>
      </c>
      <c r="X576" s="37" t="str">
        <f aca="false">IF(O576="Yes",COUNTIF($O$5:O576,"Yes"),"")</f>
        <v/>
      </c>
    </row>
    <row r="577" customFormat="false" ht="15" hidden="false" customHeight="false" outlineLevel="0" collapsed="false">
      <c r="A577" s="35" t="s">
        <v>1337</v>
      </c>
      <c r="B577" s="35" t="s">
        <v>1338</v>
      </c>
      <c r="C577" s="35" t="s">
        <v>104</v>
      </c>
      <c r="D577" s="35" t="s">
        <v>174</v>
      </c>
      <c r="E577" s="35" t="s">
        <v>175</v>
      </c>
      <c r="F577" s="42" t="n">
        <v>83500</v>
      </c>
      <c r="G577" s="36" t="n">
        <v>45927</v>
      </c>
      <c r="H577" s="35" t="s">
        <v>54</v>
      </c>
      <c r="I577" s="35" t="s">
        <v>82</v>
      </c>
      <c r="J577" s="35" t="s">
        <v>85</v>
      </c>
      <c r="K577" s="35"/>
      <c r="L577" s="48" t="n">
        <f aca="false">IFERROR(AVERAGEIFS('Score Entry'!$M$5:$M$1276,'Score Entry'!$B$5:$B$1276,A577,'Score Entry'!$E$5:$E$1276,"Primary"),"")</f>
        <v>75</v>
      </c>
      <c r="M577" s="48" t="n">
        <f aca="false">IFERROR(AVERAGEIFS('Score Entry'!$M$5:$M$1276,'Score Entry'!$B$5:$B$1276,A577,'Score Entry'!$E$5:$E$1276,"Secondary"),"")</f>
        <v>72</v>
      </c>
      <c r="N577" s="48" t="n">
        <f aca="false">IF(COUNT(L577:M577)=2,ABS(L577-M577),"")</f>
        <v>3</v>
      </c>
      <c r="O577" s="37" t="str">
        <f aca="false">IF(N577="","",IF(N577&gt;=Threshold,"Yes","No"))</f>
        <v>No</v>
      </c>
      <c r="P577" s="48" t="str">
        <f aca="false">IFERROR(AVERAGEIFS('Score Entry'!$M$5:$M$1276,'Score Entry'!$B$5:$B$1276,A577,'Score Entry'!$E$5:$E$1276,"Third"),"")</f>
        <v/>
      </c>
      <c r="Q577" s="48" t="n">
        <f aca="false">IF(H577&lt;&gt;"Eligible","",IF(O577="Yes",IF(ISNUMBER(P577),ROUND(AVERAGE(L577,M577,P577),1),""),IF(O577="No",ROUND(AVERAGE(L577:M577),1),"")))</f>
        <v>73.5</v>
      </c>
      <c r="R577" s="37" t="str">
        <f aca="false">IF(H577&lt;&gt;"Eligible","Screened out",IF(COUNT(L577:M577)=0,"Not started",IF(COUNT(L577:M577)=1,"One read done",IF(O577="Yes",IF(ISNUMBER(P577),"Complete","Needs third read"),"Complete"))))</f>
        <v>Complete</v>
      </c>
      <c r="S577" s="37" t="n">
        <f aca="false">IF(Q577="","",COUNTIFS($C$5:$C$600,C577,$Q$5:$Q$600,"&gt;"&amp;Q577)+1)</f>
        <v>38</v>
      </c>
      <c r="T577" s="37" t="str">
        <f aca="false">IF(Q577="","",IF(Q577&gt;=Cutoff,"Yes","No"))</f>
        <v>No</v>
      </c>
      <c r="U577" s="49" t="n">
        <f aca="false">IF(T577="Yes",MIN(F577,INDEX(Settings!$G:$G,MATCH(C577,Settings!$E:$E,0))),0)</f>
        <v>0</v>
      </c>
      <c r="V577" s="49" t="str">
        <f aca="false">IF(T577="Yes",SUMIFS($U$5:$U$600,$C$5:$C$600,C577,$Q$5:$Q$600,"&gt;"&amp;Q577)+U577,"")</f>
        <v/>
      </c>
      <c r="W577" s="37" t="str">
        <f aca="false">IF(T577="Yes",IF(V577&lt;=INDEX(PoolList,MATCH(C577,ProgramList,0)),"Within pool","Over pool"),"")</f>
        <v/>
      </c>
      <c r="X577" s="37" t="str">
        <f aca="false">IF(O577="Yes",COUNTIF($O$5:O577,"Yes"),"")</f>
        <v/>
      </c>
    </row>
    <row r="578" customFormat="false" ht="15" hidden="false" customHeight="false" outlineLevel="0" collapsed="false">
      <c r="A578" s="35" t="s">
        <v>1339</v>
      </c>
      <c r="B578" s="35" t="s">
        <v>1340</v>
      </c>
      <c r="C578" s="35" t="s">
        <v>103</v>
      </c>
      <c r="D578" s="35" t="s">
        <v>221</v>
      </c>
      <c r="E578" s="35" t="s">
        <v>258</v>
      </c>
      <c r="F578" s="42" t="n">
        <v>70500</v>
      </c>
      <c r="G578" s="36" t="n">
        <v>45919</v>
      </c>
      <c r="H578" s="35" t="s">
        <v>54</v>
      </c>
      <c r="I578" s="35" t="s">
        <v>94</v>
      </c>
      <c r="J578" s="35" t="s">
        <v>78</v>
      </c>
      <c r="K578" s="35"/>
      <c r="L578" s="48" t="n">
        <f aca="false">IFERROR(AVERAGEIFS('Score Entry'!$M$5:$M$1276,'Score Entry'!$B$5:$B$1276,A578,'Score Entry'!$E$5:$E$1276,"Primary"),"")</f>
        <v>60</v>
      </c>
      <c r="M578" s="48" t="n">
        <f aca="false">IFERROR(AVERAGEIFS('Score Entry'!$M$5:$M$1276,'Score Entry'!$B$5:$B$1276,A578,'Score Entry'!$E$5:$E$1276,"Secondary"),"")</f>
        <v>50</v>
      </c>
      <c r="N578" s="48" t="n">
        <f aca="false">IF(COUNT(L578:M578)=2,ABS(L578-M578),"")</f>
        <v>10</v>
      </c>
      <c r="O578" s="37" t="str">
        <f aca="false">IF(N578="","",IF(N578&gt;=Threshold,"Yes","No"))</f>
        <v>No</v>
      </c>
      <c r="P578" s="48" t="str">
        <f aca="false">IFERROR(AVERAGEIFS('Score Entry'!$M$5:$M$1276,'Score Entry'!$B$5:$B$1276,A578,'Score Entry'!$E$5:$E$1276,"Third"),"")</f>
        <v/>
      </c>
      <c r="Q578" s="48" t="n">
        <f aca="false">IF(H578&lt;&gt;"Eligible","",IF(O578="Yes",IF(ISNUMBER(P578),ROUND(AVERAGE(L578,M578,P578),1),""),IF(O578="No",ROUND(AVERAGE(L578:M578),1),"")))</f>
        <v>55</v>
      </c>
      <c r="R578" s="37" t="str">
        <f aca="false">IF(H578&lt;&gt;"Eligible","Screened out",IF(COUNT(L578:M578)=0,"Not started",IF(COUNT(L578:M578)=1,"One read done",IF(O578="Yes",IF(ISNUMBER(P578),"Complete","Needs third read"),"Complete"))))</f>
        <v>Complete</v>
      </c>
      <c r="S578" s="37" t="n">
        <f aca="false">IF(Q578="","",COUNTIFS($C$5:$C$600,C578,$Q$5:$Q$600,"&gt;"&amp;Q578)+1)</f>
        <v>132</v>
      </c>
      <c r="T578" s="37" t="str">
        <f aca="false">IF(Q578="","",IF(Q578&gt;=Cutoff,"Yes","No"))</f>
        <v>No</v>
      </c>
      <c r="U578" s="49" t="n">
        <f aca="false">IF(T578="Yes",MIN(F578,INDEX(Settings!$G:$G,MATCH(C578,Settings!$E:$E,0))),0)</f>
        <v>0</v>
      </c>
      <c r="V578" s="49" t="str">
        <f aca="false">IF(T578="Yes",SUMIFS($U$5:$U$600,$C$5:$C$600,C578,$Q$5:$Q$600,"&gt;"&amp;Q578)+U578,"")</f>
        <v/>
      </c>
      <c r="W578" s="37" t="str">
        <f aca="false">IF(T578="Yes",IF(V578&lt;=INDEX(PoolList,MATCH(C578,ProgramList,0)),"Within pool","Over pool"),"")</f>
        <v/>
      </c>
      <c r="X578" s="37" t="str">
        <f aca="false">IF(O578="Yes",COUNTIF($O$5:O578,"Yes"),"")</f>
        <v/>
      </c>
    </row>
    <row r="579" customFormat="false" ht="15" hidden="false" customHeight="false" outlineLevel="0" collapsed="false">
      <c r="A579" s="35" t="s">
        <v>1341</v>
      </c>
      <c r="B579" s="35" t="s">
        <v>1342</v>
      </c>
      <c r="C579" s="35" t="s">
        <v>106</v>
      </c>
      <c r="D579" s="35" t="s">
        <v>174</v>
      </c>
      <c r="E579" s="35" t="s">
        <v>175</v>
      </c>
      <c r="F579" s="42" t="n">
        <v>124500</v>
      </c>
      <c r="G579" s="36" t="n">
        <v>45917</v>
      </c>
      <c r="H579" s="35" t="s">
        <v>54</v>
      </c>
      <c r="I579" s="35" t="s">
        <v>88</v>
      </c>
      <c r="J579" s="35" t="s">
        <v>85</v>
      </c>
      <c r="K579" s="35"/>
      <c r="L579" s="48" t="n">
        <f aca="false">IFERROR(AVERAGEIFS('Score Entry'!$M$5:$M$1276,'Score Entry'!$B$5:$B$1276,A579,'Score Entry'!$E$5:$E$1276,"Primary"),"")</f>
        <v>68</v>
      </c>
      <c r="M579" s="48" t="n">
        <f aca="false">IFERROR(AVERAGEIFS('Score Entry'!$M$5:$M$1276,'Score Entry'!$B$5:$B$1276,A579,'Score Entry'!$E$5:$E$1276,"Secondary"),"")</f>
        <v>70</v>
      </c>
      <c r="N579" s="48" t="n">
        <f aca="false">IF(COUNT(L579:M579)=2,ABS(L579-M579),"")</f>
        <v>2</v>
      </c>
      <c r="O579" s="37" t="str">
        <f aca="false">IF(N579="","",IF(N579&gt;=Threshold,"Yes","No"))</f>
        <v>No</v>
      </c>
      <c r="P579" s="48" t="str">
        <f aca="false">IFERROR(AVERAGEIFS('Score Entry'!$M$5:$M$1276,'Score Entry'!$B$5:$B$1276,A579,'Score Entry'!$E$5:$E$1276,"Third"),"")</f>
        <v/>
      </c>
      <c r="Q579" s="48" t="n">
        <f aca="false">IF(H579&lt;&gt;"Eligible","",IF(O579="Yes",IF(ISNUMBER(P579),ROUND(AVERAGE(L579,M579,P579),1),""),IF(O579="No",ROUND(AVERAGE(L579:M579),1),"")))</f>
        <v>69</v>
      </c>
      <c r="R579" s="37" t="str">
        <f aca="false">IF(H579&lt;&gt;"Eligible","Screened out",IF(COUNT(L579:M579)=0,"Not started",IF(COUNT(L579:M579)=1,"One read done",IF(O579="Yes",IF(ISNUMBER(P579),"Complete","Needs third read"),"Complete"))))</f>
        <v>Complete</v>
      </c>
      <c r="S579" s="37" t="n">
        <f aca="false">IF(Q579="","",COUNTIFS($C$5:$C$600,C579,$Q$5:$Q$600,"&gt;"&amp;Q579)+1)</f>
        <v>56</v>
      </c>
      <c r="T579" s="37" t="str">
        <f aca="false">IF(Q579="","",IF(Q579&gt;=Cutoff,"Yes","No"))</f>
        <v>No</v>
      </c>
      <c r="U579" s="49" t="n">
        <f aca="false">IF(T579="Yes",MIN(F579,INDEX(Settings!$G:$G,MATCH(C579,Settings!$E:$E,0))),0)</f>
        <v>0</v>
      </c>
      <c r="V579" s="49" t="str">
        <f aca="false">IF(T579="Yes",SUMIFS($U$5:$U$600,$C$5:$C$600,C579,$Q$5:$Q$600,"&gt;"&amp;Q579)+U579,"")</f>
        <v/>
      </c>
      <c r="W579" s="37" t="str">
        <f aca="false">IF(T579="Yes",IF(V579&lt;=INDEX(PoolList,MATCH(C579,ProgramList,0)),"Within pool","Over pool"),"")</f>
        <v/>
      </c>
      <c r="X579" s="37" t="str">
        <f aca="false">IF(O579="Yes",COUNTIF($O$5:O579,"Yes"),"")</f>
        <v/>
      </c>
    </row>
    <row r="580" customFormat="false" ht="15" hidden="false" customHeight="false" outlineLevel="0" collapsed="false">
      <c r="A580" s="35" t="s">
        <v>1343</v>
      </c>
      <c r="B580" s="35" t="s">
        <v>1344</v>
      </c>
      <c r="C580" s="35" t="s">
        <v>103</v>
      </c>
      <c r="D580" s="35" t="s">
        <v>180</v>
      </c>
      <c r="E580" s="35" t="s">
        <v>181</v>
      </c>
      <c r="F580" s="42" t="n">
        <v>189000</v>
      </c>
      <c r="G580" s="36" t="n">
        <v>45911</v>
      </c>
      <c r="H580" s="35" t="s">
        <v>54</v>
      </c>
      <c r="I580" s="35" t="s">
        <v>82</v>
      </c>
      <c r="J580" s="35" t="s">
        <v>91</v>
      </c>
      <c r="K580" s="35"/>
      <c r="L580" s="48" t="n">
        <f aca="false">IFERROR(AVERAGEIFS('Score Entry'!$M$5:$M$1276,'Score Entry'!$B$5:$B$1276,A580,'Score Entry'!$E$5:$E$1276,"Primary"),"")</f>
        <v>66</v>
      </c>
      <c r="M580" s="48" t="n">
        <f aca="false">IFERROR(AVERAGEIFS('Score Entry'!$M$5:$M$1276,'Score Entry'!$B$5:$B$1276,A580,'Score Entry'!$E$5:$E$1276,"Secondary"),"")</f>
        <v>75</v>
      </c>
      <c r="N580" s="48" t="n">
        <f aca="false">IF(COUNT(L580:M580)=2,ABS(L580-M580),"")</f>
        <v>9</v>
      </c>
      <c r="O580" s="37" t="str">
        <f aca="false">IF(N580="","",IF(N580&gt;=Threshold,"Yes","No"))</f>
        <v>No</v>
      </c>
      <c r="P580" s="48" t="str">
        <f aca="false">IFERROR(AVERAGEIFS('Score Entry'!$M$5:$M$1276,'Score Entry'!$B$5:$B$1276,A580,'Score Entry'!$E$5:$E$1276,"Third"),"")</f>
        <v/>
      </c>
      <c r="Q580" s="48" t="n">
        <f aca="false">IF(H580&lt;&gt;"Eligible","",IF(O580="Yes",IF(ISNUMBER(P580),ROUND(AVERAGE(L580,M580,P580),1),""),IF(O580="No",ROUND(AVERAGE(L580:M580),1),"")))</f>
        <v>70.5</v>
      </c>
      <c r="R580" s="37" t="str">
        <f aca="false">IF(H580&lt;&gt;"Eligible","Screened out",IF(COUNT(L580:M580)=0,"Not started",IF(COUNT(L580:M580)=1,"One read done",IF(O580="Yes",IF(ISNUMBER(P580),"Complete","Needs third read"),"Complete"))))</f>
        <v>Complete</v>
      </c>
      <c r="S580" s="37" t="n">
        <f aca="false">IF(Q580="","",COUNTIFS($C$5:$C$600,C580,$Q$5:$Q$600,"&gt;"&amp;Q580)+1)</f>
        <v>63</v>
      </c>
      <c r="T580" s="37" t="str">
        <f aca="false">IF(Q580="","",IF(Q580&gt;=Cutoff,"Yes","No"))</f>
        <v>No</v>
      </c>
      <c r="U580" s="49" t="n">
        <f aca="false">IF(T580="Yes",MIN(F580,INDEX(Settings!$G:$G,MATCH(C580,Settings!$E:$E,0))),0)</f>
        <v>0</v>
      </c>
      <c r="V580" s="49" t="str">
        <f aca="false">IF(T580="Yes",SUMIFS($U$5:$U$600,$C$5:$C$600,C580,$Q$5:$Q$600,"&gt;"&amp;Q580)+U580,"")</f>
        <v/>
      </c>
      <c r="W580" s="37" t="str">
        <f aca="false">IF(T580="Yes",IF(V580&lt;=INDEX(PoolList,MATCH(C580,ProgramList,0)),"Within pool","Over pool"),"")</f>
        <v/>
      </c>
      <c r="X580" s="37" t="str">
        <f aca="false">IF(O580="Yes",COUNTIF($O$5:O580,"Yes"),"")</f>
        <v/>
      </c>
    </row>
    <row r="581" customFormat="false" ht="15" hidden="false" customHeight="false" outlineLevel="0" collapsed="false">
      <c r="A581" s="35" t="s">
        <v>1345</v>
      </c>
      <c r="B581" s="35" t="s">
        <v>1346</v>
      </c>
      <c r="C581" s="35" t="s">
        <v>103</v>
      </c>
      <c r="D581" s="35" t="s">
        <v>174</v>
      </c>
      <c r="E581" s="35" t="s">
        <v>175</v>
      </c>
      <c r="F581" s="42" t="n">
        <v>63500</v>
      </c>
      <c r="G581" s="36" t="n">
        <v>45921</v>
      </c>
      <c r="H581" s="35" t="s">
        <v>54</v>
      </c>
      <c r="I581" s="35" t="s">
        <v>88</v>
      </c>
      <c r="J581" s="35" t="s">
        <v>91</v>
      </c>
      <c r="K581" s="35"/>
      <c r="L581" s="48" t="n">
        <f aca="false">IFERROR(AVERAGEIFS('Score Entry'!$M$5:$M$1276,'Score Entry'!$B$5:$B$1276,A581,'Score Entry'!$E$5:$E$1276,"Primary"),"")</f>
        <v>83</v>
      </c>
      <c r="M581" s="48" t="n">
        <f aca="false">IFERROR(AVERAGEIFS('Score Entry'!$M$5:$M$1276,'Score Entry'!$B$5:$B$1276,A581,'Score Entry'!$E$5:$E$1276,"Secondary"),"")</f>
        <v>68</v>
      </c>
      <c r="N581" s="48" t="n">
        <f aca="false">IF(COUNT(L581:M581)=2,ABS(L581-M581),"")</f>
        <v>15</v>
      </c>
      <c r="O581" s="37" t="str">
        <f aca="false">IF(N581="","",IF(N581&gt;=Threshold,"Yes","No"))</f>
        <v>No</v>
      </c>
      <c r="P581" s="48" t="str">
        <f aca="false">IFERROR(AVERAGEIFS('Score Entry'!$M$5:$M$1276,'Score Entry'!$B$5:$B$1276,A581,'Score Entry'!$E$5:$E$1276,"Third"),"")</f>
        <v/>
      </c>
      <c r="Q581" s="48" t="n">
        <f aca="false">IF(H581&lt;&gt;"Eligible","",IF(O581="Yes",IF(ISNUMBER(P581),ROUND(AVERAGE(L581,M581,P581),1),""),IF(O581="No",ROUND(AVERAGE(L581:M581),1),"")))</f>
        <v>75.5</v>
      </c>
      <c r="R581" s="37" t="str">
        <f aca="false">IF(H581&lt;&gt;"Eligible","Screened out",IF(COUNT(L581:M581)=0,"Not started",IF(COUNT(L581:M581)=1,"One read done",IF(O581="Yes",IF(ISNUMBER(P581),"Complete","Needs third read"),"Complete"))))</f>
        <v>Complete</v>
      </c>
      <c r="S581" s="37" t="n">
        <f aca="false">IF(Q581="","",COUNTIFS($C$5:$C$600,C581,$Q$5:$Q$600,"&gt;"&amp;Q581)+1)</f>
        <v>42</v>
      </c>
      <c r="T581" s="37" t="str">
        <f aca="false">IF(Q581="","",IF(Q581&gt;=Cutoff,"Yes","No"))</f>
        <v>No</v>
      </c>
      <c r="U581" s="49" t="n">
        <f aca="false">IF(T581="Yes",MIN(F581,INDEX(Settings!$G:$G,MATCH(C581,Settings!$E:$E,0))),0)</f>
        <v>0</v>
      </c>
      <c r="V581" s="49" t="str">
        <f aca="false">IF(T581="Yes",SUMIFS($U$5:$U$600,$C$5:$C$600,C581,$Q$5:$Q$600,"&gt;"&amp;Q581)+U581,"")</f>
        <v/>
      </c>
      <c r="W581" s="37" t="str">
        <f aca="false">IF(T581="Yes",IF(V581&lt;=INDEX(PoolList,MATCH(C581,ProgramList,0)),"Within pool","Over pool"),"")</f>
        <v/>
      </c>
      <c r="X581" s="37" t="str">
        <f aca="false">IF(O581="Yes",COUNTIF($O$5:O581,"Yes"),"")</f>
        <v/>
      </c>
    </row>
    <row r="582" customFormat="false" ht="15" hidden="false" customHeight="false" outlineLevel="0" collapsed="false">
      <c r="A582" s="35" t="s">
        <v>1347</v>
      </c>
      <c r="B582" s="35" t="s">
        <v>1348</v>
      </c>
      <c r="C582" s="35" t="s">
        <v>105</v>
      </c>
      <c r="D582" s="35" t="s">
        <v>174</v>
      </c>
      <c r="E582" s="35" t="s">
        <v>175</v>
      </c>
      <c r="F582" s="42" t="n">
        <v>36000</v>
      </c>
      <c r="G582" s="36" t="n">
        <v>45919</v>
      </c>
      <c r="H582" s="35" t="s">
        <v>96</v>
      </c>
      <c r="I582" s="35"/>
      <c r="J582" s="35"/>
      <c r="K582" s="35"/>
      <c r="L582" s="48" t="str">
        <f aca="false">IFERROR(AVERAGEIFS('Score Entry'!$M$5:$M$1276,'Score Entry'!$B$5:$B$1276,A582,'Score Entry'!$E$5:$E$1276,"Primary"),"")</f>
        <v/>
      </c>
      <c r="M582" s="48" t="str">
        <f aca="false">IFERROR(AVERAGEIFS('Score Entry'!$M$5:$M$1276,'Score Entry'!$B$5:$B$1276,A582,'Score Entry'!$E$5:$E$1276,"Secondary"),"")</f>
        <v/>
      </c>
      <c r="N582" s="48" t="str">
        <f aca="false">IF(COUNT(L582:M582)=2,ABS(L582-M582),"")</f>
        <v/>
      </c>
      <c r="O582" s="37" t="str">
        <f aca="false">IF(N582="","",IF(N582&gt;=Threshold,"Yes","No"))</f>
        <v/>
      </c>
      <c r="P582" s="48" t="str">
        <f aca="false">IFERROR(AVERAGEIFS('Score Entry'!$M$5:$M$1276,'Score Entry'!$B$5:$B$1276,A582,'Score Entry'!$E$5:$E$1276,"Third"),"")</f>
        <v/>
      </c>
      <c r="Q582" s="48" t="str">
        <f aca="false">IF(H582&lt;&gt;"Eligible","",IF(O582="Yes",IF(ISNUMBER(P582),ROUND(AVERAGE(L582,M582,P582),1),""),IF(O582="No",ROUND(AVERAGE(L582:M582),1),"")))</f>
        <v/>
      </c>
      <c r="R582" s="37" t="str">
        <f aca="false">IF(H582&lt;&gt;"Eligible","Screened out",IF(COUNT(L582:M582)=0,"Not started",IF(COUNT(L582:M582)=1,"One read done",IF(O582="Yes",IF(ISNUMBER(P582),"Complete","Needs third read"),"Complete"))))</f>
        <v>Screened out</v>
      </c>
      <c r="S582" s="37" t="str">
        <f aca="false">IF(Q582="","",COUNTIFS($C$5:$C$600,C582,$Q$5:$Q$600,"&gt;"&amp;Q582)+1)</f>
        <v/>
      </c>
      <c r="T582" s="37" t="str">
        <f aca="false">IF(Q582="","",IF(Q582&gt;=Cutoff,"Yes","No"))</f>
        <v/>
      </c>
      <c r="U582" s="49" t="n">
        <f aca="false">IF(T582="Yes",MIN(F582,INDEX(Settings!$G:$G,MATCH(C582,Settings!$E:$E,0))),0)</f>
        <v>0</v>
      </c>
      <c r="V582" s="49" t="str">
        <f aca="false">IF(T582="Yes",SUMIFS($U$5:$U$600,$C$5:$C$600,C582,$Q$5:$Q$600,"&gt;"&amp;Q582)+U582,"")</f>
        <v/>
      </c>
      <c r="W582" s="37" t="str">
        <f aca="false">IF(T582="Yes",IF(V582&lt;=INDEX(PoolList,MATCH(C582,ProgramList,0)),"Within pool","Over pool"),"")</f>
        <v/>
      </c>
      <c r="X582" s="37" t="str">
        <f aca="false">IF(O582="Yes",COUNTIF($O$5:O582,"Yes"),"")</f>
        <v/>
      </c>
    </row>
    <row r="583" customFormat="false" ht="15" hidden="false" customHeight="false" outlineLevel="0" collapsed="false">
      <c r="A583" s="35" t="s">
        <v>1349</v>
      </c>
      <c r="B583" s="35" t="s">
        <v>1350</v>
      </c>
      <c r="C583" s="35" t="s">
        <v>103</v>
      </c>
      <c r="D583" s="35" t="s">
        <v>174</v>
      </c>
      <c r="E583" s="35" t="s">
        <v>175</v>
      </c>
      <c r="F583" s="42" t="n">
        <v>93500</v>
      </c>
      <c r="G583" s="36" t="n">
        <v>45913</v>
      </c>
      <c r="H583" s="35" t="s">
        <v>54</v>
      </c>
      <c r="I583" s="35" t="s">
        <v>85</v>
      </c>
      <c r="J583" s="35" t="s">
        <v>82</v>
      </c>
      <c r="K583" s="35"/>
      <c r="L583" s="48" t="n">
        <f aca="false">IFERROR(AVERAGEIFS('Score Entry'!$M$5:$M$1276,'Score Entry'!$B$5:$B$1276,A583,'Score Entry'!$E$5:$E$1276,"Primary"),"")</f>
        <v>67</v>
      </c>
      <c r="M583" s="48" t="n">
        <f aca="false">IFERROR(AVERAGEIFS('Score Entry'!$M$5:$M$1276,'Score Entry'!$B$5:$B$1276,A583,'Score Entry'!$E$5:$E$1276,"Secondary"),"")</f>
        <v>63</v>
      </c>
      <c r="N583" s="48" t="n">
        <f aca="false">IF(COUNT(L583:M583)=2,ABS(L583-M583),"")</f>
        <v>4</v>
      </c>
      <c r="O583" s="37" t="str">
        <f aca="false">IF(N583="","",IF(N583&gt;=Threshold,"Yes","No"))</f>
        <v>No</v>
      </c>
      <c r="P583" s="48" t="str">
        <f aca="false">IFERROR(AVERAGEIFS('Score Entry'!$M$5:$M$1276,'Score Entry'!$B$5:$B$1276,A583,'Score Entry'!$E$5:$E$1276,"Third"),"")</f>
        <v/>
      </c>
      <c r="Q583" s="48" t="n">
        <f aca="false">IF(H583&lt;&gt;"Eligible","",IF(O583="Yes",IF(ISNUMBER(P583),ROUND(AVERAGE(L583,M583,P583),1),""),IF(O583="No",ROUND(AVERAGE(L583:M583),1),"")))</f>
        <v>65</v>
      </c>
      <c r="R583" s="37" t="str">
        <f aca="false">IF(H583&lt;&gt;"Eligible","Screened out",IF(COUNT(L583:M583)=0,"Not started",IF(COUNT(L583:M583)=1,"One read done",IF(O583="Yes",IF(ISNUMBER(P583),"Complete","Needs third read"),"Complete"))))</f>
        <v>Complete</v>
      </c>
      <c r="S583" s="37" t="n">
        <f aca="false">IF(Q583="","",COUNTIFS($C$5:$C$600,C583,$Q$5:$Q$600,"&gt;"&amp;Q583)+1)</f>
        <v>89</v>
      </c>
      <c r="T583" s="37" t="str">
        <f aca="false">IF(Q583="","",IF(Q583&gt;=Cutoff,"Yes","No"))</f>
        <v>No</v>
      </c>
      <c r="U583" s="49" t="n">
        <f aca="false">IF(T583="Yes",MIN(F583,INDEX(Settings!$G:$G,MATCH(C583,Settings!$E:$E,0))),0)</f>
        <v>0</v>
      </c>
      <c r="V583" s="49" t="str">
        <f aca="false">IF(T583="Yes",SUMIFS($U$5:$U$600,$C$5:$C$600,C583,$Q$5:$Q$600,"&gt;"&amp;Q583)+U583,"")</f>
        <v/>
      </c>
      <c r="W583" s="37" t="str">
        <f aca="false">IF(T583="Yes",IF(V583&lt;=INDEX(PoolList,MATCH(C583,ProgramList,0)),"Within pool","Over pool"),"")</f>
        <v/>
      </c>
      <c r="X583" s="37" t="str">
        <f aca="false">IF(O583="Yes",COUNTIF($O$5:O583,"Yes"),"")</f>
        <v/>
      </c>
    </row>
    <row r="584" customFormat="false" ht="15" hidden="false" customHeight="false" outlineLevel="0" collapsed="false">
      <c r="A584" s="35" t="s">
        <v>1351</v>
      </c>
      <c r="B584" s="35" t="s">
        <v>1352</v>
      </c>
      <c r="C584" s="35" t="s">
        <v>103</v>
      </c>
      <c r="D584" s="35" t="s">
        <v>180</v>
      </c>
      <c r="E584" s="35" t="s">
        <v>181</v>
      </c>
      <c r="F584" s="42" t="n">
        <v>44500</v>
      </c>
      <c r="G584" s="36" t="n">
        <v>45916</v>
      </c>
      <c r="H584" s="35" t="s">
        <v>54</v>
      </c>
      <c r="I584" s="35" t="s">
        <v>78</v>
      </c>
      <c r="J584" s="35" t="s">
        <v>88</v>
      </c>
      <c r="K584" s="35" t="s">
        <v>85</v>
      </c>
      <c r="L584" s="48" t="n">
        <f aca="false">IFERROR(AVERAGEIFS('Score Entry'!$M$5:$M$1276,'Score Entry'!$B$5:$B$1276,A584,'Score Entry'!$E$5:$E$1276,"Primary"),"")</f>
        <v>40</v>
      </c>
      <c r="M584" s="48" t="n">
        <f aca="false">IFERROR(AVERAGEIFS('Score Entry'!$M$5:$M$1276,'Score Entry'!$B$5:$B$1276,A584,'Score Entry'!$E$5:$E$1276,"Secondary"),"")</f>
        <v>22</v>
      </c>
      <c r="N584" s="48" t="n">
        <f aca="false">IF(COUNT(L584:M584)=2,ABS(L584-M584),"")</f>
        <v>18</v>
      </c>
      <c r="O584" s="37" t="str">
        <f aca="false">IF(N584="","",IF(N584&gt;=Threshold,"Yes","No"))</f>
        <v>Yes</v>
      </c>
      <c r="P584" s="48" t="n">
        <f aca="false">IFERROR(AVERAGEIFS('Score Entry'!$M$5:$M$1276,'Score Entry'!$B$5:$B$1276,A584,'Score Entry'!$E$5:$E$1276,"Third"),"")</f>
        <v>33</v>
      </c>
      <c r="Q584" s="48" t="n">
        <f aca="false">IF(H584&lt;&gt;"Eligible","",IF(O584="Yes",IF(ISNUMBER(P584),ROUND(AVERAGE(L584,M584,P584),1),""),IF(O584="No",ROUND(AVERAGE(L584:M584),1),"")))</f>
        <v>31.7</v>
      </c>
      <c r="R584" s="37" t="str">
        <f aca="false">IF(H584&lt;&gt;"Eligible","Screened out",IF(COUNT(L584:M584)=0,"Not started",IF(COUNT(L584:M584)=1,"One read done",IF(O584="Yes",IF(ISNUMBER(P584),"Complete","Needs third read"),"Complete"))))</f>
        <v>Complete</v>
      </c>
      <c r="S584" s="37" t="n">
        <f aca="false">IF(Q584="","",COUNTIFS($C$5:$C$600,C584,$Q$5:$Q$600,"&gt;"&amp;Q584)+1)</f>
        <v>164</v>
      </c>
      <c r="T584" s="37" t="str">
        <f aca="false">IF(Q584="","",IF(Q584&gt;=Cutoff,"Yes","No"))</f>
        <v>No</v>
      </c>
      <c r="U584" s="49" t="n">
        <f aca="false">IF(T584="Yes",MIN(F584,INDEX(Settings!$G:$G,MATCH(C584,Settings!$E:$E,0))),0)</f>
        <v>0</v>
      </c>
      <c r="V584" s="49" t="str">
        <f aca="false">IF(T584="Yes",SUMIFS($U$5:$U$600,$C$5:$C$600,C584,$Q$5:$Q$600,"&gt;"&amp;Q584)+U584,"")</f>
        <v/>
      </c>
      <c r="W584" s="37" t="str">
        <f aca="false">IF(T584="Yes",IF(V584&lt;=INDEX(PoolList,MATCH(C584,ProgramList,0)),"Within pool","Over pool"),"")</f>
        <v/>
      </c>
      <c r="X584" s="37" t="n">
        <f aca="false">IF(O584="Yes",COUNTIF($O$5:O584,"Yes"),"")</f>
        <v>70</v>
      </c>
    </row>
    <row r="585" customFormat="false" ht="15" hidden="false" customHeight="false" outlineLevel="0" collapsed="false">
      <c r="A585" s="35" t="s">
        <v>1353</v>
      </c>
      <c r="B585" s="35" t="s">
        <v>1354</v>
      </c>
      <c r="C585" s="35" t="s">
        <v>105</v>
      </c>
      <c r="D585" s="35" t="s">
        <v>180</v>
      </c>
      <c r="E585" s="35" t="s">
        <v>252</v>
      </c>
      <c r="F585" s="42" t="n">
        <v>110000</v>
      </c>
      <c r="G585" s="36" t="n">
        <v>45923</v>
      </c>
      <c r="H585" s="35" t="s">
        <v>54</v>
      </c>
      <c r="I585" s="35" t="s">
        <v>91</v>
      </c>
      <c r="J585" s="35" t="s">
        <v>78</v>
      </c>
      <c r="K585" s="35"/>
      <c r="L585" s="48" t="n">
        <f aca="false">IFERROR(AVERAGEIFS('Score Entry'!$M$5:$M$1276,'Score Entry'!$B$5:$B$1276,A585,'Score Entry'!$E$5:$E$1276,"Primary"),"")</f>
        <v>69</v>
      </c>
      <c r="M585" s="48" t="n">
        <f aca="false">IFERROR(AVERAGEIFS('Score Entry'!$M$5:$M$1276,'Score Entry'!$B$5:$B$1276,A585,'Score Entry'!$E$5:$E$1276,"Secondary"),"")</f>
        <v>67</v>
      </c>
      <c r="N585" s="48" t="n">
        <f aca="false">IF(COUNT(L585:M585)=2,ABS(L585-M585),"")</f>
        <v>2</v>
      </c>
      <c r="O585" s="37" t="str">
        <f aca="false">IF(N585="","",IF(N585&gt;=Threshold,"Yes","No"))</f>
        <v>No</v>
      </c>
      <c r="P585" s="48" t="str">
        <f aca="false">IFERROR(AVERAGEIFS('Score Entry'!$M$5:$M$1276,'Score Entry'!$B$5:$B$1276,A585,'Score Entry'!$E$5:$E$1276,"Third"),"")</f>
        <v/>
      </c>
      <c r="Q585" s="48" t="n">
        <f aca="false">IF(H585&lt;&gt;"Eligible","",IF(O585="Yes",IF(ISNUMBER(P585),ROUND(AVERAGE(L585,M585,P585),1),""),IF(O585="No",ROUND(AVERAGE(L585:M585),1),"")))</f>
        <v>68</v>
      </c>
      <c r="R585" s="37" t="str">
        <f aca="false">IF(H585&lt;&gt;"Eligible","Screened out",IF(COUNT(L585:M585)=0,"Not started",IF(COUNT(L585:M585)=1,"One read done",IF(O585="Yes",IF(ISNUMBER(P585),"Complete","Needs third read"),"Complete"))))</f>
        <v>Complete</v>
      </c>
      <c r="S585" s="37" t="n">
        <f aca="false">IF(Q585="","",COUNTIFS($C$5:$C$600,C585,$Q$5:$Q$600,"&gt;"&amp;Q585)+1)</f>
        <v>48</v>
      </c>
      <c r="T585" s="37" t="str">
        <f aca="false">IF(Q585="","",IF(Q585&gt;=Cutoff,"Yes","No"))</f>
        <v>No</v>
      </c>
      <c r="U585" s="49" t="n">
        <f aca="false">IF(T585="Yes",MIN(F585,INDEX(Settings!$G:$G,MATCH(C585,Settings!$E:$E,0))),0)</f>
        <v>0</v>
      </c>
      <c r="V585" s="49" t="str">
        <f aca="false">IF(T585="Yes",SUMIFS($U$5:$U$600,$C$5:$C$600,C585,$Q$5:$Q$600,"&gt;"&amp;Q585)+U585,"")</f>
        <v/>
      </c>
      <c r="W585" s="37" t="str">
        <f aca="false">IF(T585="Yes",IF(V585&lt;=INDEX(PoolList,MATCH(C585,ProgramList,0)),"Within pool","Over pool"),"")</f>
        <v/>
      </c>
      <c r="X585" s="37" t="str">
        <f aca="false">IF(O585="Yes",COUNTIF($O$5:O585,"Yes"),"")</f>
        <v/>
      </c>
    </row>
    <row r="586" customFormat="false" ht="15" hidden="false" customHeight="false" outlineLevel="0" collapsed="false">
      <c r="A586" s="35" t="s">
        <v>1355</v>
      </c>
      <c r="B586" s="35" t="s">
        <v>1356</v>
      </c>
      <c r="C586" s="35" t="s">
        <v>103</v>
      </c>
      <c r="D586" s="35" t="s">
        <v>221</v>
      </c>
      <c r="E586" s="35" t="s">
        <v>227</v>
      </c>
      <c r="F586" s="42" t="n">
        <v>90500</v>
      </c>
      <c r="G586" s="36" t="n">
        <v>45917</v>
      </c>
      <c r="H586" s="35" t="s">
        <v>54</v>
      </c>
      <c r="I586" s="35" t="s">
        <v>85</v>
      </c>
      <c r="J586" s="35" t="s">
        <v>82</v>
      </c>
      <c r="K586" s="35"/>
      <c r="L586" s="48" t="n">
        <f aca="false">IFERROR(AVERAGEIFS('Score Entry'!$M$5:$M$1276,'Score Entry'!$B$5:$B$1276,A586,'Score Entry'!$E$5:$E$1276,"Primary"),"")</f>
        <v>62</v>
      </c>
      <c r="M586" s="48" t="n">
        <f aca="false">IFERROR(AVERAGEIFS('Score Entry'!$M$5:$M$1276,'Score Entry'!$B$5:$B$1276,A586,'Score Entry'!$E$5:$E$1276,"Secondary"),"")</f>
        <v>63</v>
      </c>
      <c r="N586" s="48" t="n">
        <f aca="false">IF(COUNT(L586:M586)=2,ABS(L586-M586),"")</f>
        <v>1</v>
      </c>
      <c r="O586" s="37" t="str">
        <f aca="false">IF(N586="","",IF(N586&gt;=Threshold,"Yes","No"))</f>
        <v>No</v>
      </c>
      <c r="P586" s="48" t="str">
        <f aca="false">IFERROR(AVERAGEIFS('Score Entry'!$M$5:$M$1276,'Score Entry'!$B$5:$B$1276,A586,'Score Entry'!$E$5:$E$1276,"Third"),"")</f>
        <v/>
      </c>
      <c r="Q586" s="48" t="n">
        <f aca="false">IF(H586&lt;&gt;"Eligible","",IF(O586="Yes",IF(ISNUMBER(P586),ROUND(AVERAGE(L586,M586,P586),1),""),IF(O586="No",ROUND(AVERAGE(L586:M586),1),"")))</f>
        <v>62.5</v>
      </c>
      <c r="R586" s="37" t="str">
        <f aca="false">IF(H586&lt;&gt;"Eligible","Screened out",IF(COUNT(L586:M586)=0,"Not started",IF(COUNT(L586:M586)=1,"One read done",IF(O586="Yes",IF(ISNUMBER(P586),"Complete","Needs third read"),"Complete"))))</f>
        <v>Complete</v>
      </c>
      <c r="S586" s="37" t="n">
        <f aca="false">IF(Q586="","",COUNTIFS($C$5:$C$600,C586,$Q$5:$Q$600,"&gt;"&amp;Q586)+1)</f>
        <v>101</v>
      </c>
      <c r="T586" s="37" t="str">
        <f aca="false">IF(Q586="","",IF(Q586&gt;=Cutoff,"Yes","No"))</f>
        <v>No</v>
      </c>
      <c r="U586" s="49" t="n">
        <f aca="false">IF(T586="Yes",MIN(F586,INDEX(Settings!$G:$G,MATCH(C586,Settings!$E:$E,0))),0)</f>
        <v>0</v>
      </c>
      <c r="V586" s="49" t="str">
        <f aca="false">IF(T586="Yes",SUMIFS($U$5:$U$600,$C$5:$C$600,C586,$Q$5:$Q$600,"&gt;"&amp;Q586)+U586,"")</f>
        <v/>
      </c>
      <c r="W586" s="37" t="str">
        <f aca="false">IF(T586="Yes",IF(V586&lt;=INDEX(PoolList,MATCH(C586,ProgramList,0)),"Within pool","Over pool"),"")</f>
        <v/>
      </c>
      <c r="X586" s="37" t="str">
        <f aca="false">IF(O586="Yes",COUNTIF($O$5:O586,"Yes"),"")</f>
        <v/>
      </c>
    </row>
    <row r="587" customFormat="false" ht="15" hidden="false" customHeight="false" outlineLevel="0" collapsed="false">
      <c r="A587" s="35" t="s">
        <v>1357</v>
      </c>
      <c r="B587" s="35" t="s">
        <v>1358</v>
      </c>
      <c r="C587" s="35" t="s">
        <v>104</v>
      </c>
      <c r="D587" s="35" t="s">
        <v>174</v>
      </c>
      <c r="E587" s="35" t="s">
        <v>232</v>
      </c>
      <c r="F587" s="42" t="n">
        <v>70000</v>
      </c>
      <c r="G587" s="36" t="n">
        <v>45922</v>
      </c>
      <c r="H587" s="35" t="s">
        <v>54</v>
      </c>
      <c r="I587" s="35" t="s">
        <v>94</v>
      </c>
      <c r="J587" s="35" t="s">
        <v>85</v>
      </c>
      <c r="K587" s="35"/>
      <c r="L587" s="48" t="n">
        <f aca="false">IFERROR(AVERAGEIFS('Score Entry'!$M$5:$M$1276,'Score Entry'!$B$5:$B$1276,A587,'Score Entry'!$E$5:$E$1276,"Primary"),"")</f>
        <v>96</v>
      </c>
      <c r="M587" s="48" t="n">
        <f aca="false">IFERROR(AVERAGEIFS('Score Entry'!$M$5:$M$1276,'Score Entry'!$B$5:$B$1276,A587,'Score Entry'!$E$5:$E$1276,"Secondary"),"")</f>
        <v>83</v>
      </c>
      <c r="N587" s="48" t="n">
        <f aca="false">IF(COUNT(L587:M587)=2,ABS(L587-M587),"")</f>
        <v>13</v>
      </c>
      <c r="O587" s="37" t="str">
        <f aca="false">IF(N587="","",IF(N587&gt;=Threshold,"Yes","No"))</f>
        <v>No</v>
      </c>
      <c r="P587" s="48" t="str">
        <f aca="false">IFERROR(AVERAGEIFS('Score Entry'!$M$5:$M$1276,'Score Entry'!$B$5:$B$1276,A587,'Score Entry'!$E$5:$E$1276,"Third"),"")</f>
        <v/>
      </c>
      <c r="Q587" s="48" t="n">
        <f aca="false">IF(H587&lt;&gt;"Eligible","",IF(O587="Yes",IF(ISNUMBER(P587),ROUND(AVERAGE(L587,M587,P587),1),""),IF(O587="No",ROUND(AVERAGE(L587:M587),1),"")))</f>
        <v>89.5</v>
      </c>
      <c r="R587" s="37" t="str">
        <f aca="false">IF(H587&lt;&gt;"Eligible","Screened out",IF(COUNT(L587:M587)=0,"Not started",IF(COUNT(L587:M587)=1,"One read done",IF(O587="Yes",IF(ISNUMBER(P587),"Complete","Needs third read"),"Complete"))))</f>
        <v>Complete</v>
      </c>
      <c r="S587" s="37" t="n">
        <f aca="false">IF(Q587="","",COUNTIFS($C$5:$C$600,C587,$Q$5:$Q$600,"&gt;"&amp;Q587)+1)</f>
        <v>10</v>
      </c>
      <c r="T587" s="37" t="str">
        <f aca="false">IF(Q587="","",IF(Q587&gt;=Cutoff,"Yes","No"))</f>
        <v>Yes</v>
      </c>
      <c r="U587" s="49" t="n">
        <f aca="false">IF(T587="Yes",MIN(F587,INDEX(Settings!$G:$G,MATCH(C587,Settings!$E:$E,0))),0)</f>
        <v>70000</v>
      </c>
      <c r="V587" s="49" t="n">
        <f aca="false">IF(T587="Yes",SUMIFS($U$5:$U$600,$C$5:$C$600,C587,$Q$5:$Q$600,"&gt;"&amp;Q587)+U587,"")</f>
        <v>1016500</v>
      </c>
      <c r="W587" s="37" t="str">
        <f aca="false">IF(T587="Yes",IF(V587&lt;=INDEX(PoolList,MATCH(C587,ProgramList,0)),"Within pool","Over pool"),"")</f>
        <v>Over pool</v>
      </c>
      <c r="X587" s="37" t="str">
        <f aca="false">IF(O587="Yes",COUNTIF($O$5:O587,"Yes"),"")</f>
        <v/>
      </c>
    </row>
    <row r="588" customFormat="false" ht="15" hidden="false" customHeight="false" outlineLevel="0" collapsed="false">
      <c r="A588" s="35" t="s">
        <v>1359</v>
      </c>
      <c r="B588" s="35" t="s">
        <v>1360</v>
      </c>
      <c r="C588" s="35" t="s">
        <v>104</v>
      </c>
      <c r="D588" s="35" t="s">
        <v>174</v>
      </c>
      <c r="E588" s="35" t="s">
        <v>175</v>
      </c>
      <c r="F588" s="42" t="n">
        <v>76000</v>
      </c>
      <c r="G588" s="36" t="n">
        <v>45918</v>
      </c>
      <c r="H588" s="35" t="s">
        <v>54</v>
      </c>
      <c r="I588" s="35" t="s">
        <v>82</v>
      </c>
      <c r="J588" s="35" t="s">
        <v>88</v>
      </c>
      <c r="K588" s="35"/>
      <c r="L588" s="48" t="n">
        <f aca="false">IFERROR(AVERAGEIFS('Score Entry'!$M$5:$M$1276,'Score Entry'!$B$5:$B$1276,A588,'Score Entry'!$E$5:$E$1276,"Primary"),"")</f>
        <v>56</v>
      </c>
      <c r="M588" s="48" t="n">
        <f aca="false">IFERROR(AVERAGEIFS('Score Entry'!$M$5:$M$1276,'Score Entry'!$B$5:$B$1276,A588,'Score Entry'!$E$5:$E$1276,"Secondary"),"")</f>
        <v>58</v>
      </c>
      <c r="N588" s="48" t="n">
        <f aca="false">IF(COUNT(L588:M588)=2,ABS(L588-M588),"")</f>
        <v>2</v>
      </c>
      <c r="O588" s="37" t="str">
        <f aca="false">IF(N588="","",IF(N588&gt;=Threshold,"Yes","No"))</f>
        <v>No</v>
      </c>
      <c r="P588" s="48" t="str">
        <f aca="false">IFERROR(AVERAGEIFS('Score Entry'!$M$5:$M$1276,'Score Entry'!$B$5:$B$1276,A588,'Score Entry'!$E$5:$E$1276,"Third"),"")</f>
        <v/>
      </c>
      <c r="Q588" s="48" t="n">
        <f aca="false">IF(H588&lt;&gt;"Eligible","",IF(O588="Yes",IF(ISNUMBER(P588),ROUND(AVERAGE(L588,M588,P588),1),""),IF(O588="No",ROUND(AVERAGE(L588:M588),1),"")))</f>
        <v>57</v>
      </c>
      <c r="R588" s="37" t="str">
        <f aca="false">IF(H588&lt;&gt;"Eligible","Screened out",IF(COUNT(L588:M588)=0,"Not started",IF(COUNT(L588:M588)=1,"One read done",IF(O588="Yes",IF(ISNUMBER(P588),"Complete","Needs third read"),"Complete"))))</f>
        <v>Complete</v>
      </c>
      <c r="S588" s="37" t="n">
        <f aca="false">IF(Q588="","",COUNTIFS($C$5:$C$600,C588,$Q$5:$Q$600,"&gt;"&amp;Q588)+1)</f>
        <v>84</v>
      </c>
      <c r="T588" s="37" t="str">
        <f aca="false">IF(Q588="","",IF(Q588&gt;=Cutoff,"Yes","No"))</f>
        <v>No</v>
      </c>
      <c r="U588" s="49" t="n">
        <f aca="false">IF(T588="Yes",MIN(F588,INDEX(Settings!$G:$G,MATCH(C588,Settings!$E:$E,0))),0)</f>
        <v>0</v>
      </c>
      <c r="V588" s="49" t="str">
        <f aca="false">IF(T588="Yes",SUMIFS($U$5:$U$600,$C$5:$C$600,C588,$Q$5:$Q$600,"&gt;"&amp;Q588)+U588,"")</f>
        <v/>
      </c>
      <c r="W588" s="37" t="str">
        <f aca="false">IF(T588="Yes",IF(V588&lt;=INDEX(PoolList,MATCH(C588,ProgramList,0)),"Within pool","Over pool"),"")</f>
        <v/>
      </c>
      <c r="X588" s="37" t="str">
        <f aca="false">IF(O588="Yes",COUNTIF($O$5:O588,"Yes"),"")</f>
        <v/>
      </c>
    </row>
    <row r="589" customFormat="false" ht="15" hidden="false" customHeight="false" outlineLevel="0" collapsed="false">
      <c r="A589" s="35" t="s">
        <v>1361</v>
      </c>
      <c r="B589" s="35" t="s">
        <v>1362</v>
      </c>
      <c r="C589" s="35" t="s">
        <v>106</v>
      </c>
      <c r="D589" s="35" t="s">
        <v>221</v>
      </c>
      <c r="E589" s="35" t="s">
        <v>258</v>
      </c>
      <c r="F589" s="42" t="n">
        <v>149000</v>
      </c>
      <c r="G589" s="36" t="n">
        <v>45927</v>
      </c>
      <c r="H589" s="35" t="s">
        <v>54</v>
      </c>
      <c r="I589" s="35" t="s">
        <v>91</v>
      </c>
      <c r="J589" s="35" t="s">
        <v>78</v>
      </c>
      <c r="K589" s="35"/>
      <c r="L589" s="48" t="n">
        <f aca="false">IFERROR(AVERAGEIFS('Score Entry'!$M$5:$M$1276,'Score Entry'!$B$5:$B$1276,A589,'Score Entry'!$E$5:$E$1276,"Primary"),"")</f>
        <v>58</v>
      </c>
      <c r="M589" s="48" t="n">
        <f aca="false">IFERROR(AVERAGEIFS('Score Entry'!$M$5:$M$1276,'Score Entry'!$B$5:$B$1276,A589,'Score Entry'!$E$5:$E$1276,"Secondary"),"")</f>
        <v>48</v>
      </c>
      <c r="N589" s="48" t="n">
        <f aca="false">IF(COUNT(L589:M589)=2,ABS(L589-M589),"")</f>
        <v>10</v>
      </c>
      <c r="O589" s="37" t="str">
        <f aca="false">IF(N589="","",IF(N589&gt;=Threshold,"Yes","No"))</f>
        <v>No</v>
      </c>
      <c r="P589" s="48" t="str">
        <f aca="false">IFERROR(AVERAGEIFS('Score Entry'!$M$5:$M$1276,'Score Entry'!$B$5:$B$1276,A589,'Score Entry'!$E$5:$E$1276,"Third"),"")</f>
        <v/>
      </c>
      <c r="Q589" s="48" t="n">
        <f aca="false">IF(H589&lt;&gt;"Eligible","",IF(O589="Yes",IF(ISNUMBER(P589),ROUND(AVERAGE(L589,M589,P589),1),""),IF(O589="No",ROUND(AVERAGE(L589:M589),1),"")))</f>
        <v>53</v>
      </c>
      <c r="R589" s="37" t="str">
        <f aca="false">IF(H589&lt;&gt;"Eligible","Screened out",IF(COUNT(L589:M589)=0,"Not started",IF(COUNT(L589:M589)=1,"One read done",IF(O589="Yes",IF(ISNUMBER(P589),"Complete","Needs third read"),"Complete"))))</f>
        <v>Complete</v>
      </c>
      <c r="S589" s="37" t="n">
        <f aca="false">IF(Q589="","",COUNTIFS($C$5:$C$600,C589,$Q$5:$Q$600,"&gt;"&amp;Q589)+1)</f>
        <v>103</v>
      </c>
      <c r="T589" s="37" t="str">
        <f aca="false">IF(Q589="","",IF(Q589&gt;=Cutoff,"Yes","No"))</f>
        <v>No</v>
      </c>
      <c r="U589" s="49" t="n">
        <f aca="false">IF(T589="Yes",MIN(F589,INDEX(Settings!$G:$G,MATCH(C589,Settings!$E:$E,0))),0)</f>
        <v>0</v>
      </c>
      <c r="V589" s="49" t="str">
        <f aca="false">IF(T589="Yes",SUMIFS($U$5:$U$600,$C$5:$C$600,C589,$Q$5:$Q$600,"&gt;"&amp;Q589)+U589,"")</f>
        <v/>
      </c>
      <c r="W589" s="37" t="str">
        <f aca="false">IF(T589="Yes",IF(V589&lt;=INDEX(PoolList,MATCH(C589,ProgramList,0)),"Within pool","Over pool"),"")</f>
        <v/>
      </c>
      <c r="X589" s="37" t="str">
        <f aca="false">IF(O589="Yes",COUNTIF($O$5:O589,"Yes"),"")</f>
        <v/>
      </c>
    </row>
    <row r="590" customFormat="false" ht="15" hidden="false" customHeight="false" outlineLevel="0" collapsed="false">
      <c r="A590" s="35" t="s">
        <v>1363</v>
      </c>
      <c r="B590" s="35" t="s">
        <v>1364</v>
      </c>
      <c r="C590" s="35" t="s">
        <v>104</v>
      </c>
      <c r="D590" s="35" t="s">
        <v>174</v>
      </c>
      <c r="E590" s="35" t="s">
        <v>175</v>
      </c>
      <c r="F590" s="42" t="n">
        <v>101500</v>
      </c>
      <c r="G590" s="36" t="n">
        <v>45927</v>
      </c>
      <c r="H590" s="35" t="s">
        <v>54</v>
      </c>
      <c r="I590" s="35" t="s">
        <v>88</v>
      </c>
      <c r="J590" s="35" t="s">
        <v>85</v>
      </c>
      <c r="K590" s="35"/>
      <c r="L590" s="48" t="n">
        <f aca="false">IFERROR(AVERAGEIFS('Score Entry'!$M$5:$M$1276,'Score Entry'!$B$5:$B$1276,A590,'Score Entry'!$E$5:$E$1276,"Primary"),"")</f>
        <v>70</v>
      </c>
      <c r="M590" s="48" t="n">
        <f aca="false">IFERROR(AVERAGEIFS('Score Entry'!$M$5:$M$1276,'Score Entry'!$B$5:$B$1276,A590,'Score Entry'!$E$5:$E$1276,"Secondary"),"")</f>
        <v>74</v>
      </c>
      <c r="N590" s="48" t="n">
        <f aca="false">IF(COUNT(L590:M590)=2,ABS(L590-M590),"")</f>
        <v>4</v>
      </c>
      <c r="O590" s="37" t="str">
        <f aca="false">IF(N590="","",IF(N590&gt;=Threshold,"Yes","No"))</f>
        <v>No</v>
      </c>
      <c r="P590" s="48" t="str">
        <f aca="false">IFERROR(AVERAGEIFS('Score Entry'!$M$5:$M$1276,'Score Entry'!$B$5:$B$1276,A590,'Score Entry'!$E$5:$E$1276,"Third"),"")</f>
        <v/>
      </c>
      <c r="Q590" s="48" t="n">
        <f aca="false">IF(H590&lt;&gt;"Eligible","",IF(O590="Yes",IF(ISNUMBER(P590),ROUND(AVERAGE(L590,M590,P590),1),""),IF(O590="No",ROUND(AVERAGE(L590:M590),1),"")))</f>
        <v>72</v>
      </c>
      <c r="R590" s="37" t="str">
        <f aca="false">IF(H590&lt;&gt;"Eligible","Screened out",IF(COUNT(L590:M590)=0,"Not started",IF(COUNT(L590:M590)=1,"One read done",IF(O590="Yes",IF(ISNUMBER(P590),"Complete","Needs third read"),"Complete"))))</f>
        <v>Complete</v>
      </c>
      <c r="S590" s="37" t="n">
        <f aca="false">IF(Q590="","",COUNTIFS($C$5:$C$600,C590,$Q$5:$Q$600,"&gt;"&amp;Q590)+1)</f>
        <v>41</v>
      </c>
      <c r="T590" s="37" t="str">
        <f aca="false">IF(Q590="","",IF(Q590&gt;=Cutoff,"Yes","No"))</f>
        <v>No</v>
      </c>
      <c r="U590" s="49" t="n">
        <f aca="false">IF(T590="Yes",MIN(F590,INDEX(Settings!$G:$G,MATCH(C590,Settings!$E:$E,0))),0)</f>
        <v>0</v>
      </c>
      <c r="V590" s="49" t="str">
        <f aca="false">IF(T590="Yes",SUMIFS($U$5:$U$600,$C$5:$C$600,C590,$Q$5:$Q$600,"&gt;"&amp;Q590)+U590,"")</f>
        <v/>
      </c>
      <c r="W590" s="37" t="str">
        <f aca="false">IF(T590="Yes",IF(V590&lt;=INDEX(PoolList,MATCH(C590,ProgramList,0)),"Within pool","Over pool"),"")</f>
        <v/>
      </c>
      <c r="X590" s="37" t="str">
        <f aca="false">IF(O590="Yes",COUNTIF($O$5:O590,"Yes"),"")</f>
        <v/>
      </c>
    </row>
    <row r="591" customFormat="false" ht="15" hidden="false" customHeight="false" outlineLevel="0" collapsed="false">
      <c r="A591" s="35" t="s">
        <v>1365</v>
      </c>
      <c r="B591" s="35" t="s">
        <v>1366</v>
      </c>
      <c r="C591" s="35" t="s">
        <v>103</v>
      </c>
      <c r="D591" s="35" t="s">
        <v>174</v>
      </c>
      <c r="E591" s="35" t="s">
        <v>232</v>
      </c>
      <c r="F591" s="42" t="n">
        <v>46000</v>
      </c>
      <c r="G591" s="36" t="n">
        <v>45922</v>
      </c>
      <c r="H591" s="35" t="s">
        <v>54</v>
      </c>
      <c r="I591" s="35" t="s">
        <v>85</v>
      </c>
      <c r="J591" s="35" t="s">
        <v>78</v>
      </c>
      <c r="K591" s="35"/>
      <c r="L591" s="48" t="n">
        <f aca="false">IFERROR(AVERAGEIFS('Score Entry'!$M$5:$M$1276,'Score Entry'!$B$5:$B$1276,A591,'Score Entry'!$E$5:$E$1276,"Primary"),"")</f>
        <v>72</v>
      </c>
      <c r="M591" s="48" t="n">
        <f aca="false">IFERROR(AVERAGEIFS('Score Entry'!$M$5:$M$1276,'Score Entry'!$B$5:$B$1276,A591,'Score Entry'!$E$5:$E$1276,"Secondary"),"")</f>
        <v>76</v>
      </c>
      <c r="N591" s="48" t="n">
        <f aca="false">IF(COUNT(L591:M591)=2,ABS(L591-M591),"")</f>
        <v>4</v>
      </c>
      <c r="O591" s="37" t="str">
        <f aca="false">IF(N591="","",IF(N591&gt;=Threshold,"Yes","No"))</f>
        <v>No</v>
      </c>
      <c r="P591" s="48" t="str">
        <f aca="false">IFERROR(AVERAGEIFS('Score Entry'!$M$5:$M$1276,'Score Entry'!$B$5:$B$1276,A591,'Score Entry'!$E$5:$E$1276,"Third"),"")</f>
        <v/>
      </c>
      <c r="Q591" s="48" t="n">
        <f aca="false">IF(H591&lt;&gt;"Eligible","",IF(O591="Yes",IF(ISNUMBER(P591),ROUND(AVERAGE(L591,M591,P591),1),""),IF(O591="No",ROUND(AVERAGE(L591:M591),1),"")))</f>
        <v>74</v>
      </c>
      <c r="R591" s="37" t="str">
        <f aca="false">IF(H591&lt;&gt;"Eligible","Screened out",IF(COUNT(L591:M591)=0,"Not started",IF(COUNT(L591:M591)=1,"One read done",IF(O591="Yes",IF(ISNUMBER(P591),"Complete","Needs third read"),"Complete"))))</f>
        <v>Complete</v>
      </c>
      <c r="S591" s="37" t="n">
        <f aca="false">IF(Q591="","",COUNTIFS($C$5:$C$600,C591,$Q$5:$Q$600,"&gt;"&amp;Q591)+1)</f>
        <v>48</v>
      </c>
      <c r="T591" s="37" t="str">
        <f aca="false">IF(Q591="","",IF(Q591&gt;=Cutoff,"Yes","No"))</f>
        <v>No</v>
      </c>
      <c r="U591" s="49" t="n">
        <f aca="false">IF(T591="Yes",MIN(F591,INDEX(Settings!$G:$G,MATCH(C591,Settings!$E:$E,0))),0)</f>
        <v>0</v>
      </c>
      <c r="V591" s="49" t="str">
        <f aca="false">IF(T591="Yes",SUMIFS($U$5:$U$600,$C$5:$C$600,C591,$Q$5:$Q$600,"&gt;"&amp;Q591)+U591,"")</f>
        <v/>
      </c>
      <c r="W591" s="37" t="str">
        <f aca="false">IF(T591="Yes",IF(V591&lt;=INDEX(PoolList,MATCH(C591,ProgramList,0)),"Within pool","Over pool"),"")</f>
        <v/>
      </c>
      <c r="X591" s="37" t="str">
        <f aca="false">IF(O591="Yes",COUNTIF($O$5:O591,"Yes"),"")</f>
        <v/>
      </c>
    </row>
    <row r="592" customFormat="false" ht="15" hidden="false" customHeight="false" outlineLevel="0" collapsed="false">
      <c r="A592" s="35" t="s">
        <v>1367</v>
      </c>
      <c r="B592" s="35" t="s">
        <v>1368</v>
      </c>
      <c r="C592" s="35" t="s">
        <v>105</v>
      </c>
      <c r="D592" s="35" t="s">
        <v>239</v>
      </c>
      <c r="E592" s="35" t="s">
        <v>255</v>
      </c>
      <c r="F592" s="42" t="n">
        <v>250000</v>
      </c>
      <c r="G592" s="36" t="n">
        <v>45921</v>
      </c>
      <c r="H592" s="35" t="s">
        <v>54</v>
      </c>
      <c r="I592" s="35" t="s">
        <v>94</v>
      </c>
      <c r="J592" s="35" t="s">
        <v>91</v>
      </c>
      <c r="K592" s="35"/>
      <c r="L592" s="48" t="n">
        <f aca="false">IFERROR(AVERAGEIFS('Score Entry'!$M$5:$M$1276,'Score Entry'!$B$5:$B$1276,A592,'Score Entry'!$E$5:$E$1276,"Primary"),"")</f>
        <v>78</v>
      </c>
      <c r="M592" s="48" t="n">
        <f aca="false">IFERROR(AVERAGEIFS('Score Entry'!$M$5:$M$1276,'Score Entry'!$B$5:$B$1276,A592,'Score Entry'!$E$5:$E$1276,"Secondary"),"")</f>
        <v>73</v>
      </c>
      <c r="N592" s="48" t="n">
        <f aca="false">IF(COUNT(L592:M592)=2,ABS(L592-M592),"")</f>
        <v>5</v>
      </c>
      <c r="O592" s="37" t="str">
        <f aca="false">IF(N592="","",IF(N592&gt;=Threshold,"Yes","No"))</f>
        <v>No</v>
      </c>
      <c r="P592" s="48" t="str">
        <f aca="false">IFERROR(AVERAGEIFS('Score Entry'!$M$5:$M$1276,'Score Entry'!$B$5:$B$1276,A592,'Score Entry'!$E$5:$E$1276,"Third"),"")</f>
        <v/>
      </c>
      <c r="Q592" s="48" t="n">
        <f aca="false">IF(H592&lt;&gt;"Eligible","",IF(O592="Yes",IF(ISNUMBER(P592),ROUND(AVERAGE(L592,M592,P592),1),""),IF(O592="No",ROUND(AVERAGE(L592:M592),1),"")))</f>
        <v>75.5</v>
      </c>
      <c r="R592" s="37" t="str">
        <f aca="false">IF(H592&lt;&gt;"Eligible","Screened out",IF(COUNT(L592:M592)=0,"Not started",IF(COUNT(L592:M592)=1,"One read done",IF(O592="Yes",IF(ISNUMBER(P592),"Complete","Needs third read"),"Complete"))))</f>
        <v>Complete</v>
      </c>
      <c r="S592" s="37" t="n">
        <f aca="false">IF(Q592="","",COUNTIFS($C$5:$C$600,C592,$Q$5:$Q$600,"&gt;"&amp;Q592)+1)</f>
        <v>27</v>
      </c>
      <c r="T592" s="37" t="str">
        <f aca="false">IF(Q592="","",IF(Q592&gt;=Cutoff,"Yes","No"))</f>
        <v>No</v>
      </c>
      <c r="U592" s="49" t="n">
        <f aca="false">IF(T592="Yes",MIN(F592,INDEX(Settings!$G:$G,MATCH(C592,Settings!$E:$E,0))),0)</f>
        <v>0</v>
      </c>
      <c r="V592" s="49" t="str">
        <f aca="false">IF(T592="Yes",SUMIFS($U$5:$U$600,$C$5:$C$600,C592,$Q$5:$Q$600,"&gt;"&amp;Q592)+U592,"")</f>
        <v/>
      </c>
      <c r="W592" s="37" t="str">
        <f aca="false">IF(T592="Yes",IF(V592&lt;=INDEX(PoolList,MATCH(C592,ProgramList,0)),"Within pool","Over pool"),"")</f>
        <v/>
      </c>
      <c r="X592" s="37" t="str">
        <f aca="false">IF(O592="Yes",COUNTIF($O$5:O592,"Yes"),"")</f>
        <v/>
      </c>
    </row>
    <row r="593" customFormat="false" ht="15" hidden="false" customHeight="false" outlineLevel="0" collapsed="false">
      <c r="A593" s="35" t="s">
        <v>1369</v>
      </c>
      <c r="B593" s="35" t="s">
        <v>1370</v>
      </c>
      <c r="C593" s="35" t="s">
        <v>106</v>
      </c>
      <c r="D593" s="35" t="s">
        <v>174</v>
      </c>
      <c r="E593" s="35" t="s">
        <v>175</v>
      </c>
      <c r="F593" s="42" t="n">
        <v>96000</v>
      </c>
      <c r="G593" s="36" t="n">
        <v>45920</v>
      </c>
      <c r="H593" s="35" t="s">
        <v>54</v>
      </c>
      <c r="I593" s="35" t="s">
        <v>82</v>
      </c>
      <c r="J593" s="35" t="s">
        <v>94</v>
      </c>
      <c r="K593" s="35"/>
      <c r="L593" s="48" t="n">
        <f aca="false">IFERROR(AVERAGEIFS('Score Entry'!$M$5:$M$1276,'Score Entry'!$B$5:$B$1276,A593,'Score Entry'!$E$5:$E$1276,"Primary"),"")</f>
        <v>62</v>
      </c>
      <c r="M593" s="48" t="n">
        <f aca="false">IFERROR(AVERAGEIFS('Score Entry'!$M$5:$M$1276,'Score Entry'!$B$5:$B$1276,A593,'Score Entry'!$E$5:$E$1276,"Secondary"),"")</f>
        <v>60</v>
      </c>
      <c r="N593" s="48" t="n">
        <f aca="false">IF(COUNT(L593:M593)=2,ABS(L593-M593),"")</f>
        <v>2</v>
      </c>
      <c r="O593" s="37" t="str">
        <f aca="false">IF(N593="","",IF(N593&gt;=Threshold,"Yes","No"))</f>
        <v>No</v>
      </c>
      <c r="P593" s="48" t="str">
        <f aca="false">IFERROR(AVERAGEIFS('Score Entry'!$M$5:$M$1276,'Score Entry'!$B$5:$B$1276,A593,'Score Entry'!$E$5:$E$1276,"Third"),"")</f>
        <v/>
      </c>
      <c r="Q593" s="48" t="n">
        <f aca="false">IF(H593&lt;&gt;"Eligible","",IF(O593="Yes",IF(ISNUMBER(P593),ROUND(AVERAGE(L593,M593,P593),1),""),IF(O593="No",ROUND(AVERAGE(L593:M593),1),"")))</f>
        <v>61</v>
      </c>
      <c r="R593" s="37" t="str">
        <f aca="false">IF(H593&lt;&gt;"Eligible","Screened out",IF(COUNT(L593:M593)=0,"Not started",IF(COUNT(L593:M593)=1,"One read done",IF(O593="Yes",IF(ISNUMBER(P593),"Complete","Needs third read"),"Complete"))))</f>
        <v>Complete</v>
      </c>
      <c r="S593" s="37" t="n">
        <f aca="false">IF(Q593="","",COUNTIFS($C$5:$C$600,C593,$Q$5:$Q$600,"&gt;"&amp;Q593)+1)</f>
        <v>81</v>
      </c>
      <c r="T593" s="37" t="str">
        <f aca="false">IF(Q593="","",IF(Q593&gt;=Cutoff,"Yes","No"))</f>
        <v>No</v>
      </c>
      <c r="U593" s="49" t="n">
        <f aca="false">IF(T593="Yes",MIN(F593,INDEX(Settings!$G:$G,MATCH(C593,Settings!$E:$E,0))),0)</f>
        <v>0</v>
      </c>
      <c r="V593" s="49" t="str">
        <f aca="false">IF(T593="Yes",SUMIFS($U$5:$U$600,$C$5:$C$600,C593,$Q$5:$Q$600,"&gt;"&amp;Q593)+U593,"")</f>
        <v/>
      </c>
      <c r="W593" s="37" t="str">
        <f aca="false">IF(T593="Yes",IF(V593&lt;=INDEX(PoolList,MATCH(C593,ProgramList,0)),"Within pool","Over pool"),"")</f>
        <v/>
      </c>
      <c r="X593" s="37" t="str">
        <f aca="false">IF(O593="Yes",COUNTIF($O$5:O593,"Yes"),"")</f>
        <v/>
      </c>
    </row>
    <row r="594" customFormat="false" ht="15" hidden="false" customHeight="false" outlineLevel="0" collapsed="false">
      <c r="A594" s="35" t="s">
        <v>1371</v>
      </c>
      <c r="B594" s="35" t="s">
        <v>1372</v>
      </c>
      <c r="C594" s="35" t="s">
        <v>105</v>
      </c>
      <c r="D594" s="35" t="s">
        <v>174</v>
      </c>
      <c r="E594" s="35" t="s">
        <v>232</v>
      </c>
      <c r="F594" s="42" t="n">
        <v>76500</v>
      </c>
      <c r="G594" s="36" t="n">
        <v>45926</v>
      </c>
      <c r="H594" s="35" t="s">
        <v>54</v>
      </c>
      <c r="I594" s="35" t="s">
        <v>91</v>
      </c>
      <c r="J594" s="35" t="s">
        <v>85</v>
      </c>
      <c r="K594" s="35"/>
      <c r="L594" s="48" t="n">
        <f aca="false">IFERROR(AVERAGEIFS('Score Entry'!$M$5:$M$1276,'Score Entry'!$B$5:$B$1276,A594,'Score Entry'!$E$5:$E$1276,"Primary"),"")</f>
        <v>82</v>
      </c>
      <c r="M594" s="48" t="n">
        <f aca="false">IFERROR(AVERAGEIFS('Score Entry'!$M$5:$M$1276,'Score Entry'!$B$5:$B$1276,A594,'Score Entry'!$E$5:$E$1276,"Secondary"),"")</f>
        <v>87</v>
      </c>
      <c r="N594" s="48" t="n">
        <f aca="false">IF(COUNT(L594:M594)=2,ABS(L594-M594),"")</f>
        <v>5</v>
      </c>
      <c r="O594" s="37" t="str">
        <f aca="false">IF(N594="","",IF(N594&gt;=Threshold,"Yes","No"))</f>
        <v>No</v>
      </c>
      <c r="P594" s="48" t="str">
        <f aca="false">IFERROR(AVERAGEIFS('Score Entry'!$M$5:$M$1276,'Score Entry'!$B$5:$B$1276,A594,'Score Entry'!$E$5:$E$1276,"Third"),"")</f>
        <v/>
      </c>
      <c r="Q594" s="48" t="n">
        <f aca="false">IF(H594&lt;&gt;"Eligible","",IF(O594="Yes",IF(ISNUMBER(P594),ROUND(AVERAGE(L594,M594,P594),1),""),IF(O594="No",ROUND(AVERAGE(L594:M594),1),"")))</f>
        <v>84.5</v>
      </c>
      <c r="R594" s="37" t="str">
        <f aca="false">IF(H594&lt;&gt;"Eligible","Screened out",IF(COUNT(L594:M594)=0,"Not started",IF(COUNT(L594:M594)=1,"One read done",IF(O594="Yes",IF(ISNUMBER(P594),"Complete","Needs third read"),"Complete"))))</f>
        <v>Complete</v>
      </c>
      <c r="S594" s="37" t="n">
        <f aca="false">IF(Q594="","",COUNTIFS($C$5:$C$600,C594,$Q$5:$Q$600,"&gt;"&amp;Q594)+1)</f>
        <v>10</v>
      </c>
      <c r="T594" s="37" t="str">
        <f aca="false">IF(Q594="","",IF(Q594&gt;=Cutoff,"Yes","No"))</f>
        <v>No</v>
      </c>
      <c r="U594" s="49" t="n">
        <f aca="false">IF(T594="Yes",MIN(F594,INDEX(Settings!$G:$G,MATCH(C594,Settings!$E:$E,0))),0)</f>
        <v>0</v>
      </c>
      <c r="V594" s="49" t="str">
        <f aca="false">IF(T594="Yes",SUMIFS($U$5:$U$600,$C$5:$C$600,C594,$Q$5:$Q$600,"&gt;"&amp;Q594)+U594,"")</f>
        <v/>
      </c>
      <c r="W594" s="37" t="str">
        <f aca="false">IF(T594="Yes",IF(V594&lt;=INDEX(PoolList,MATCH(C594,ProgramList,0)),"Within pool","Over pool"),"")</f>
        <v/>
      </c>
      <c r="X594" s="37" t="str">
        <f aca="false">IF(O594="Yes",COUNTIF($O$5:O594,"Yes"),"")</f>
        <v/>
      </c>
    </row>
    <row r="595" customFormat="false" ht="15" hidden="false" customHeight="false" outlineLevel="0" collapsed="false">
      <c r="A595" s="35" t="s">
        <v>1373</v>
      </c>
      <c r="B595" s="35" t="s">
        <v>1374</v>
      </c>
      <c r="C595" s="35" t="s">
        <v>106</v>
      </c>
      <c r="D595" s="35" t="s">
        <v>174</v>
      </c>
      <c r="E595" s="35" t="s">
        <v>175</v>
      </c>
      <c r="F595" s="42" t="n">
        <v>132500</v>
      </c>
      <c r="G595" s="36" t="n">
        <v>45913</v>
      </c>
      <c r="H595" s="35" t="s">
        <v>54</v>
      </c>
      <c r="I595" s="35" t="s">
        <v>82</v>
      </c>
      <c r="J595" s="35" t="s">
        <v>88</v>
      </c>
      <c r="K595" s="35"/>
      <c r="L595" s="48" t="n">
        <f aca="false">IFERROR(AVERAGEIFS('Score Entry'!$M$5:$M$1276,'Score Entry'!$B$5:$B$1276,A595,'Score Entry'!$E$5:$E$1276,"Primary"),"")</f>
        <v>33</v>
      </c>
      <c r="M595" s="48" t="n">
        <f aca="false">IFERROR(AVERAGEIFS('Score Entry'!$M$5:$M$1276,'Score Entry'!$B$5:$B$1276,A595,'Score Entry'!$E$5:$E$1276,"Secondary"),"")</f>
        <v>46</v>
      </c>
      <c r="N595" s="48" t="n">
        <f aca="false">IF(COUNT(L595:M595)=2,ABS(L595-M595),"")</f>
        <v>13</v>
      </c>
      <c r="O595" s="37" t="str">
        <f aca="false">IF(N595="","",IF(N595&gt;=Threshold,"Yes","No"))</f>
        <v>No</v>
      </c>
      <c r="P595" s="48" t="str">
        <f aca="false">IFERROR(AVERAGEIFS('Score Entry'!$M$5:$M$1276,'Score Entry'!$B$5:$B$1276,A595,'Score Entry'!$E$5:$E$1276,"Third"),"")</f>
        <v/>
      </c>
      <c r="Q595" s="48" t="n">
        <f aca="false">IF(H595&lt;&gt;"Eligible","",IF(O595="Yes",IF(ISNUMBER(P595),ROUND(AVERAGE(L595,M595,P595),1),""),IF(O595="No",ROUND(AVERAGE(L595:M595),1),"")))</f>
        <v>39.5</v>
      </c>
      <c r="R595" s="37" t="str">
        <f aca="false">IF(H595&lt;&gt;"Eligible","Screened out",IF(COUNT(L595:M595)=0,"Not started",IF(COUNT(L595:M595)=1,"One read done",IF(O595="Yes",IF(ISNUMBER(P595),"Complete","Needs third read"),"Complete"))))</f>
        <v>Complete</v>
      </c>
      <c r="S595" s="37" t="n">
        <f aca="false">IF(Q595="","",COUNTIFS($C$5:$C$600,C595,$Q$5:$Q$600,"&gt;"&amp;Q595)+1)</f>
        <v>118</v>
      </c>
      <c r="T595" s="37" t="str">
        <f aca="false">IF(Q595="","",IF(Q595&gt;=Cutoff,"Yes","No"))</f>
        <v>No</v>
      </c>
      <c r="U595" s="49" t="n">
        <f aca="false">IF(T595="Yes",MIN(F595,INDEX(Settings!$G:$G,MATCH(C595,Settings!$E:$E,0))),0)</f>
        <v>0</v>
      </c>
      <c r="V595" s="49" t="str">
        <f aca="false">IF(T595="Yes",SUMIFS($U$5:$U$600,$C$5:$C$600,C595,$Q$5:$Q$600,"&gt;"&amp;Q595)+U595,"")</f>
        <v/>
      </c>
      <c r="W595" s="37" t="str">
        <f aca="false">IF(T595="Yes",IF(V595&lt;=INDEX(PoolList,MATCH(C595,ProgramList,0)),"Within pool","Over pool"),"")</f>
        <v/>
      </c>
      <c r="X595" s="37" t="str">
        <f aca="false">IF(O595="Yes",COUNTIF($O$5:O595,"Yes"),"")</f>
        <v/>
      </c>
    </row>
    <row r="596" customFormat="false" ht="15" hidden="false" customHeight="false" outlineLevel="0" collapsed="false">
      <c r="A596" s="35" t="s">
        <v>1375</v>
      </c>
      <c r="B596" s="35" t="s">
        <v>1376</v>
      </c>
      <c r="C596" s="35" t="s">
        <v>104</v>
      </c>
      <c r="D596" s="35" t="s">
        <v>239</v>
      </c>
      <c r="E596" s="35" t="s">
        <v>240</v>
      </c>
      <c r="F596" s="42" t="n">
        <v>44000</v>
      </c>
      <c r="G596" s="36" t="n">
        <v>45926</v>
      </c>
      <c r="H596" s="35" t="s">
        <v>54</v>
      </c>
      <c r="I596" s="35" t="s">
        <v>78</v>
      </c>
      <c r="J596" s="35" t="s">
        <v>82</v>
      </c>
      <c r="K596" s="35"/>
      <c r="L596" s="48" t="n">
        <f aca="false">IFERROR(AVERAGEIFS('Score Entry'!$M$5:$M$1276,'Score Entry'!$B$5:$B$1276,A596,'Score Entry'!$E$5:$E$1276,"Primary"),"")</f>
        <v>60</v>
      </c>
      <c r="M596" s="48" t="n">
        <f aca="false">IFERROR(AVERAGEIFS('Score Entry'!$M$5:$M$1276,'Score Entry'!$B$5:$B$1276,A596,'Score Entry'!$E$5:$E$1276,"Secondary"),"")</f>
        <v>55</v>
      </c>
      <c r="N596" s="48" t="n">
        <f aca="false">IF(COUNT(L596:M596)=2,ABS(L596-M596),"")</f>
        <v>5</v>
      </c>
      <c r="O596" s="37" t="str">
        <f aca="false">IF(N596="","",IF(N596&gt;=Threshold,"Yes","No"))</f>
        <v>No</v>
      </c>
      <c r="P596" s="48" t="str">
        <f aca="false">IFERROR(AVERAGEIFS('Score Entry'!$M$5:$M$1276,'Score Entry'!$B$5:$B$1276,A596,'Score Entry'!$E$5:$E$1276,"Third"),"")</f>
        <v/>
      </c>
      <c r="Q596" s="48" t="n">
        <f aca="false">IF(H596&lt;&gt;"Eligible","",IF(O596="Yes",IF(ISNUMBER(P596),ROUND(AVERAGE(L596,M596,P596),1),""),IF(O596="No",ROUND(AVERAGE(L596:M596),1),"")))</f>
        <v>57.5</v>
      </c>
      <c r="R596" s="37" t="str">
        <f aca="false">IF(H596&lt;&gt;"Eligible","Screened out",IF(COUNT(L596:M596)=0,"Not started",IF(COUNT(L596:M596)=1,"One read done",IF(O596="Yes",IF(ISNUMBER(P596),"Complete","Needs third read"),"Complete"))))</f>
        <v>Complete</v>
      </c>
      <c r="S596" s="37" t="n">
        <f aca="false">IF(Q596="","",COUNTIFS($C$5:$C$600,C596,$Q$5:$Q$600,"&gt;"&amp;Q596)+1)</f>
        <v>81</v>
      </c>
      <c r="T596" s="37" t="str">
        <f aca="false">IF(Q596="","",IF(Q596&gt;=Cutoff,"Yes","No"))</f>
        <v>No</v>
      </c>
      <c r="U596" s="49" t="n">
        <f aca="false">IF(T596="Yes",MIN(F596,INDEX(Settings!$G:$G,MATCH(C596,Settings!$E:$E,0))),0)</f>
        <v>0</v>
      </c>
      <c r="V596" s="49" t="str">
        <f aca="false">IF(T596="Yes",SUMIFS($U$5:$U$600,$C$5:$C$600,C596,$Q$5:$Q$600,"&gt;"&amp;Q596)+U596,"")</f>
        <v/>
      </c>
      <c r="W596" s="37" t="str">
        <f aca="false">IF(T596="Yes",IF(V596&lt;=INDEX(PoolList,MATCH(C596,ProgramList,0)),"Within pool","Over pool"),"")</f>
        <v/>
      </c>
      <c r="X596" s="37" t="str">
        <f aca="false">IF(O596="Yes",COUNTIF($O$5:O596,"Yes"),"")</f>
        <v/>
      </c>
    </row>
    <row r="597" customFormat="false" ht="15" hidden="false" customHeight="false" outlineLevel="0" collapsed="false">
      <c r="A597" s="35" t="s">
        <v>1377</v>
      </c>
      <c r="B597" s="35" t="s">
        <v>1378</v>
      </c>
      <c r="C597" s="35" t="s">
        <v>104</v>
      </c>
      <c r="D597" s="35" t="s">
        <v>174</v>
      </c>
      <c r="E597" s="35" t="s">
        <v>175</v>
      </c>
      <c r="F597" s="42" t="n">
        <v>94500</v>
      </c>
      <c r="G597" s="36" t="n">
        <v>45919</v>
      </c>
      <c r="H597" s="35" t="s">
        <v>54</v>
      </c>
      <c r="I597" s="35" t="s">
        <v>88</v>
      </c>
      <c r="J597" s="35" t="s">
        <v>78</v>
      </c>
      <c r="K597" s="35"/>
      <c r="L597" s="48" t="n">
        <f aca="false">IFERROR(AVERAGEIFS('Score Entry'!$M$5:$M$1276,'Score Entry'!$B$5:$B$1276,A597,'Score Entry'!$E$5:$E$1276,"Primary"),"")</f>
        <v>25</v>
      </c>
      <c r="M597" s="48" t="n">
        <f aca="false">IFERROR(AVERAGEIFS('Score Entry'!$M$5:$M$1276,'Score Entry'!$B$5:$B$1276,A597,'Score Entry'!$E$5:$E$1276,"Secondary"),"")</f>
        <v>30</v>
      </c>
      <c r="N597" s="48" t="n">
        <f aca="false">IF(COUNT(L597:M597)=2,ABS(L597-M597),"")</f>
        <v>5</v>
      </c>
      <c r="O597" s="37" t="str">
        <f aca="false">IF(N597="","",IF(N597&gt;=Threshold,"Yes","No"))</f>
        <v>No</v>
      </c>
      <c r="P597" s="48" t="str">
        <f aca="false">IFERROR(AVERAGEIFS('Score Entry'!$M$5:$M$1276,'Score Entry'!$B$5:$B$1276,A597,'Score Entry'!$E$5:$E$1276,"Third"),"")</f>
        <v/>
      </c>
      <c r="Q597" s="48" t="n">
        <f aca="false">IF(H597&lt;&gt;"Eligible","",IF(O597="Yes",IF(ISNUMBER(P597),ROUND(AVERAGE(L597,M597,P597),1),""),IF(O597="No",ROUND(AVERAGE(L597:M597),1),"")))</f>
        <v>27.5</v>
      </c>
      <c r="R597" s="37" t="str">
        <f aca="false">IF(H597&lt;&gt;"Eligible","Screened out",IF(COUNT(L597:M597)=0,"Not started",IF(COUNT(L597:M597)=1,"One read done",IF(O597="Yes",IF(ISNUMBER(P597),"Complete","Needs third read"),"Complete"))))</f>
        <v>Complete</v>
      </c>
      <c r="S597" s="37" t="n">
        <f aca="false">IF(Q597="","",COUNTIFS($C$5:$C$600,C597,$Q$5:$Q$600,"&gt;"&amp;Q597)+1)</f>
        <v>104</v>
      </c>
      <c r="T597" s="37" t="str">
        <f aca="false">IF(Q597="","",IF(Q597&gt;=Cutoff,"Yes","No"))</f>
        <v>No</v>
      </c>
      <c r="U597" s="49" t="n">
        <f aca="false">IF(T597="Yes",MIN(F597,INDEX(Settings!$G:$G,MATCH(C597,Settings!$E:$E,0))),0)</f>
        <v>0</v>
      </c>
      <c r="V597" s="49" t="str">
        <f aca="false">IF(T597="Yes",SUMIFS($U$5:$U$600,$C$5:$C$600,C597,$Q$5:$Q$600,"&gt;"&amp;Q597)+U597,"")</f>
        <v/>
      </c>
      <c r="W597" s="37" t="str">
        <f aca="false">IF(T597="Yes",IF(V597&lt;=INDEX(PoolList,MATCH(C597,ProgramList,0)),"Within pool","Over pool"),"")</f>
        <v/>
      </c>
      <c r="X597" s="37" t="str">
        <f aca="false">IF(O597="Yes",COUNTIF($O$5:O597,"Yes"),"")</f>
        <v/>
      </c>
    </row>
    <row r="598" customFormat="false" ht="15" hidden="false" customHeight="false" outlineLevel="0" collapsed="false">
      <c r="A598" s="35" t="s">
        <v>1379</v>
      </c>
      <c r="B598" s="35" t="s">
        <v>1380</v>
      </c>
      <c r="C598" s="35" t="s">
        <v>103</v>
      </c>
      <c r="D598" s="35" t="s">
        <v>221</v>
      </c>
      <c r="E598" s="35" t="s">
        <v>227</v>
      </c>
      <c r="F598" s="42" t="n">
        <v>43500</v>
      </c>
      <c r="G598" s="36" t="n">
        <v>45920</v>
      </c>
      <c r="H598" s="35" t="s">
        <v>54</v>
      </c>
      <c r="I598" s="35" t="s">
        <v>85</v>
      </c>
      <c r="J598" s="35" t="s">
        <v>91</v>
      </c>
      <c r="K598" s="35" t="s">
        <v>88</v>
      </c>
      <c r="L598" s="48" t="n">
        <f aca="false">IFERROR(AVERAGEIFS('Score Entry'!$M$5:$M$1276,'Score Entry'!$B$5:$B$1276,A598,'Score Entry'!$E$5:$E$1276,"Primary"),"")</f>
        <v>87</v>
      </c>
      <c r="M598" s="48" t="n">
        <f aca="false">IFERROR(AVERAGEIFS('Score Entry'!$M$5:$M$1276,'Score Entry'!$B$5:$B$1276,A598,'Score Entry'!$E$5:$E$1276,"Secondary"),"")</f>
        <v>65</v>
      </c>
      <c r="N598" s="48" t="n">
        <f aca="false">IF(COUNT(L598:M598)=2,ABS(L598-M598),"")</f>
        <v>22</v>
      </c>
      <c r="O598" s="37" t="str">
        <f aca="false">IF(N598="","",IF(N598&gt;=Threshold,"Yes","No"))</f>
        <v>Yes</v>
      </c>
      <c r="P598" s="48" t="str">
        <f aca="false">IFERROR(AVERAGEIFS('Score Entry'!$M$5:$M$1276,'Score Entry'!$B$5:$B$1276,A598,'Score Entry'!$E$5:$E$1276,"Third"),"")</f>
        <v/>
      </c>
      <c r="Q598" s="48" t="str">
        <f aca="false">IF(H598&lt;&gt;"Eligible","",IF(O598="Yes",IF(ISNUMBER(P598),ROUND(AVERAGE(L598,M598,P598),1),""),IF(O598="No",ROUND(AVERAGE(L598:M598),1),"")))</f>
        <v/>
      </c>
      <c r="R598" s="37" t="str">
        <f aca="false">IF(H598&lt;&gt;"Eligible","Screened out",IF(COUNT(L598:M598)=0,"Not started",IF(COUNT(L598:M598)=1,"One read done",IF(O598="Yes",IF(ISNUMBER(P598),"Complete","Needs third read"),"Complete"))))</f>
        <v>Needs third read</v>
      </c>
      <c r="S598" s="37" t="str">
        <f aca="false">IF(Q598="","",COUNTIFS($C$5:$C$600,C598,$Q$5:$Q$600,"&gt;"&amp;Q598)+1)</f>
        <v/>
      </c>
      <c r="T598" s="37" t="str">
        <f aca="false">IF(Q598="","",IF(Q598&gt;=Cutoff,"Yes","No"))</f>
        <v/>
      </c>
      <c r="U598" s="49" t="n">
        <f aca="false">IF(T598="Yes",MIN(F598,INDEX(Settings!$G:$G,MATCH(C598,Settings!$E:$E,0))),0)</f>
        <v>0</v>
      </c>
      <c r="V598" s="49" t="str">
        <f aca="false">IF(T598="Yes",SUMIFS($U$5:$U$600,$C$5:$C$600,C598,$Q$5:$Q$600,"&gt;"&amp;Q598)+U598,"")</f>
        <v/>
      </c>
      <c r="W598" s="37" t="str">
        <f aca="false">IF(T598="Yes",IF(V598&lt;=INDEX(PoolList,MATCH(C598,ProgramList,0)),"Within pool","Over pool"),"")</f>
        <v/>
      </c>
      <c r="X598" s="37" t="n">
        <f aca="false">IF(O598="Yes",COUNTIF($O$5:O598,"Yes"),"")</f>
        <v>71</v>
      </c>
    </row>
    <row r="599" customFormat="false" ht="15" hidden="false" customHeight="false" outlineLevel="0" collapsed="false">
      <c r="A599" s="35" t="s">
        <v>1381</v>
      </c>
      <c r="B599" s="35" t="s">
        <v>1382</v>
      </c>
      <c r="C599" s="35" t="s">
        <v>106</v>
      </c>
      <c r="D599" s="35" t="s">
        <v>174</v>
      </c>
      <c r="E599" s="35" t="s">
        <v>175</v>
      </c>
      <c r="F599" s="42" t="n">
        <v>29500</v>
      </c>
      <c r="G599" s="36" t="n">
        <v>45915</v>
      </c>
      <c r="H599" s="35" t="s">
        <v>54</v>
      </c>
      <c r="I599" s="35" t="s">
        <v>94</v>
      </c>
      <c r="J599" s="35" t="s">
        <v>82</v>
      </c>
      <c r="K599" s="35"/>
      <c r="L599" s="48" t="n">
        <f aca="false">IFERROR(AVERAGEIFS('Score Entry'!$M$5:$M$1276,'Score Entry'!$B$5:$B$1276,A599,'Score Entry'!$E$5:$E$1276,"Primary"),"")</f>
        <v>51</v>
      </c>
      <c r="M599" s="48" t="n">
        <f aca="false">IFERROR(AVERAGEIFS('Score Entry'!$M$5:$M$1276,'Score Entry'!$B$5:$B$1276,A599,'Score Entry'!$E$5:$E$1276,"Secondary"),"")</f>
        <v>48</v>
      </c>
      <c r="N599" s="48" t="n">
        <f aca="false">IF(COUNT(L599:M599)=2,ABS(L599-M599),"")</f>
        <v>3</v>
      </c>
      <c r="O599" s="37" t="str">
        <f aca="false">IF(N599="","",IF(N599&gt;=Threshold,"Yes","No"))</f>
        <v>No</v>
      </c>
      <c r="P599" s="48" t="str">
        <f aca="false">IFERROR(AVERAGEIFS('Score Entry'!$M$5:$M$1276,'Score Entry'!$B$5:$B$1276,A599,'Score Entry'!$E$5:$E$1276,"Third"),"")</f>
        <v/>
      </c>
      <c r="Q599" s="48" t="n">
        <f aca="false">IF(H599&lt;&gt;"Eligible","",IF(O599="Yes",IF(ISNUMBER(P599),ROUND(AVERAGE(L599,M599,P599),1),""),IF(O599="No",ROUND(AVERAGE(L599:M599),1),"")))</f>
        <v>49.5</v>
      </c>
      <c r="R599" s="37" t="str">
        <f aca="false">IF(H599&lt;&gt;"Eligible","Screened out",IF(COUNT(L599:M599)=0,"Not started",IF(COUNT(L599:M599)=1,"One read done",IF(O599="Yes",IF(ISNUMBER(P599),"Complete","Needs third read"),"Complete"))))</f>
        <v>Complete</v>
      </c>
      <c r="S599" s="37" t="n">
        <f aca="false">IF(Q599="","",COUNTIFS($C$5:$C$600,C599,$Q$5:$Q$600,"&gt;"&amp;Q599)+1)</f>
        <v>108</v>
      </c>
      <c r="T599" s="37" t="str">
        <f aca="false">IF(Q599="","",IF(Q599&gt;=Cutoff,"Yes","No"))</f>
        <v>No</v>
      </c>
      <c r="U599" s="49" t="n">
        <f aca="false">IF(T599="Yes",MIN(F599,INDEX(Settings!$G:$G,MATCH(C599,Settings!$E:$E,0))),0)</f>
        <v>0</v>
      </c>
      <c r="V599" s="49" t="str">
        <f aca="false">IF(T599="Yes",SUMIFS($U$5:$U$600,$C$5:$C$600,C599,$Q$5:$Q$600,"&gt;"&amp;Q599)+U599,"")</f>
        <v/>
      </c>
      <c r="W599" s="37" t="str">
        <f aca="false">IF(T599="Yes",IF(V599&lt;=INDEX(PoolList,MATCH(C599,ProgramList,0)),"Within pool","Over pool"),"")</f>
        <v/>
      </c>
      <c r="X599" s="37" t="str">
        <f aca="false">IF(O599="Yes",COUNTIF($O$5:O599,"Yes"),"")</f>
        <v/>
      </c>
    </row>
    <row r="600" customFormat="false" ht="15" hidden="false" customHeight="false" outlineLevel="0" collapsed="false">
      <c r="A600" s="35" t="s">
        <v>1383</v>
      </c>
      <c r="B600" s="35" t="s">
        <v>1384</v>
      </c>
      <c r="C600" s="35" t="s">
        <v>103</v>
      </c>
      <c r="D600" s="35" t="s">
        <v>174</v>
      </c>
      <c r="E600" s="35" t="s">
        <v>175</v>
      </c>
      <c r="F600" s="42" t="n">
        <v>69000</v>
      </c>
      <c r="G600" s="36" t="n">
        <v>45919</v>
      </c>
      <c r="H600" s="35" t="s">
        <v>54</v>
      </c>
      <c r="I600" s="35" t="s">
        <v>85</v>
      </c>
      <c r="J600" s="35" t="s">
        <v>78</v>
      </c>
      <c r="K600" s="35"/>
      <c r="L600" s="48" t="n">
        <f aca="false">IFERROR(AVERAGEIFS('Score Entry'!$M$5:$M$1276,'Score Entry'!$B$5:$B$1276,A600,'Score Entry'!$E$5:$E$1276,"Primary"),"")</f>
        <v>53</v>
      </c>
      <c r="M600" s="48" t="n">
        <f aca="false">IFERROR(AVERAGEIFS('Score Entry'!$M$5:$M$1276,'Score Entry'!$B$5:$B$1276,A600,'Score Entry'!$E$5:$E$1276,"Secondary"),"")</f>
        <v>62</v>
      </c>
      <c r="N600" s="48" t="n">
        <f aca="false">IF(COUNT(L600:M600)=2,ABS(L600-M600),"")</f>
        <v>9</v>
      </c>
      <c r="O600" s="37" t="str">
        <f aca="false">IF(N600="","",IF(N600&gt;=Threshold,"Yes","No"))</f>
        <v>No</v>
      </c>
      <c r="P600" s="48" t="str">
        <f aca="false">IFERROR(AVERAGEIFS('Score Entry'!$M$5:$M$1276,'Score Entry'!$B$5:$B$1276,A600,'Score Entry'!$E$5:$E$1276,"Third"),"")</f>
        <v/>
      </c>
      <c r="Q600" s="48" t="n">
        <f aca="false">IF(H600&lt;&gt;"Eligible","",IF(O600="Yes",IF(ISNUMBER(P600),ROUND(AVERAGE(L600,M600,P600),1),""),IF(O600="No",ROUND(AVERAGE(L600:M600),1),"")))</f>
        <v>57.5</v>
      </c>
      <c r="R600" s="37" t="str">
        <f aca="false">IF(H600&lt;&gt;"Eligible","Screened out",IF(COUNT(L600:M600)=0,"Not started",IF(COUNT(L600:M600)=1,"One read done",IF(O600="Yes",IF(ISNUMBER(P600),"Complete","Needs third read"),"Complete"))))</f>
        <v>Complete</v>
      </c>
      <c r="S600" s="37" t="n">
        <f aca="false">IF(Q600="","",COUNTIFS($C$5:$C$600,C600,$Q$5:$Q$600,"&gt;"&amp;Q600)+1)</f>
        <v>123</v>
      </c>
      <c r="T600" s="37" t="str">
        <f aca="false">IF(Q600="","",IF(Q600&gt;=Cutoff,"Yes","No"))</f>
        <v>No</v>
      </c>
      <c r="U600" s="49" t="n">
        <f aca="false">IF(T600="Yes",MIN(F600,INDEX(Settings!$G:$G,MATCH(C600,Settings!$E:$E,0))),0)</f>
        <v>0</v>
      </c>
      <c r="V600" s="49" t="str">
        <f aca="false">IF(T600="Yes",SUMIFS($U$5:$U$600,$C$5:$C$600,C600,$Q$5:$Q$600,"&gt;"&amp;Q600)+U600,"")</f>
        <v/>
      </c>
      <c r="W600" s="37" t="str">
        <f aca="false">IF(T600="Yes",IF(V600&lt;=INDEX(PoolList,MATCH(C600,ProgramList,0)),"Within pool","Over pool"),"")</f>
        <v/>
      </c>
      <c r="X600" s="37" t="str">
        <f aca="false">IF(O600="Yes",COUNTIF($O$5:O600,"Yes"),"")</f>
        <v/>
      </c>
    </row>
  </sheetData>
  <conditionalFormatting sqref="O5:O600">
    <cfRule type="cellIs" priority="2" operator="equal" aboveAverage="0" equalAverage="0" bottom="0" percent="0" rank="0" text="" dxfId="20">
      <formula>"Yes"</formula>
    </cfRule>
  </conditionalFormatting>
  <conditionalFormatting sqref="R5:R600">
    <cfRule type="cellIs" priority="3" operator="equal" aboveAverage="0" equalAverage="0" bottom="0" percent="0" rank="0" text="" dxfId="21">
      <formula>"Needs third read"</formula>
    </cfRule>
    <cfRule type="cellIs" priority="4" operator="equal" aboveAverage="0" equalAverage="0" bottom="0" percent="0" rank="0" text="" dxfId="22">
      <formula>"One read done"</formula>
    </cfRule>
    <cfRule type="cellIs" priority="5" operator="equal" aboveAverage="0" equalAverage="0" bottom="0" percent="0" rank="0" text="" dxfId="23">
      <formula>"Not started"</formula>
    </cfRule>
    <cfRule type="cellIs" priority="6" operator="equal" aboveAverage="0" equalAverage="0" bottom="0" percent="0" rank="0" text="" dxfId="24">
      <formula>"Screened out"</formula>
    </cfRule>
  </conditionalFormatting>
  <conditionalFormatting sqref="W5:W600">
    <cfRule type="cellIs" priority="7" operator="equal" aboveAverage="0" equalAverage="0" bottom="0" percent="0" rank="0" text="" dxfId="1">
      <formula>"Over pool"</formula>
    </cfRule>
    <cfRule type="cellIs" priority="8" operator="equal" aboveAverage="0" equalAverage="0" bottom="0" percent="0" rank="0" text="" dxfId="25">
      <formula>"Within pool"</formula>
    </cfRule>
  </conditionalFormatting>
  <conditionalFormatting sqref="Q5:Q600">
    <cfRule type="dataBar" priority="9">
      <dataBar showValue="1" minLength="10" maxLength="90">
        <cfvo type="num" val="20"/>
        <cfvo type="num" val="100"/>
        <color rgb="FFC6A3CF"/>
      </dataBar>
      <extLst>
        <ext xmlns:x14="http://schemas.microsoft.com/office/spreadsheetml/2009/9/main" uri="{B025F937-C7B1-47D3-B67F-A62EFF666E3E}">
          <x14:id>{7CFF86A9-6BB0-4A71-891B-77E436C040C9}</x14:id>
        </ext>
      </extLst>
    </cfRule>
  </conditionalFormatting>
  <conditionalFormatting sqref="I5:J600">
    <cfRule type="expression" priority="10" aboveAverage="0" equalAverage="0" bottom="0" percent="0" rank="0" text="" dxfId="1">
      <formula>AND($I5&lt;&gt;"",$I5=$J5)</formula>
    </cfRule>
  </conditionalFormatting>
  <dataValidations count="4">
    <dataValidation allowBlank="true" errorStyle="stop" operator="between" showDropDown="false" showErrorMessage="false" showInputMessage="false" sqref="I5:K800" type="list">
      <formula1>ReviewerList</formula1>
      <formula2>0</formula2>
    </dataValidation>
    <dataValidation allowBlank="true" errorStyle="stop" operator="between" showDropDown="false" showErrorMessage="false" showInputMessage="false" sqref="C5:C800" type="list">
      <formula1>ProgramList</formula1>
      <formula2>0</formula2>
    </dataValidation>
    <dataValidation allowBlank="true" errorStyle="stop" operator="between" showDropDown="false" showErrorMessage="false" showInputMessage="false" sqref="H5:H800" type="list">
      <formula1>EligList</formula1>
      <formula2>0</formula2>
    </dataValidation>
    <dataValidation allowBlank="true" error="Enter a request amount greater than zero." errorStyle="stop" errorTitle="Request amount" operator="greaterThan" showDropDown="false" showErrorMessage="false" showInputMessage="false" sqref="F5:F800" type="decimal">
      <formula1>0</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Sample data. All names, organizations, and figures are fictional.</oddFooter>
  </headerFooter>
  <tableParts>
    <tablePart r:id="rId1"/>
  </tableParts>
  <extLst>
    <ext xmlns:x14="http://schemas.microsoft.com/office/spreadsheetml/2009/9/main" uri="{78C0D931-6437-407d-A8EE-F0AAD7539E65}">
      <x14:conditionalFormattings>
        <x14:conditionalFormatting xmlns:xm="http://schemas.microsoft.com/office/excel/2006/main">
          <x14:cfRule type="dataBar" id="{7CFF86A9-6BB0-4A71-891B-77E436C040C9}">
            <x14:dataBar minLength="10" maxLength="90" axisPosition="none" gradient="true">
              <x14:cfvo type="num">
                <xm:f>20</xm:f>
              </x14:cfvo>
              <x14:cfvo type="num">
                <xm:f>100</xm:f>
              </x14:cfvo>
              <x14:negativeFillColor rgb="FFC6A3CF"/>
              <x14:axisColor rgb="FF000000"/>
            </x14:dataBar>
          </x14:cfRule>
          <xm:sqref>Q5:Q600</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5204F"/>
    <pageSetUpPr fitToPage="true"/>
  </sheetPr>
  <dimension ref="A1:O127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4"/>
    <col collapsed="false" customWidth="true" hidden="false" outlineLevel="0" max="3" min="3" style="0" width="30"/>
    <col collapsed="false" customWidth="true" hidden="false" outlineLevel="0" max="4" min="4" style="0" width="16"/>
    <col collapsed="false" customWidth="true" hidden="false" outlineLevel="0" max="5" min="5" style="0" width="11"/>
    <col collapsed="false" customWidth="true" hidden="false" outlineLevel="0" max="6" min="6" style="0" width="12"/>
    <col collapsed="false" customWidth="true" hidden="false" outlineLevel="0" max="8" min="7" style="0" width="11"/>
    <col collapsed="false" customWidth="true" hidden="false" outlineLevel="0" max="10" min="9" style="0" width="13"/>
    <col collapsed="false" customWidth="true" hidden="false" outlineLevel="0" max="11" min="11" style="0" width="9"/>
    <col collapsed="false" customWidth="true" hidden="false" outlineLevel="0" max="12" min="12" style="0" width="11"/>
    <col collapsed="false" customWidth="true" hidden="false" outlineLevel="0" max="13" min="13" style="0" width="10"/>
    <col collapsed="false" customWidth="true" hidden="false" outlineLevel="0" max="14" min="14" style="0" width="15"/>
    <col collapsed="false" customWidth="true" hidden="false" outlineLevel="0" max="15" min="15" style="0" width="44"/>
  </cols>
  <sheetData>
    <row r="1" customFormat="false" ht="19.7" hidden="false" customHeight="false" outlineLevel="0" collapsed="false">
      <c r="A1" s="1" t="s">
        <v>1385</v>
      </c>
    </row>
    <row r="2" customFormat="false" ht="15" hidden="false" customHeight="false" outlineLevel="0" collapsed="false">
      <c r="A2" s="2" t="s">
        <v>1386</v>
      </c>
    </row>
    <row r="4" customFormat="false" ht="42" hidden="false" customHeight="true" outlineLevel="0" collapsed="false">
      <c r="A4" s="33" t="s">
        <v>1387</v>
      </c>
      <c r="B4" s="33" t="s">
        <v>151</v>
      </c>
      <c r="C4" s="33" t="s">
        <v>152</v>
      </c>
      <c r="D4" s="33" t="s">
        <v>61</v>
      </c>
      <c r="E4" s="33" t="s">
        <v>74</v>
      </c>
      <c r="F4" s="33" t="s">
        <v>1388</v>
      </c>
      <c r="G4" s="33" t="s">
        <v>116</v>
      </c>
      <c r="H4" s="33" t="s">
        <v>121</v>
      </c>
      <c r="I4" s="33" t="s">
        <v>126</v>
      </c>
      <c r="J4" s="33" t="s">
        <v>131</v>
      </c>
      <c r="K4" s="33" t="s">
        <v>136</v>
      </c>
      <c r="L4" s="33" t="s">
        <v>141</v>
      </c>
      <c r="M4" s="33" t="s">
        <v>1389</v>
      </c>
      <c r="N4" s="33" t="s">
        <v>1390</v>
      </c>
      <c r="O4" s="33" t="s">
        <v>1391</v>
      </c>
    </row>
    <row r="5" customFormat="false" ht="15" hidden="false" customHeight="false" outlineLevel="0" collapsed="false">
      <c r="A5" s="35" t="s">
        <v>1392</v>
      </c>
      <c r="B5" s="35" t="s">
        <v>396</v>
      </c>
      <c r="C5" s="37" t="str">
        <f aca="false">IF(B5="","",IFERROR(INDEX(Applications!$B$5:$B$600,MATCH(B5,Applications!$A$5:$A$600,0)),"Application ID not found"))</f>
        <v>Dublin Food Bank</v>
      </c>
      <c r="D5" s="35" t="s">
        <v>78</v>
      </c>
      <c r="E5" s="35" t="s">
        <v>80</v>
      </c>
      <c r="F5" s="36" t="n">
        <v>45936</v>
      </c>
      <c r="G5" s="35" t="n">
        <v>3</v>
      </c>
      <c r="H5" s="35" t="n">
        <v>2</v>
      </c>
      <c r="I5" s="35" t="n">
        <v>3</v>
      </c>
      <c r="J5" s="35" t="n">
        <v>3</v>
      </c>
      <c r="K5" s="35" t="n">
        <v>3</v>
      </c>
      <c r="L5" s="35" t="n">
        <v>3</v>
      </c>
      <c r="M5" s="50" t="n">
        <f aca="false">IF(COUNT(G5:L5)&lt;6,"",ROUND((G5*Rubric!$D$5+H5*Rubric!$D$6+I5*Rubric!$D$7+J5*Rubric!$D$8+K5*Rubric!$D$9+L5*Rubric!$D$10)/5*100,1))</f>
        <v>56</v>
      </c>
      <c r="N5" s="37" t="str">
        <f aca="false">IF(OR(B5="",D5=""),"",IFERROR(IF(IF(E5="Primary",INDEX(Applications!$I$5:$I$600,MATCH(B5,Applications!$A$5:$A$600,0)),IF(E5="Secondary",INDEX(Applications!$J$5:$J$600,MATCH(B5,Applications!$A$5:$A$600,0)),INDEX(Applications!$K$5:$K$600,MATCH(B5,Applications!$A$5:$A$600,0))))=D5,"OK","Not assigned"),"Check ID"))</f>
        <v>OK</v>
      </c>
      <c r="O5" s="7"/>
    </row>
    <row r="6" customFormat="false" ht="15" hidden="false" customHeight="false" outlineLevel="0" collapsed="false">
      <c r="A6" s="35" t="s">
        <v>1393</v>
      </c>
      <c r="B6" s="35" t="s">
        <v>204</v>
      </c>
      <c r="C6" s="37" t="str">
        <f aca="false">IF(B6="","",IFERROR(INDEX(Applications!$B$5:$B$600,MATCH(B6,Applications!$A$5:$A$600,0)),"Application ID not found"))</f>
        <v>Mill Creek Youth Food Lab</v>
      </c>
      <c r="D6" s="35" t="s">
        <v>78</v>
      </c>
      <c r="E6" s="35" t="s">
        <v>80</v>
      </c>
      <c r="F6" s="36" t="n">
        <v>45936</v>
      </c>
      <c r="G6" s="35" t="n">
        <v>5</v>
      </c>
      <c r="H6" s="35" t="n">
        <v>4</v>
      </c>
      <c r="I6" s="35" t="n">
        <v>4</v>
      </c>
      <c r="J6" s="35" t="n">
        <v>4</v>
      </c>
      <c r="K6" s="35" t="n">
        <v>5</v>
      </c>
      <c r="L6" s="35" t="n">
        <v>5</v>
      </c>
      <c r="M6" s="50" t="n">
        <f aca="false">IF(COUNT(G6:L6)&lt;6,"",ROUND((G6*Rubric!$D$5+H6*Rubric!$D$6+I6*Rubric!$D$7+J6*Rubric!$D$8+K6*Rubric!$D$9+L6*Rubric!$D$10)/5*100,1))</f>
        <v>89</v>
      </c>
      <c r="N6" s="37" t="str">
        <f aca="false">IF(OR(B6="",D6=""),"",IFERROR(IF(IF(E6="Primary",INDEX(Applications!$I$5:$I$600,MATCH(B6,Applications!$A$5:$A$600,0)),IF(E6="Secondary",INDEX(Applications!$J$5:$J$600,MATCH(B6,Applications!$A$5:$A$600,0)),INDEX(Applications!$K$5:$K$600,MATCH(B6,Applications!$A$5:$A$600,0))))=D6,"OK","Not assigned"),"Check ID"))</f>
        <v>OK</v>
      </c>
      <c r="O6" s="7"/>
    </row>
    <row r="7" customFormat="false" ht="15" hidden="false" customHeight="false" outlineLevel="0" collapsed="false">
      <c r="A7" s="35" t="s">
        <v>1394</v>
      </c>
      <c r="B7" s="35" t="s">
        <v>557</v>
      </c>
      <c r="C7" s="37" t="str">
        <f aca="false">IF(B7="","",IFERROR(INDEX(Applications!$B$5:$B$600,MATCH(B7,Applications!$A$5:$A$600,0)),"Application ID not found"))</f>
        <v>Detroit Farm School</v>
      </c>
      <c r="D7" s="35" t="s">
        <v>78</v>
      </c>
      <c r="E7" s="35" t="s">
        <v>83</v>
      </c>
      <c r="F7" s="36" t="n">
        <v>45936</v>
      </c>
      <c r="G7" s="35" t="n">
        <v>4</v>
      </c>
      <c r="H7" s="35" t="n">
        <v>4</v>
      </c>
      <c r="I7" s="35" t="n">
        <v>3</v>
      </c>
      <c r="J7" s="35" t="n">
        <v>4</v>
      </c>
      <c r="K7" s="35" t="n">
        <v>4</v>
      </c>
      <c r="L7" s="35" t="n">
        <v>4</v>
      </c>
      <c r="M7" s="50" t="n">
        <f aca="false">IF(COUNT(G7:L7)&lt;6,"",ROUND((G7*Rubric!$D$5+H7*Rubric!$D$6+I7*Rubric!$D$7+J7*Rubric!$D$8+K7*Rubric!$D$9+L7*Rubric!$D$10)/5*100,1))</f>
        <v>76</v>
      </c>
      <c r="N7" s="37" t="str">
        <f aca="false">IF(OR(B7="",D7=""),"",IFERROR(IF(IF(E7="Primary",INDEX(Applications!$I$5:$I$600,MATCH(B7,Applications!$A$5:$A$600,0)),IF(E7="Secondary",INDEX(Applications!$J$5:$J$600,MATCH(B7,Applications!$A$5:$A$600,0)),INDEX(Applications!$K$5:$K$600,MATCH(B7,Applications!$A$5:$A$600,0))))=D7,"OK","Not assigned"),"Check ID"))</f>
        <v>OK</v>
      </c>
      <c r="O7" s="7"/>
    </row>
    <row r="8" customFormat="false" ht="15" hidden="false" customHeight="false" outlineLevel="0" collapsed="false">
      <c r="A8" s="35" t="s">
        <v>1395</v>
      </c>
      <c r="B8" s="35" t="s">
        <v>1129</v>
      </c>
      <c r="C8" s="37" t="str">
        <f aca="false">IF(B8="","",IFERROR(INDEX(Applications!$B$5:$B$600,MATCH(B8,Applications!$A$5:$A$600,0)),"Application ID not found"))</f>
        <v>Halifax Schools Nutrition Fund</v>
      </c>
      <c r="D8" s="35" t="s">
        <v>78</v>
      </c>
      <c r="E8" s="35" t="s">
        <v>80</v>
      </c>
      <c r="F8" s="36" t="n">
        <v>45936</v>
      </c>
      <c r="G8" s="35" t="n">
        <v>4</v>
      </c>
      <c r="H8" s="35" t="n">
        <v>4</v>
      </c>
      <c r="I8" s="35" t="n">
        <v>4</v>
      </c>
      <c r="J8" s="35" t="n">
        <v>4</v>
      </c>
      <c r="K8" s="35" t="n">
        <v>4</v>
      </c>
      <c r="L8" s="35" t="n">
        <v>3</v>
      </c>
      <c r="M8" s="50" t="n">
        <f aca="false">IF(COUNT(G8:L8)&lt;6,"",ROUND((G8*Rubric!$D$5+H8*Rubric!$D$6+I8*Rubric!$D$7+J8*Rubric!$D$8+K8*Rubric!$D$9+L8*Rubric!$D$10)/5*100,1))</f>
        <v>78</v>
      </c>
      <c r="N8" s="37" t="str">
        <f aca="false">IF(OR(B8="",D8=""),"",IFERROR(IF(IF(E8="Primary",INDEX(Applications!$I$5:$I$600,MATCH(B8,Applications!$A$5:$A$600,0)),IF(E8="Secondary",INDEX(Applications!$J$5:$J$600,MATCH(B8,Applications!$A$5:$A$600,0)),INDEX(Applications!$K$5:$K$600,MATCH(B8,Applications!$A$5:$A$600,0))))=D8,"OK","Not assigned"),"Check ID"))</f>
        <v>OK</v>
      </c>
      <c r="O8" s="7"/>
    </row>
    <row r="9" customFormat="false" ht="15" hidden="false" customHeight="false" outlineLevel="0" collapsed="false">
      <c r="A9" s="35" t="s">
        <v>1396</v>
      </c>
      <c r="B9" s="35" t="s">
        <v>941</v>
      </c>
      <c r="C9" s="37" t="str">
        <f aca="false">IF(B9="","",IFERROR(INDEX(Applications!$B$5:$B$600,MATCH(B9,Applications!$A$5:$A$600,0)),"Application ID not found"))</f>
        <v>Commonground Community Pantry</v>
      </c>
      <c r="D9" s="35" t="s">
        <v>78</v>
      </c>
      <c r="E9" s="35" t="s">
        <v>83</v>
      </c>
      <c r="F9" s="36" t="n">
        <v>45936</v>
      </c>
      <c r="G9" s="35" t="n">
        <v>3</v>
      </c>
      <c r="H9" s="35" t="n">
        <v>4</v>
      </c>
      <c r="I9" s="35" t="n">
        <v>4</v>
      </c>
      <c r="J9" s="35" t="n">
        <v>3</v>
      </c>
      <c r="K9" s="35" t="n">
        <v>3</v>
      </c>
      <c r="L9" s="35" t="n">
        <v>4</v>
      </c>
      <c r="M9" s="50" t="n">
        <f aca="false">IF(COUNT(G9:L9)&lt;6,"",ROUND((G9*Rubric!$D$5+H9*Rubric!$D$6+I9*Rubric!$D$7+J9*Rubric!$D$8+K9*Rubric!$D$9+L9*Rubric!$D$10)/5*100,1))</f>
        <v>70</v>
      </c>
      <c r="N9" s="37" t="str">
        <f aca="false">IF(OR(B9="",D9=""),"",IFERROR(IF(IF(E9="Primary",INDEX(Applications!$I$5:$I$600,MATCH(B9,Applications!$A$5:$A$600,0)),IF(E9="Secondary",INDEX(Applications!$J$5:$J$600,MATCH(B9,Applications!$A$5:$A$600,0)),INDEX(Applications!$K$5:$K$600,MATCH(B9,Applications!$A$5:$A$600,0))))=D9,"OK","Not assigned"),"Check ID"))</f>
        <v>OK</v>
      </c>
      <c r="O9" s="7"/>
    </row>
    <row r="10" customFormat="false" ht="15" hidden="false" customHeight="false" outlineLevel="0" collapsed="false">
      <c r="A10" s="35" t="s">
        <v>1397</v>
      </c>
      <c r="B10" s="35" t="s">
        <v>1293</v>
      </c>
      <c r="C10" s="37" t="str">
        <f aca="false">IF(B10="","",IFERROR(INDEX(Applications!$B$5:$B$600,MATCH(B10,Applications!$A$5:$A$600,0)),"Application ID not found"))</f>
        <v>Canal Street Pantry Network</v>
      </c>
      <c r="D10" s="35" t="s">
        <v>78</v>
      </c>
      <c r="E10" s="35" t="s">
        <v>83</v>
      </c>
      <c r="F10" s="36" t="n">
        <v>45936</v>
      </c>
      <c r="G10" s="35" t="n">
        <v>2</v>
      </c>
      <c r="H10" s="35" t="n">
        <v>3</v>
      </c>
      <c r="I10" s="35" t="n">
        <v>3</v>
      </c>
      <c r="J10" s="35" t="n">
        <v>3</v>
      </c>
      <c r="K10" s="35" t="n">
        <v>3</v>
      </c>
      <c r="L10" s="35" t="n">
        <v>3</v>
      </c>
      <c r="M10" s="50" t="n">
        <f aca="false">IF(COUNT(G10:L10)&lt;6,"",ROUND((G10*Rubric!$D$5+H10*Rubric!$D$6+I10*Rubric!$D$7+J10*Rubric!$D$8+K10*Rubric!$D$9+L10*Rubric!$D$10)/5*100,1))</f>
        <v>55</v>
      </c>
      <c r="N10" s="37" t="str">
        <f aca="false">IF(OR(B10="",D10=""),"",IFERROR(IF(IF(E10="Primary",INDEX(Applications!$I$5:$I$600,MATCH(B10,Applications!$A$5:$A$600,0)),IF(E10="Secondary",INDEX(Applications!$J$5:$J$600,MATCH(B10,Applications!$A$5:$A$600,0)),INDEX(Applications!$K$5:$K$600,MATCH(B10,Applications!$A$5:$A$600,0))))=D10,"OK","Not assigned"),"Check ID"))</f>
        <v>OK</v>
      </c>
      <c r="O10" s="7" t="s">
        <v>1398</v>
      </c>
    </row>
    <row r="11" customFormat="false" ht="15" hidden="false" customHeight="false" outlineLevel="0" collapsed="false">
      <c r="A11" s="35" t="s">
        <v>1399</v>
      </c>
      <c r="B11" s="35" t="s">
        <v>981</v>
      </c>
      <c r="C11" s="37" t="str">
        <f aca="false">IF(B11="","",IFERROR(INDEX(Applications!$B$5:$B$600,MATCH(B11,Applications!$A$5:$A$600,0)),"Application ID not found"))</f>
        <v>Prairie Community Pantry</v>
      </c>
      <c r="D11" s="35" t="s">
        <v>82</v>
      </c>
      <c r="E11" s="35" t="s">
        <v>83</v>
      </c>
      <c r="F11" s="36" t="n">
        <v>45936</v>
      </c>
      <c r="G11" s="35" t="n">
        <v>4</v>
      </c>
      <c r="H11" s="35" t="n">
        <v>4</v>
      </c>
      <c r="I11" s="35" t="n">
        <v>4</v>
      </c>
      <c r="J11" s="35" t="n">
        <v>4</v>
      </c>
      <c r="K11" s="35" t="n">
        <v>3</v>
      </c>
      <c r="L11" s="35" t="n">
        <v>4</v>
      </c>
      <c r="M11" s="50" t="n">
        <f aca="false">IF(COUNT(G11:L11)&lt;6,"",ROUND((G11*Rubric!$D$5+H11*Rubric!$D$6+I11*Rubric!$D$7+J11*Rubric!$D$8+K11*Rubric!$D$9+L11*Rubric!$D$10)/5*100,1))</f>
        <v>78</v>
      </c>
      <c r="N11" s="37" t="str">
        <f aca="false">IF(OR(B11="",D11=""),"",IFERROR(IF(IF(E11="Primary",INDEX(Applications!$I$5:$I$600,MATCH(B11,Applications!$A$5:$A$600,0)),IF(E11="Secondary",INDEX(Applications!$J$5:$J$600,MATCH(B11,Applications!$A$5:$A$600,0)),INDEX(Applications!$K$5:$K$600,MATCH(B11,Applications!$A$5:$A$600,0))))=D11,"OK","Not assigned"),"Check ID"))</f>
        <v>OK</v>
      </c>
      <c r="O11" s="7"/>
    </row>
    <row r="12" customFormat="false" ht="15" hidden="false" customHeight="false" outlineLevel="0" collapsed="false">
      <c r="A12" s="35" t="s">
        <v>1400</v>
      </c>
      <c r="B12" s="35" t="s">
        <v>1203</v>
      </c>
      <c r="C12" s="37" t="str">
        <f aca="false">IF(B12="","",IFERROR(INDEX(Applications!$B$5:$B$600,MATCH(B12,Applications!$A$5:$A$600,0)),"Application ID not found"))</f>
        <v>Omaha Farm School</v>
      </c>
      <c r="D12" s="35" t="s">
        <v>82</v>
      </c>
      <c r="E12" s="35" t="s">
        <v>83</v>
      </c>
      <c r="F12" s="36" t="n">
        <v>45936</v>
      </c>
      <c r="G12" s="35" t="n">
        <v>3</v>
      </c>
      <c r="H12" s="35" t="n">
        <v>4</v>
      </c>
      <c r="I12" s="35" t="n">
        <v>2</v>
      </c>
      <c r="J12" s="35" t="n">
        <v>4</v>
      </c>
      <c r="K12" s="35" t="n">
        <v>3</v>
      </c>
      <c r="L12" s="35" t="n">
        <v>3</v>
      </c>
      <c r="M12" s="50" t="n">
        <f aca="false">IF(COUNT(G12:L12)&lt;6,"",ROUND((G12*Rubric!$D$5+H12*Rubric!$D$6+I12*Rubric!$D$7+J12*Rubric!$D$8+K12*Rubric!$D$9+L12*Rubric!$D$10)/5*100,1))</f>
        <v>63</v>
      </c>
      <c r="N12" s="37" t="str">
        <f aca="false">IF(OR(B12="",D12=""),"",IFERROR(IF(IF(E12="Primary",INDEX(Applications!$I$5:$I$600,MATCH(B12,Applications!$A$5:$A$600,0)),IF(E12="Secondary",INDEX(Applications!$J$5:$J$600,MATCH(B12,Applications!$A$5:$A$600,0)),INDEX(Applications!$K$5:$K$600,MATCH(B12,Applications!$A$5:$A$600,0))))=D12,"OK","Not assigned"),"Check ID"))</f>
        <v>OK</v>
      </c>
      <c r="O12" s="7"/>
    </row>
    <row r="13" customFormat="false" ht="15" hidden="false" customHeight="false" outlineLevel="0" collapsed="false">
      <c r="A13" s="35" t="s">
        <v>1401</v>
      </c>
      <c r="B13" s="35" t="s">
        <v>1327</v>
      </c>
      <c r="C13" s="37" t="str">
        <f aca="false">IF(B13="","",IFERROR(INDEX(Applications!$B$5:$B$600,MATCH(B13,Applications!$A$5:$A$600,0)),"Application ID not found"))</f>
        <v>Tucson Bakery Collective</v>
      </c>
      <c r="D13" s="35" t="s">
        <v>82</v>
      </c>
      <c r="E13" s="35" t="s">
        <v>80</v>
      </c>
      <c r="F13" s="36" t="n">
        <v>45936</v>
      </c>
      <c r="G13" s="35" t="n">
        <v>3</v>
      </c>
      <c r="H13" s="35" t="n">
        <v>3</v>
      </c>
      <c r="I13" s="35" t="n">
        <v>3</v>
      </c>
      <c r="J13" s="35" t="n">
        <v>3</v>
      </c>
      <c r="K13" s="35" t="n">
        <v>2</v>
      </c>
      <c r="L13" s="35" t="n">
        <v>2</v>
      </c>
      <c r="M13" s="50" t="n">
        <f aca="false">IF(COUNT(G13:L13)&lt;6,"",ROUND((G13*Rubric!$D$5+H13*Rubric!$D$6+I13*Rubric!$D$7+J13*Rubric!$D$8+K13*Rubric!$D$9+L13*Rubric!$D$10)/5*100,1))</f>
        <v>56</v>
      </c>
      <c r="N13" s="37" t="str">
        <f aca="false">IF(OR(B13="",D13=""),"",IFERROR(IF(IF(E13="Primary",INDEX(Applications!$I$5:$I$600,MATCH(B13,Applications!$A$5:$A$600,0)),IF(E13="Secondary",INDEX(Applications!$J$5:$J$600,MATCH(B13,Applications!$A$5:$A$600,0)),INDEX(Applications!$K$5:$K$600,MATCH(B13,Applications!$A$5:$A$600,0))))=D13,"OK","Not assigned"),"Check ID"))</f>
        <v>OK</v>
      </c>
      <c r="O13" s="7" t="s">
        <v>1402</v>
      </c>
    </row>
    <row r="14" customFormat="false" ht="15" hidden="false" customHeight="false" outlineLevel="0" collapsed="false">
      <c r="A14" s="35" t="s">
        <v>1403</v>
      </c>
      <c r="B14" s="35" t="s">
        <v>621</v>
      </c>
      <c r="C14" s="37" t="str">
        <f aca="false">IF(B14="","",IFERROR(INDEX(Applications!$B$5:$B$600,MATCH(B14,Applications!$A$5:$A$600,0)),"Application ID not found"))</f>
        <v>Calgary Mobile Market</v>
      </c>
      <c r="D14" s="35" t="s">
        <v>82</v>
      </c>
      <c r="E14" s="35" t="s">
        <v>80</v>
      </c>
      <c r="F14" s="36" t="n">
        <v>45936</v>
      </c>
      <c r="G14" s="35" t="n">
        <v>3</v>
      </c>
      <c r="H14" s="35" t="n">
        <v>2</v>
      </c>
      <c r="I14" s="35" t="n">
        <v>3</v>
      </c>
      <c r="J14" s="35" t="n">
        <v>3</v>
      </c>
      <c r="K14" s="35" t="n">
        <v>3</v>
      </c>
      <c r="L14" s="35" t="n">
        <v>2</v>
      </c>
      <c r="M14" s="50" t="n">
        <f aca="false">IF(COUNT(G14:L14)&lt;6,"",ROUND((G14*Rubric!$D$5+H14*Rubric!$D$6+I14*Rubric!$D$7+J14*Rubric!$D$8+K14*Rubric!$D$9+L14*Rubric!$D$10)/5*100,1))</f>
        <v>54</v>
      </c>
      <c r="N14" s="37" t="str">
        <f aca="false">IF(OR(B14="",D14=""),"",IFERROR(IF(IF(E14="Primary",INDEX(Applications!$I$5:$I$600,MATCH(B14,Applications!$A$5:$A$600,0)),IF(E14="Secondary",INDEX(Applications!$J$5:$J$600,MATCH(B14,Applications!$A$5:$A$600,0)),INDEX(Applications!$K$5:$K$600,MATCH(B14,Applications!$A$5:$A$600,0))))=D14,"OK","Not assigned"),"Check ID"))</f>
        <v>OK</v>
      </c>
      <c r="O14" s="7"/>
    </row>
    <row r="15" customFormat="false" ht="15" hidden="false" customHeight="false" outlineLevel="0" collapsed="false">
      <c r="A15" s="35" t="s">
        <v>1404</v>
      </c>
      <c r="B15" s="35" t="s">
        <v>486</v>
      </c>
      <c r="C15" s="37" t="str">
        <f aca="false">IF(B15="","",IFERROR(INDEX(Applications!$B$5:$B$600,MATCH(B15,Applications!$A$5:$A$600,0)),"Application ID not found"))</f>
        <v>Louisville Youth Food Lab</v>
      </c>
      <c r="D15" s="35" t="s">
        <v>82</v>
      </c>
      <c r="E15" s="35" t="s">
        <v>80</v>
      </c>
      <c r="F15" s="36" t="n">
        <v>45936</v>
      </c>
      <c r="G15" s="35" t="n">
        <v>4</v>
      </c>
      <c r="H15" s="35" t="n">
        <v>3</v>
      </c>
      <c r="I15" s="35" t="n">
        <v>2</v>
      </c>
      <c r="J15" s="35" t="n">
        <v>2</v>
      </c>
      <c r="K15" s="35" t="n">
        <v>3</v>
      </c>
      <c r="L15" s="35" t="n">
        <v>3</v>
      </c>
      <c r="M15" s="50" t="n">
        <f aca="false">IF(COUNT(G15:L15)&lt;6,"",ROUND((G15*Rubric!$D$5+H15*Rubric!$D$6+I15*Rubric!$D$7+J15*Rubric!$D$8+K15*Rubric!$D$9+L15*Rubric!$D$10)/5*100,1))</f>
        <v>58</v>
      </c>
      <c r="N15" s="37" t="str">
        <f aca="false">IF(OR(B15="",D15=""),"",IFERROR(IF(IF(E15="Primary",INDEX(Applications!$I$5:$I$600,MATCH(B15,Applications!$A$5:$A$600,0)),IF(E15="Secondary",INDEX(Applications!$J$5:$J$600,MATCH(B15,Applications!$A$5:$A$600,0)),INDEX(Applications!$K$5:$K$600,MATCH(B15,Applications!$A$5:$A$600,0))))=D15,"OK","Not assigned"),"Check ID"))</f>
        <v>OK</v>
      </c>
      <c r="O15" s="7"/>
    </row>
    <row r="16" customFormat="false" ht="15" hidden="false" customHeight="false" outlineLevel="0" collapsed="false">
      <c r="A16" s="35" t="s">
        <v>1405</v>
      </c>
      <c r="B16" s="35" t="s">
        <v>225</v>
      </c>
      <c r="C16" s="37" t="str">
        <f aca="false">IF(B16="","",IFERROR(INDEX(Applications!$B$5:$B$600,MATCH(B16,Applications!$A$5:$A$600,0)),"Application ID not found"))</f>
        <v>High Plains Farm Collective</v>
      </c>
      <c r="D16" s="35" t="s">
        <v>82</v>
      </c>
      <c r="E16" s="35" t="s">
        <v>80</v>
      </c>
      <c r="F16" s="36" t="n">
        <v>45936</v>
      </c>
      <c r="G16" s="35" t="n">
        <v>3</v>
      </c>
      <c r="H16" s="35" t="n">
        <v>4</v>
      </c>
      <c r="I16" s="35" t="n">
        <v>4</v>
      </c>
      <c r="J16" s="35" t="n">
        <v>3</v>
      </c>
      <c r="K16" s="35" t="n">
        <v>3</v>
      </c>
      <c r="L16" s="35" t="n">
        <v>3</v>
      </c>
      <c r="M16" s="50" t="n">
        <f aca="false">IF(COUNT(G16:L16)&lt;6,"",ROUND((G16*Rubric!$D$5+H16*Rubric!$D$6+I16*Rubric!$D$7+J16*Rubric!$D$8+K16*Rubric!$D$9+L16*Rubric!$D$10)/5*100,1))</f>
        <v>68</v>
      </c>
      <c r="N16" s="37" t="str">
        <f aca="false">IF(OR(B16="",D16=""),"",IFERROR(IF(IF(E16="Primary",INDEX(Applications!$I$5:$I$600,MATCH(B16,Applications!$A$5:$A$600,0)),IF(E16="Secondary",INDEX(Applications!$J$5:$J$600,MATCH(B16,Applications!$A$5:$A$600,0)),INDEX(Applications!$K$5:$K$600,MATCH(B16,Applications!$A$5:$A$600,0))))=D16,"OK","Not assigned"),"Check ID"))</f>
        <v>OK</v>
      </c>
      <c r="O16" s="7"/>
    </row>
    <row r="17" customFormat="false" ht="15" hidden="false" customHeight="false" outlineLevel="0" collapsed="false">
      <c r="A17" s="35" t="s">
        <v>1406</v>
      </c>
      <c r="B17" s="35" t="s">
        <v>327</v>
      </c>
      <c r="C17" s="37" t="str">
        <f aca="false">IF(B17="","",IFERROR(INDEX(Applications!$B$5:$B$600,MATCH(B17,Applications!$A$5:$A$600,0)),"Application ID not found"))</f>
        <v>Cali Family Center</v>
      </c>
      <c r="D17" s="35" t="s">
        <v>82</v>
      </c>
      <c r="E17" s="35" t="s">
        <v>83</v>
      </c>
      <c r="F17" s="36" t="n">
        <v>45936</v>
      </c>
      <c r="G17" s="35" t="n">
        <v>2</v>
      </c>
      <c r="H17" s="35" t="n">
        <v>2</v>
      </c>
      <c r="I17" s="35" t="n">
        <v>3</v>
      </c>
      <c r="J17" s="35" t="n">
        <v>3</v>
      </c>
      <c r="K17" s="35" t="n">
        <v>3</v>
      </c>
      <c r="L17" s="35" t="n">
        <v>3</v>
      </c>
      <c r="M17" s="50" t="n">
        <f aca="false">IF(COUNT(G17:L17)&lt;6,"",ROUND((G17*Rubric!$D$5+H17*Rubric!$D$6+I17*Rubric!$D$7+J17*Rubric!$D$8+K17*Rubric!$D$9+L17*Rubric!$D$10)/5*100,1))</f>
        <v>51</v>
      </c>
      <c r="N17" s="37" t="str">
        <f aca="false">IF(OR(B17="",D17=""),"",IFERROR(IF(IF(E17="Primary",INDEX(Applications!$I$5:$I$600,MATCH(B17,Applications!$A$5:$A$600,0)),IF(E17="Secondary",INDEX(Applications!$J$5:$J$600,MATCH(B17,Applications!$A$5:$A$600,0)),INDEX(Applications!$K$5:$K$600,MATCH(B17,Applications!$A$5:$A$600,0))))=D17,"OK","Not assigned"),"Check ID"))</f>
        <v>OK</v>
      </c>
      <c r="O17" s="7"/>
    </row>
    <row r="18" customFormat="false" ht="15" hidden="false" customHeight="false" outlineLevel="0" collapsed="false">
      <c r="A18" s="35" t="s">
        <v>1407</v>
      </c>
      <c r="B18" s="35" t="s">
        <v>1123</v>
      </c>
      <c r="C18" s="37" t="str">
        <f aca="false">IF(B18="","",IFERROR(INDEX(Applications!$B$5:$B$600,MATCH(B18,Applications!$A$5:$A$600,0)),"Application ID not found"))</f>
        <v>Greenway Seed Library</v>
      </c>
      <c r="D18" s="35" t="s">
        <v>88</v>
      </c>
      <c r="E18" s="35" t="s">
        <v>80</v>
      </c>
      <c r="F18" s="36" t="n">
        <v>45936</v>
      </c>
      <c r="G18" s="35" t="n">
        <v>4</v>
      </c>
      <c r="H18" s="35" t="n">
        <v>4</v>
      </c>
      <c r="I18" s="35" t="n">
        <v>4</v>
      </c>
      <c r="J18" s="35" t="n">
        <v>3</v>
      </c>
      <c r="K18" s="35" t="n">
        <v>4</v>
      </c>
      <c r="L18" s="35" t="n">
        <v>4</v>
      </c>
      <c r="M18" s="50" t="n">
        <f aca="false">IF(COUNT(G18:L18)&lt;6,"",ROUND((G18*Rubric!$D$5+H18*Rubric!$D$6+I18*Rubric!$D$7+J18*Rubric!$D$8+K18*Rubric!$D$9+L18*Rubric!$D$10)/5*100,1))</f>
        <v>77</v>
      </c>
      <c r="N18" s="37" t="str">
        <f aca="false">IF(OR(B18="",D18=""),"",IFERROR(IF(IF(E18="Primary",INDEX(Applications!$I$5:$I$600,MATCH(B18,Applications!$A$5:$A$600,0)),IF(E18="Secondary",INDEX(Applications!$J$5:$J$600,MATCH(B18,Applications!$A$5:$A$600,0)),INDEX(Applications!$K$5:$K$600,MATCH(B18,Applications!$A$5:$A$600,0))))=D18,"OK","Not assigned"),"Check ID"))</f>
        <v>OK</v>
      </c>
      <c r="O18" s="7"/>
    </row>
    <row r="19" customFormat="false" ht="15" hidden="false" customHeight="false" outlineLevel="0" collapsed="false">
      <c r="A19" s="35" t="s">
        <v>1408</v>
      </c>
      <c r="B19" s="35" t="s">
        <v>460</v>
      </c>
      <c r="C19" s="37" t="str">
        <f aca="false">IF(B19="","",IFERROR(INDEX(Applications!$B$5:$B$600,MATCH(B19,Applications!$A$5:$A$600,0)),"Application ID not found"))</f>
        <v>Puebla Community Pantry</v>
      </c>
      <c r="D19" s="35" t="s">
        <v>88</v>
      </c>
      <c r="E19" s="35" t="s">
        <v>80</v>
      </c>
      <c r="F19" s="36" t="n">
        <v>45936</v>
      </c>
      <c r="G19" s="35" t="n">
        <v>2</v>
      </c>
      <c r="H19" s="35" t="n">
        <v>2</v>
      </c>
      <c r="I19" s="35" t="n">
        <v>2</v>
      </c>
      <c r="J19" s="35" t="n">
        <v>2</v>
      </c>
      <c r="K19" s="35" t="n">
        <v>2</v>
      </c>
      <c r="L19" s="35" t="n">
        <v>3</v>
      </c>
      <c r="M19" s="50" t="n">
        <f aca="false">IF(COUNT(G19:L19)&lt;6,"",ROUND((G19*Rubric!$D$5+H19*Rubric!$D$6+I19*Rubric!$D$7+J19*Rubric!$D$8+K19*Rubric!$D$9+L19*Rubric!$D$10)/5*100,1))</f>
        <v>42</v>
      </c>
      <c r="N19" s="37" t="str">
        <f aca="false">IF(OR(B19="",D19=""),"",IFERROR(IF(IF(E19="Primary",INDEX(Applications!$I$5:$I$600,MATCH(B19,Applications!$A$5:$A$600,0)),IF(E19="Secondary",INDEX(Applications!$J$5:$J$600,MATCH(B19,Applications!$A$5:$A$600,0)),INDEX(Applications!$K$5:$K$600,MATCH(B19,Applications!$A$5:$A$600,0))))=D19,"OK","Not assigned"),"Check ID"))</f>
        <v>OK</v>
      </c>
      <c r="O19" s="7"/>
    </row>
    <row r="20" customFormat="false" ht="15" hidden="false" customHeight="false" outlineLevel="0" collapsed="false">
      <c r="A20" s="35" t="s">
        <v>1409</v>
      </c>
      <c r="B20" s="35" t="s">
        <v>412</v>
      </c>
      <c r="C20" s="37" t="str">
        <f aca="false">IF(B20="","",IFERROR(INDEX(Applications!$B$5:$B$600,MATCH(B20,Applications!$A$5:$A$600,0)),"Application ID not found"))</f>
        <v>Cardiff Meals Project</v>
      </c>
      <c r="D20" s="35" t="s">
        <v>88</v>
      </c>
      <c r="E20" s="35" t="s">
        <v>83</v>
      </c>
      <c r="F20" s="36" t="n">
        <v>45936</v>
      </c>
      <c r="G20" s="35" t="n">
        <v>3</v>
      </c>
      <c r="H20" s="35" t="n">
        <v>3</v>
      </c>
      <c r="I20" s="35" t="n">
        <v>2</v>
      </c>
      <c r="J20" s="35" t="n">
        <v>3</v>
      </c>
      <c r="K20" s="35" t="n">
        <v>3</v>
      </c>
      <c r="L20" s="35" t="n">
        <v>2</v>
      </c>
      <c r="M20" s="50" t="n">
        <f aca="false">IF(COUNT(G20:L20)&lt;6,"",ROUND((G20*Rubric!$D$5+H20*Rubric!$D$6+I20*Rubric!$D$7+J20*Rubric!$D$8+K20*Rubric!$D$9+L20*Rubric!$D$10)/5*100,1))</f>
        <v>54</v>
      </c>
      <c r="N20" s="37" t="str">
        <f aca="false">IF(OR(B20="",D20=""),"",IFERROR(IF(IF(E20="Primary",INDEX(Applications!$I$5:$I$600,MATCH(B20,Applications!$A$5:$A$600,0)),IF(E20="Secondary",INDEX(Applications!$J$5:$J$600,MATCH(B20,Applications!$A$5:$A$600,0)),INDEX(Applications!$K$5:$K$600,MATCH(B20,Applications!$A$5:$A$600,0))))=D20,"OK","Not assigned"),"Check ID"))</f>
        <v>OK</v>
      </c>
      <c r="O20" s="7"/>
    </row>
    <row r="21" customFormat="false" ht="15" hidden="false" customHeight="false" outlineLevel="0" collapsed="false">
      <c r="A21" s="35" t="s">
        <v>1410</v>
      </c>
      <c r="B21" s="35" t="s">
        <v>184</v>
      </c>
      <c r="C21" s="37" t="str">
        <f aca="false">IF(B21="","",IFERROR(INDEX(Applications!$B$5:$B$600,MATCH(B21,Applications!$A$5:$A$600,0)),"Application ID not found"))</f>
        <v>Denver Schools Nutrition Fund</v>
      </c>
      <c r="D21" s="35" t="s">
        <v>88</v>
      </c>
      <c r="E21" s="35" t="s">
        <v>83</v>
      </c>
      <c r="F21" s="36" t="n">
        <v>45936</v>
      </c>
      <c r="G21" s="35" t="n">
        <v>2</v>
      </c>
      <c r="H21" s="35" t="n">
        <v>3</v>
      </c>
      <c r="I21" s="35" t="n">
        <v>2</v>
      </c>
      <c r="J21" s="35" t="n">
        <v>2</v>
      </c>
      <c r="K21" s="35" t="n">
        <v>3</v>
      </c>
      <c r="L21" s="35" t="n">
        <v>2</v>
      </c>
      <c r="M21" s="50" t="n">
        <f aca="false">IF(COUNT(G21:L21)&lt;6,"",ROUND((G21*Rubric!$D$5+H21*Rubric!$D$6+I21*Rubric!$D$7+J21*Rubric!$D$8+K21*Rubric!$D$9+L21*Rubric!$D$10)/5*100,1))</f>
        <v>46</v>
      </c>
      <c r="N21" s="37" t="str">
        <f aca="false">IF(OR(B21="",D21=""),"",IFERROR(IF(IF(E21="Primary",INDEX(Applications!$I$5:$I$600,MATCH(B21,Applications!$A$5:$A$600,0)),IF(E21="Secondary",INDEX(Applications!$J$5:$J$600,MATCH(B21,Applications!$A$5:$A$600,0)),INDEX(Applications!$K$5:$K$600,MATCH(B21,Applications!$A$5:$A$600,0))))=D21,"OK","Not assigned"),"Check ID"))</f>
        <v>OK</v>
      </c>
      <c r="O21" s="7"/>
    </row>
    <row r="22" customFormat="false" ht="15" hidden="false" customHeight="false" outlineLevel="0" collapsed="false">
      <c r="A22" s="35" t="s">
        <v>1411</v>
      </c>
      <c r="B22" s="35" t="s">
        <v>1205</v>
      </c>
      <c r="C22" s="37" t="str">
        <f aca="false">IF(B22="","",IFERROR(INDEX(Applications!$B$5:$B$600,MATCH(B22,Applications!$A$5:$A$600,0)),"Application ID not found"))</f>
        <v>Winnipeg Bakery Collective</v>
      </c>
      <c r="D22" s="35" t="s">
        <v>88</v>
      </c>
      <c r="E22" s="35" t="s">
        <v>80</v>
      </c>
      <c r="F22" s="36" t="n">
        <v>45936</v>
      </c>
      <c r="G22" s="35" t="n">
        <v>4</v>
      </c>
      <c r="H22" s="35" t="n">
        <v>5</v>
      </c>
      <c r="I22" s="35" t="n">
        <v>4</v>
      </c>
      <c r="J22" s="35" t="n">
        <v>5</v>
      </c>
      <c r="K22" s="35" t="n">
        <v>5</v>
      </c>
      <c r="L22" s="35" t="n">
        <v>5</v>
      </c>
      <c r="M22" s="50" t="n">
        <f aca="false">IF(COUNT(G22:L22)&lt;6,"",ROUND((G22*Rubric!$D$5+H22*Rubric!$D$6+I22*Rubric!$D$7+J22*Rubric!$D$8+K22*Rubric!$D$9+L22*Rubric!$D$10)/5*100,1))</f>
        <v>91</v>
      </c>
      <c r="N22" s="37" t="str">
        <f aca="false">IF(OR(B22="",D22=""),"",IFERROR(IF(IF(E22="Primary",INDEX(Applications!$I$5:$I$600,MATCH(B22,Applications!$A$5:$A$600,0)),IF(E22="Secondary",INDEX(Applications!$J$5:$J$600,MATCH(B22,Applications!$A$5:$A$600,0)),INDEX(Applications!$K$5:$K$600,MATCH(B22,Applications!$A$5:$A$600,0))))=D22,"OK","Not assigned"),"Check ID"))</f>
        <v>OK</v>
      </c>
      <c r="O22" s="7"/>
    </row>
    <row r="23" customFormat="false" ht="15" hidden="false" customHeight="false" outlineLevel="0" collapsed="false">
      <c r="A23" s="35" t="s">
        <v>1412</v>
      </c>
      <c r="B23" s="35" t="s">
        <v>1317</v>
      </c>
      <c r="C23" s="37" t="str">
        <f aca="false">IF(B23="","",IFERROR(INDEX(Applications!$B$5:$B$600,MATCH(B23,Applications!$A$5:$A$600,0)),"Application ID not found"))</f>
        <v>Glasgow Kitchen Project</v>
      </c>
      <c r="D23" s="35" t="s">
        <v>88</v>
      </c>
      <c r="E23" s="35" t="s">
        <v>83</v>
      </c>
      <c r="F23" s="36" t="n">
        <v>45936</v>
      </c>
      <c r="G23" s="35" t="n">
        <v>5</v>
      </c>
      <c r="H23" s="35" t="n">
        <v>5</v>
      </c>
      <c r="I23" s="35" t="n">
        <v>5</v>
      </c>
      <c r="J23" s="35" t="n">
        <v>4</v>
      </c>
      <c r="K23" s="35" t="n">
        <v>5</v>
      </c>
      <c r="L23" s="35" t="n">
        <v>5</v>
      </c>
      <c r="M23" s="50" t="n">
        <f aca="false">IF(COUNT(G23:L23)&lt;6,"",ROUND((G23*Rubric!$D$5+H23*Rubric!$D$6+I23*Rubric!$D$7+J23*Rubric!$D$8+K23*Rubric!$D$9+L23*Rubric!$D$10)/5*100,1))</f>
        <v>97</v>
      </c>
      <c r="N23" s="37" t="str">
        <f aca="false">IF(OR(B23="",D23=""),"",IFERROR(IF(IF(E23="Primary",INDEX(Applications!$I$5:$I$600,MATCH(B23,Applications!$A$5:$A$600,0)),IF(E23="Secondary",INDEX(Applications!$J$5:$J$600,MATCH(B23,Applications!$A$5:$A$600,0)),INDEX(Applications!$K$5:$K$600,MATCH(B23,Applications!$A$5:$A$600,0))))=D23,"OK","Not assigned"),"Check ID"))</f>
        <v>OK</v>
      </c>
      <c r="O23" s="7"/>
    </row>
    <row r="24" customFormat="false" ht="15" hidden="false" customHeight="false" outlineLevel="0" collapsed="false">
      <c r="A24" s="35" t="s">
        <v>1413</v>
      </c>
      <c r="B24" s="35" t="s">
        <v>1325</v>
      </c>
      <c r="C24" s="37" t="str">
        <f aca="false">IF(B24="","",IFERROR(INDEX(Applications!$B$5:$B$600,MATCH(B24,Applications!$A$5:$A$600,0)),"Application ID not found"))</f>
        <v>Tucson Youth Food Lab</v>
      </c>
      <c r="D24" s="35" t="s">
        <v>88</v>
      </c>
      <c r="E24" s="35" t="s">
        <v>83</v>
      </c>
      <c r="F24" s="36" t="n">
        <v>45936</v>
      </c>
      <c r="G24" s="35" t="n">
        <v>4</v>
      </c>
      <c r="H24" s="35" t="n">
        <v>4</v>
      </c>
      <c r="I24" s="35" t="n">
        <v>4</v>
      </c>
      <c r="J24" s="35" t="n">
        <v>4</v>
      </c>
      <c r="K24" s="35" t="n">
        <v>4</v>
      </c>
      <c r="L24" s="35" t="n">
        <v>3</v>
      </c>
      <c r="M24" s="50" t="n">
        <f aca="false">IF(COUNT(G24:L24)&lt;6,"",ROUND((G24*Rubric!$D$5+H24*Rubric!$D$6+I24*Rubric!$D$7+J24*Rubric!$D$8+K24*Rubric!$D$9+L24*Rubric!$D$10)/5*100,1))</f>
        <v>78</v>
      </c>
      <c r="N24" s="37" t="str">
        <f aca="false">IF(OR(B24="",D24=""),"",IFERROR(IF(IF(E24="Primary",INDEX(Applications!$I$5:$I$600,MATCH(B24,Applications!$A$5:$A$600,0)),IF(E24="Secondary",INDEX(Applications!$J$5:$J$600,MATCH(B24,Applications!$A$5:$A$600,0)),INDEX(Applications!$K$5:$K$600,MATCH(B24,Applications!$A$5:$A$600,0))))=D24,"OK","Not assigned"),"Check ID"))</f>
        <v>OK</v>
      </c>
      <c r="O24" s="7"/>
    </row>
    <row r="25" customFormat="false" ht="15" hidden="false" customHeight="false" outlineLevel="0" collapsed="false">
      <c r="A25" s="35" t="s">
        <v>1414</v>
      </c>
      <c r="B25" s="35" t="s">
        <v>673</v>
      </c>
      <c r="C25" s="37" t="str">
        <f aca="false">IF(B25="","",IFERROR(INDEX(Applications!$B$5:$B$600,MATCH(B25,Applications!$A$5:$A$600,0)),"Application ID not found"))</f>
        <v>Ironwood Community Pantry</v>
      </c>
      <c r="D25" s="35" t="s">
        <v>91</v>
      </c>
      <c r="E25" s="35" t="s">
        <v>83</v>
      </c>
      <c r="F25" s="36" t="n">
        <v>45936</v>
      </c>
      <c r="G25" s="35" t="n">
        <v>4</v>
      </c>
      <c r="H25" s="35" t="n">
        <v>4</v>
      </c>
      <c r="I25" s="35" t="n">
        <v>4</v>
      </c>
      <c r="J25" s="35" t="n">
        <v>4</v>
      </c>
      <c r="K25" s="35" t="n">
        <v>4</v>
      </c>
      <c r="L25" s="35" t="n">
        <v>4</v>
      </c>
      <c r="M25" s="50" t="n">
        <f aca="false">IF(COUNT(G25:L25)&lt;6,"",ROUND((G25*Rubric!$D$5+H25*Rubric!$D$6+I25*Rubric!$D$7+J25*Rubric!$D$8+K25*Rubric!$D$9+L25*Rubric!$D$10)/5*100,1))</f>
        <v>80</v>
      </c>
      <c r="N25" s="37" t="str">
        <f aca="false">IF(OR(B25="",D25=""),"",IFERROR(IF(IF(E25="Primary",INDEX(Applications!$I$5:$I$600,MATCH(B25,Applications!$A$5:$A$600,0)),IF(E25="Secondary",INDEX(Applications!$J$5:$J$600,MATCH(B25,Applications!$A$5:$A$600,0)),INDEX(Applications!$K$5:$K$600,MATCH(B25,Applications!$A$5:$A$600,0))))=D25,"OK","Not assigned"),"Check ID"))</f>
        <v>OK</v>
      </c>
      <c r="O25" s="7"/>
    </row>
    <row r="26" customFormat="false" ht="15" hidden="false" customHeight="false" outlineLevel="0" collapsed="false">
      <c r="A26" s="35" t="s">
        <v>1415</v>
      </c>
      <c r="B26" s="35" t="s">
        <v>755</v>
      </c>
      <c r="C26" s="37" t="str">
        <f aca="false">IF(B26="","",IFERROR(INDEX(Applications!$B$5:$B$600,MATCH(B26,Applications!$A$5:$A$600,0)),"Application ID not found"))</f>
        <v>Madison Community Kitchen</v>
      </c>
      <c r="D26" s="35" t="s">
        <v>91</v>
      </c>
      <c r="E26" s="35" t="s">
        <v>80</v>
      </c>
      <c r="F26" s="36" t="n">
        <v>45936</v>
      </c>
      <c r="G26" s="35" t="n">
        <v>3</v>
      </c>
      <c r="H26" s="35" t="n">
        <v>2</v>
      </c>
      <c r="I26" s="35" t="n">
        <v>3</v>
      </c>
      <c r="J26" s="35" t="n">
        <v>3</v>
      </c>
      <c r="K26" s="35" t="n">
        <v>2</v>
      </c>
      <c r="L26" s="35" t="n">
        <v>3</v>
      </c>
      <c r="M26" s="50" t="n">
        <f aca="false">IF(COUNT(G26:L26)&lt;6,"",ROUND((G26*Rubric!$D$5+H26*Rubric!$D$6+I26*Rubric!$D$7+J26*Rubric!$D$8+K26*Rubric!$D$9+L26*Rubric!$D$10)/5*100,1))</f>
        <v>54</v>
      </c>
      <c r="N26" s="37" t="str">
        <f aca="false">IF(OR(B26="",D26=""),"",IFERROR(IF(IF(E26="Primary",INDEX(Applications!$I$5:$I$600,MATCH(B26,Applications!$A$5:$A$600,0)),IF(E26="Secondary",INDEX(Applications!$J$5:$J$600,MATCH(B26,Applications!$A$5:$A$600,0)),INDEX(Applications!$K$5:$K$600,MATCH(B26,Applications!$A$5:$A$600,0))))=D26,"OK","Not assigned"),"Check ID"))</f>
        <v>OK</v>
      </c>
      <c r="O26" s="7" t="s">
        <v>1416</v>
      </c>
    </row>
    <row r="27" customFormat="false" ht="15" hidden="false" customHeight="false" outlineLevel="0" collapsed="false">
      <c r="A27" s="35" t="s">
        <v>1417</v>
      </c>
      <c r="B27" s="35" t="s">
        <v>1345</v>
      </c>
      <c r="C27" s="37" t="str">
        <f aca="false">IF(B27="","",IFERROR(INDEX(Applications!$B$5:$B$600,MATCH(B27,Applications!$A$5:$A$600,0)),"Application ID not found"))</f>
        <v>Albany Pantry Network</v>
      </c>
      <c r="D27" s="35" t="s">
        <v>91</v>
      </c>
      <c r="E27" s="35" t="s">
        <v>83</v>
      </c>
      <c r="F27" s="36" t="n">
        <v>45936</v>
      </c>
      <c r="G27" s="35" t="n">
        <v>3</v>
      </c>
      <c r="H27" s="35" t="n">
        <v>4</v>
      </c>
      <c r="I27" s="35" t="n">
        <v>3</v>
      </c>
      <c r="J27" s="35" t="n">
        <v>3</v>
      </c>
      <c r="K27" s="35" t="n">
        <v>4</v>
      </c>
      <c r="L27" s="35" t="n">
        <v>4</v>
      </c>
      <c r="M27" s="50" t="n">
        <f aca="false">IF(COUNT(G27:L27)&lt;6,"",ROUND((G27*Rubric!$D$5+H27*Rubric!$D$6+I27*Rubric!$D$7+J27*Rubric!$D$8+K27*Rubric!$D$9+L27*Rubric!$D$10)/5*100,1))</f>
        <v>68</v>
      </c>
      <c r="N27" s="37" t="str">
        <f aca="false">IF(OR(B27="",D27=""),"",IFERROR(IF(IF(E27="Primary",INDEX(Applications!$I$5:$I$600,MATCH(B27,Applications!$A$5:$A$600,0)),IF(E27="Secondary",INDEX(Applications!$J$5:$J$600,MATCH(B27,Applications!$A$5:$A$600,0)),INDEX(Applications!$K$5:$K$600,MATCH(B27,Applications!$A$5:$A$600,0))))=D27,"OK","Not assigned"),"Check ID"))</f>
        <v>OK</v>
      </c>
      <c r="O27" s="7" t="s">
        <v>1418</v>
      </c>
    </row>
    <row r="28" customFormat="false" ht="15" hidden="false" customHeight="false" outlineLevel="0" collapsed="false">
      <c r="A28" s="35" t="s">
        <v>1419</v>
      </c>
      <c r="B28" s="35" t="s">
        <v>1303</v>
      </c>
      <c r="C28" s="37" t="str">
        <f aca="false">IF(B28="","",IFERROR(INDEX(Applications!$B$5:$B$600,MATCH(B28,Applications!$A$5:$A$600,0)),"Application ID not found"))</f>
        <v>Cedar Farm Collective</v>
      </c>
      <c r="D28" s="35" t="s">
        <v>91</v>
      </c>
      <c r="E28" s="35" t="s">
        <v>80</v>
      </c>
      <c r="F28" s="36" t="n">
        <v>45936</v>
      </c>
      <c r="G28" s="35" t="n">
        <v>2</v>
      </c>
      <c r="H28" s="35" t="n">
        <v>1</v>
      </c>
      <c r="I28" s="35" t="n">
        <v>1</v>
      </c>
      <c r="J28" s="35" t="n">
        <v>1</v>
      </c>
      <c r="K28" s="35" t="n">
        <v>1</v>
      </c>
      <c r="L28" s="35" t="n">
        <v>1</v>
      </c>
      <c r="M28" s="50" t="n">
        <f aca="false">IF(COUNT(G28:L28)&lt;6,"",ROUND((G28*Rubric!$D$5+H28*Rubric!$D$6+I28*Rubric!$D$7+J28*Rubric!$D$8+K28*Rubric!$D$9+L28*Rubric!$D$10)/5*100,1))</f>
        <v>25</v>
      </c>
      <c r="N28" s="37" t="str">
        <f aca="false">IF(OR(B28="",D28=""),"",IFERROR(IF(IF(E28="Primary",INDEX(Applications!$I$5:$I$600,MATCH(B28,Applications!$A$5:$A$600,0)),IF(E28="Secondary",INDEX(Applications!$J$5:$J$600,MATCH(B28,Applications!$A$5:$A$600,0)),INDEX(Applications!$K$5:$K$600,MATCH(B28,Applications!$A$5:$A$600,0))))=D28,"OK","Not assigned"),"Check ID"))</f>
        <v>OK</v>
      </c>
      <c r="O28" s="7"/>
    </row>
    <row r="29" customFormat="false" ht="15" hidden="false" customHeight="false" outlineLevel="0" collapsed="false">
      <c r="A29" s="35" t="s">
        <v>1420</v>
      </c>
      <c r="B29" s="35" t="s">
        <v>773</v>
      </c>
      <c r="C29" s="37" t="str">
        <f aca="false">IF(B29="","",IFERROR(INDEX(Applications!$B$5:$B$600,MATCH(B29,Applications!$A$5:$A$600,0)),"Application ID not found"))</f>
        <v>Juniper Culinary Works</v>
      </c>
      <c r="D29" s="35" t="s">
        <v>91</v>
      </c>
      <c r="E29" s="35" t="s">
        <v>83</v>
      </c>
      <c r="F29" s="36" t="n">
        <v>45936</v>
      </c>
      <c r="G29" s="35" t="n">
        <v>5</v>
      </c>
      <c r="H29" s="35" t="n">
        <v>5</v>
      </c>
      <c r="I29" s="35" t="n">
        <v>4</v>
      </c>
      <c r="J29" s="35" t="n">
        <v>4</v>
      </c>
      <c r="K29" s="35" t="n">
        <v>4</v>
      </c>
      <c r="L29" s="35" t="n">
        <v>5</v>
      </c>
      <c r="M29" s="50" t="n">
        <f aca="false">IF(COUNT(G29:L29)&lt;6,"",ROUND((G29*Rubric!$D$5+H29*Rubric!$D$6+I29*Rubric!$D$7+J29*Rubric!$D$8+K29*Rubric!$D$9+L29*Rubric!$D$10)/5*100,1))</f>
        <v>91</v>
      </c>
      <c r="N29" s="37" t="str">
        <f aca="false">IF(OR(B29="",D29=""),"",IFERROR(IF(IF(E29="Primary",INDEX(Applications!$I$5:$I$600,MATCH(B29,Applications!$A$5:$A$600,0)),IF(E29="Secondary",INDEX(Applications!$J$5:$J$600,MATCH(B29,Applications!$A$5:$A$600,0)),INDEX(Applications!$K$5:$K$600,MATCH(B29,Applications!$A$5:$A$600,0))))=D29,"OK","Not assigned"),"Check ID"))</f>
        <v>OK</v>
      </c>
      <c r="O29" s="7"/>
    </row>
    <row r="30" customFormat="false" ht="15" hidden="false" customHeight="false" outlineLevel="0" collapsed="false">
      <c r="A30" s="35" t="s">
        <v>1421</v>
      </c>
      <c r="B30" s="35" t="s">
        <v>1219</v>
      </c>
      <c r="C30" s="37" t="str">
        <f aca="false">IF(B30="","",IFERROR(INDEX(Applications!$B$5:$B$600,MATCH(B30,Applications!$A$5:$A$600,0)),"Application ID not found"))</f>
        <v>Jaipur Mobile Market</v>
      </c>
      <c r="D30" s="35" t="s">
        <v>91</v>
      </c>
      <c r="E30" s="35" t="s">
        <v>80</v>
      </c>
      <c r="F30" s="36" t="n">
        <v>45936</v>
      </c>
      <c r="G30" s="35" t="n">
        <v>3</v>
      </c>
      <c r="H30" s="35" t="n">
        <v>2</v>
      </c>
      <c r="I30" s="35" t="n">
        <v>3</v>
      </c>
      <c r="J30" s="35" t="n">
        <v>3</v>
      </c>
      <c r="K30" s="35" t="n">
        <v>2</v>
      </c>
      <c r="L30" s="35" t="n">
        <v>2</v>
      </c>
      <c r="M30" s="50" t="n">
        <f aca="false">IF(COUNT(G30:L30)&lt;6,"",ROUND((G30*Rubric!$D$5+H30*Rubric!$D$6+I30*Rubric!$D$7+J30*Rubric!$D$8+K30*Rubric!$D$9+L30*Rubric!$D$10)/5*100,1))</f>
        <v>52</v>
      </c>
      <c r="N30" s="37" t="str">
        <f aca="false">IF(OR(B30="",D30=""),"",IFERROR(IF(IF(E30="Primary",INDEX(Applications!$I$5:$I$600,MATCH(B30,Applications!$A$5:$A$600,0)),IF(E30="Secondary",INDEX(Applications!$J$5:$J$600,MATCH(B30,Applications!$A$5:$A$600,0)),INDEX(Applications!$K$5:$K$600,MATCH(B30,Applications!$A$5:$A$600,0))))=D30,"OK","Not assigned"),"Check ID"))</f>
        <v>OK</v>
      </c>
      <c r="O30" s="7"/>
    </row>
    <row r="31" customFormat="false" ht="15" hidden="false" customHeight="false" outlineLevel="0" collapsed="false">
      <c r="A31" s="35" t="s">
        <v>1422</v>
      </c>
      <c r="B31" s="35" t="s">
        <v>633</v>
      </c>
      <c r="C31" s="37" t="str">
        <f aca="false">IF(B31="","",IFERROR(INDEX(Applications!$B$5:$B$600,MATCH(B31,Applications!$A$5:$A$600,0)),"Application ID not found"))</f>
        <v>Winnipeg Market Gardens</v>
      </c>
      <c r="D31" s="35" t="s">
        <v>91</v>
      </c>
      <c r="E31" s="35" t="s">
        <v>83</v>
      </c>
      <c r="F31" s="36" t="n">
        <v>45936</v>
      </c>
      <c r="G31" s="35" t="n">
        <v>3</v>
      </c>
      <c r="H31" s="35" t="n">
        <v>2</v>
      </c>
      <c r="I31" s="35" t="n">
        <v>3</v>
      </c>
      <c r="J31" s="35" t="n">
        <v>2</v>
      </c>
      <c r="K31" s="35" t="n">
        <v>3</v>
      </c>
      <c r="L31" s="35" t="n">
        <v>4</v>
      </c>
      <c r="M31" s="50" t="n">
        <f aca="false">IF(COUNT(G31:L31)&lt;6,"",ROUND((G31*Rubric!$D$5+H31*Rubric!$D$6+I31*Rubric!$D$7+J31*Rubric!$D$8+K31*Rubric!$D$9+L31*Rubric!$D$10)/5*100,1))</f>
        <v>55</v>
      </c>
      <c r="N31" s="37" t="str">
        <f aca="false">IF(OR(B31="",D31=""),"",IFERROR(IF(IF(E31="Primary",INDEX(Applications!$I$5:$I$600,MATCH(B31,Applications!$A$5:$A$600,0)),IF(E31="Secondary",INDEX(Applications!$J$5:$J$600,MATCH(B31,Applications!$A$5:$A$600,0)),INDEX(Applications!$K$5:$K$600,MATCH(B31,Applications!$A$5:$A$600,0))))=D31,"OK","Not assigned"),"Check ID"))</f>
        <v>OK</v>
      </c>
      <c r="O31" s="7"/>
    </row>
    <row r="32" customFormat="false" ht="15" hidden="false" customHeight="false" outlineLevel="0" collapsed="false">
      <c r="A32" s="35" t="s">
        <v>1423</v>
      </c>
      <c r="B32" s="35" t="s">
        <v>1349</v>
      </c>
      <c r="C32" s="37" t="str">
        <f aca="false">IF(B32="","",IFERROR(INDEX(Applications!$B$5:$B$600,MATCH(B32,Applications!$A$5:$A$600,0)),"Application ID not found"))</f>
        <v>Harbor Pantry Network</v>
      </c>
      <c r="D32" s="35" t="s">
        <v>85</v>
      </c>
      <c r="E32" s="35" t="s">
        <v>80</v>
      </c>
      <c r="F32" s="36" t="n">
        <v>45936</v>
      </c>
      <c r="G32" s="35" t="n">
        <v>3</v>
      </c>
      <c r="H32" s="35" t="n">
        <v>3</v>
      </c>
      <c r="I32" s="35" t="n">
        <v>3</v>
      </c>
      <c r="J32" s="35" t="n">
        <v>4</v>
      </c>
      <c r="K32" s="35" t="n">
        <v>4</v>
      </c>
      <c r="L32" s="35" t="n">
        <v>4</v>
      </c>
      <c r="M32" s="50" t="n">
        <f aca="false">IF(COUNT(G32:L32)&lt;6,"",ROUND((G32*Rubric!$D$5+H32*Rubric!$D$6+I32*Rubric!$D$7+J32*Rubric!$D$8+K32*Rubric!$D$9+L32*Rubric!$D$10)/5*100,1))</f>
        <v>67</v>
      </c>
      <c r="N32" s="37" t="str">
        <f aca="false">IF(OR(B32="",D32=""),"",IFERROR(IF(IF(E32="Primary",INDEX(Applications!$I$5:$I$600,MATCH(B32,Applications!$A$5:$A$600,0)),IF(E32="Secondary",INDEX(Applications!$J$5:$J$600,MATCH(B32,Applications!$A$5:$A$600,0)),INDEX(Applications!$K$5:$K$600,MATCH(B32,Applications!$A$5:$A$600,0))))=D32,"OK","Not assigned"),"Check ID"))</f>
        <v>OK</v>
      </c>
      <c r="O32" s="7"/>
    </row>
    <row r="33" customFormat="false" ht="15" hidden="false" customHeight="false" outlineLevel="0" collapsed="false">
      <c r="A33" s="35" t="s">
        <v>1424</v>
      </c>
      <c r="B33" s="35" t="s">
        <v>1121</v>
      </c>
      <c r="C33" s="37" t="str">
        <f aca="false">IF(B33="","",IFERROR(INDEX(Applications!$B$5:$B$600,MATCH(B33,Applications!$A$5:$A$600,0)),"Application ID not found"))</f>
        <v>Memphis Schools Nutrition Fund</v>
      </c>
      <c r="D33" s="35" t="s">
        <v>85</v>
      </c>
      <c r="E33" s="35" t="s">
        <v>83</v>
      </c>
      <c r="F33" s="36" t="n">
        <v>45936</v>
      </c>
      <c r="G33" s="35" t="n">
        <v>3</v>
      </c>
      <c r="H33" s="35" t="n">
        <v>4</v>
      </c>
      <c r="I33" s="35" t="n">
        <v>4</v>
      </c>
      <c r="J33" s="35" t="n">
        <v>4</v>
      </c>
      <c r="K33" s="35" t="n">
        <v>4</v>
      </c>
      <c r="L33" s="35" t="n">
        <v>3</v>
      </c>
      <c r="M33" s="50" t="n">
        <f aca="false">IF(COUNT(G33:L33)&lt;6,"",ROUND((G33*Rubric!$D$5+H33*Rubric!$D$6+I33*Rubric!$D$7+J33*Rubric!$D$8+K33*Rubric!$D$9+L33*Rubric!$D$10)/5*100,1))</f>
        <v>73</v>
      </c>
      <c r="N33" s="37" t="str">
        <f aca="false">IF(OR(B33="",D33=""),"",IFERROR(IF(IF(E33="Primary",INDEX(Applications!$I$5:$I$600,MATCH(B33,Applications!$A$5:$A$600,0)),IF(E33="Secondary",INDEX(Applications!$J$5:$J$600,MATCH(B33,Applications!$A$5:$A$600,0)),INDEX(Applications!$K$5:$K$600,MATCH(B33,Applications!$A$5:$A$600,0))))=D33,"OK","Not assigned"),"Check ID"))</f>
        <v>OK</v>
      </c>
      <c r="O33" s="7"/>
    </row>
    <row r="34" customFormat="false" ht="15" hidden="false" customHeight="false" outlineLevel="0" collapsed="false">
      <c r="A34" s="35" t="s">
        <v>1425</v>
      </c>
      <c r="B34" s="35" t="s">
        <v>418</v>
      </c>
      <c r="C34" s="37" t="str">
        <f aca="false">IF(B34="","",IFERROR(INDEX(Applications!$B$5:$B$600,MATCH(B34,Applications!$A$5:$A$600,0)),"Application ID not found"))</f>
        <v>Fairmount Bakery Collective</v>
      </c>
      <c r="D34" s="35" t="s">
        <v>85</v>
      </c>
      <c r="E34" s="35" t="s">
        <v>80</v>
      </c>
      <c r="F34" s="36" t="n">
        <v>45936</v>
      </c>
      <c r="G34" s="35" t="n">
        <v>3</v>
      </c>
      <c r="H34" s="35" t="n">
        <v>2</v>
      </c>
      <c r="I34" s="35" t="n">
        <v>2</v>
      </c>
      <c r="J34" s="35" t="n">
        <v>2</v>
      </c>
      <c r="K34" s="35" t="n">
        <v>3</v>
      </c>
      <c r="L34" s="35" t="n">
        <v>3</v>
      </c>
      <c r="M34" s="50" t="n">
        <f aca="false">IF(COUNT(G34:L34)&lt;6,"",ROUND((G34*Rubric!$D$5+H34*Rubric!$D$6+I34*Rubric!$D$7+J34*Rubric!$D$8+K34*Rubric!$D$9+L34*Rubric!$D$10)/5*100,1))</f>
        <v>49</v>
      </c>
      <c r="N34" s="37" t="str">
        <f aca="false">IF(OR(B34="",D34=""),"",IFERROR(IF(IF(E34="Primary",INDEX(Applications!$I$5:$I$600,MATCH(B34,Applications!$A$5:$A$600,0)),IF(E34="Secondary",INDEX(Applications!$J$5:$J$600,MATCH(B34,Applications!$A$5:$A$600,0)),INDEX(Applications!$K$5:$K$600,MATCH(B34,Applications!$A$5:$A$600,0))))=D34,"OK","Not assigned"),"Check ID"))</f>
        <v>OK</v>
      </c>
      <c r="O34" s="7" t="s">
        <v>1426</v>
      </c>
    </row>
    <row r="35" customFormat="false" ht="15" hidden="false" customHeight="false" outlineLevel="0" collapsed="false">
      <c r="A35" s="35" t="s">
        <v>1427</v>
      </c>
      <c r="B35" s="35" t="s">
        <v>526</v>
      </c>
      <c r="C35" s="37" t="str">
        <f aca="false">IF(B35="","",IFERROR(INDEX(Applications!$B$5:$B$600,MATCH(B35,Applications!$A$5:$A$600,0)),"Application ID not found"))</f>
        <v>Wichita Market Gardens</v>
      </c>
      <c r="D35" s="35" t="s">
        <v>85</v>
      </c>
      <c r="E35" s="35" t="s">
        <v>80</v>
      </c>
      <c r="F35" s="36" t="n">
        <v>45936</v>
      </c>
      <c r="G35" s="35" t="n">
        <v>3</v>
      </c>
      <c r="H35" s="35" t="n">
        <v>3</v>
      </c>
      <c r="I35" s="35" t="n">
        <v>3</v>
      </c>
      <c r="J35" s="35" t="n">
        <v>3</v>
      </c>
      <c r="K35" s="35" t="n">
        <v>3</v>
      </c>
      <c r="L35" s="35" t="n">
        <v>3</v>
      </c>
      <c r="M35" s="50" t="n">
        <f aca="false">IF(COUNT(G35:L35)&lt;6,"",ROUND((G35*Rubric!$D$5+H35*Rubric!$D$6+I35*Rubric!$D$7+J35*Rubric!$D$8+K35*Rubric!$D$9+L35*Rubric!$D$10)/5*100,1))</f>
        <v>60</v>
      </c>
      <c r="N35" s="37" t="str">
        <f aca="false">IF(OR(B35="",D35=""),"",IFERROR(IF(IF(E35="Primary",INDEX(Applications!$I$5:$I$600,MATCH(B35,Applications!$A$5:$A$600,0)),IF(E35="Secondary",INDEX(Applications!$J$5:$J$600,MATCH(B35,Applications!$A$5:$A$600,0)),INDEX(Applications!$K$5:$K$600,MATCH(B35,Applications!$A$5:$A$600,0))))=D35,"OK","Not assigned"),"Check ID"))</f>
        <v>OK</v>
      </c>
      <c r="O35" s="7" t="s">
        <v>1428</v>
      </c>
    </row>
    <row r="36" customFormat="false" ht="15" hidden="false" customHeight="false" outlineLevel="0" collapsed="false">
      <c r="A36" s="35" t="s">
        <v>1429</v>
      </c>
      <c r="B36" s="35" t="s">
        <v>1205</v>
      </c>
      <c r="C36" s="37" t="str">
        <f aca="false">IF(B36="","",IFERROR(INDEX(Applications!$B$5:$B$600,MATCH(B36,Applications!$A$5:$A$600,0)),"Application ID not found"))</f>
        <v>Winnipeg Bakery Collective</v>
      </c>
      <c r="D36" s="35" t="s">
        <v>85</v>
      </c>
      <c r="E36" s="35" t="s">
        <v>83</v>
      </c>
      <c r="F36" s="36" t="n">
        <v>45936</v>
      </c>
      <c r="G36" s="35" t="n">
        <v>4</v>
      </c>
      <c r="H36" s="35" t="n">
        <v>4</v>
      </c>
      <c r="I36" s="35" t="n">
        <v>4</v>
      </c>
      <c r="J36" s="35" t="n">
        <v>5</v>
      </c>
      <c r="K36" s="35" t="n">
        <v>4</v>
      </c>
      <c r="L36" s="35" t="n">
        <v>5</v>
      </c>
      <c r="M36" s="50" t="n">
        <f aca="false">IF(COUNT(G36:L36)&lt;6,"",ROUND((G36*Rubric!$D$5+H36*Rubric!$D$6+I36*Rubric!$D$7+J36*Rubric!$D$8+K36*Rubric!$D$9+L36*Rubric!$D$10)/5*100,1))</f>
        <v>85</v>
      </c>
      <c r="N36" s="37" t="str">
        <f aca="false">IF(OR(B36="",D36=""),"",IFERROR(IF(IF(E36="Primary",INDEX(Applications!$I$5:$I$600,MATCH(B36,Applications!$A$5:$A$600,0)),IF(E36="Secondary",INDEX(Applications!$J$5:$J$600,MATCH(B36,Applications!$A$5:$A$600,0)),INDEX(Applications!$K$5:$K$600,MATCH(B36,Applications!$A$5:$A$600,0))))=D36,"OK","Not assigned"),"Check ID"))</f>
        <v>OK</v>
      </c>
      <c r="O36" s="7"/>
    </row>
    <row r="37" customFormat="false" ht="15" hidden="false" customHeight="false" outlineLevel="0" collapsed="false">
      <c r="A37" s="35" t="s">
        <v>1430</v>
      </c>
      <c r="B37" s="35" t="s">
        <v>1145</v>
      </c>
      <c r="C37" s="37" t="str">
        <f aca="false">IF(B37="","",IFERROR(INDEX(Applications!$B$5:$B$600,MATCH(B37,Applications!$A$5:$A$600,0)),"Application ID not found"))</f>
        <v>Louisville Food Shelf</v>
      </c>
      <c r="D37" s="35" t="s">
        <v>85</v>
      </c>
      <c r="E37" s="35" t="s">
        <v>83</v>
      </c>
      <c r="F37" s="36" t="n">
        <v>45936</v>
      </c>
      <c r="G37" s="35" t="n">
        <v>3</v>
      </c>
      <c r="H37" s="35" t="n">
        <v>4</v>
      </c>
      <c r="I37" s="35" t="n">
        <v>3</v>
      </c>
      <c r="J37" s="35" t="n">
        <v>4</v>
      </c>
      <c r="K37" s="35" t="n">
        <v>4</v>
      </c>
      <c r="L37" s="35" t="n">
        <v>4</v>
      </c>
      <c r="M37" s="50" t="n">
        <f aca="false">IF(COUNT(G37:L37)&lt;6,"",ROUND((G37*Rubric!$D$5+H37*Rubric!$D$6+I37*Rubric!$D$7+J37*Rubric!$D$8+K37*Rubric!$D$9+L37*Rubric!$D$10)/5*100,1))</f>
        <v>71</v>
      </c>
      <c r="N37" s="37" t="str">
        <f aca="false">IF(OR(B37="",D37=""),"",IFERROR(IF(IF(E37="Primary",INDEX(Applications!$I$5:$I$600,MATCH(B37,Applications!$A$5:$A$600,0)),IF(E37="Secondary",INDEX(Applications!$J$5:$J$600,MATCH(B37,Applications!$A$5:$A$600,0)),INDEX(Applications!$K$5:$K$600,MATCH(B37,Applications!$A$5:$A$600,0))))=D37,"OK","Not assigned"),"Check ID"))</f>
        <v>OK</v>
      </c>
      <c r="O37" s="7"/>
    </row>
    <row r="38" customFormat="false" ht="15" hidden="false" customHeight="false" outlineLevel="0" collapsed="false">
      <c r="A38" s="35" t="s">
        <v>1431</v>
      </c>
      <c r="B38" s="35" t="s">
        <v>458</v>
      </c>
      <c r="C38" s="37" t="str">
        <f aca="false">IF(B38="","",IFERROR(INDEX(Applications!$B$5:$B$600,MATCH(B38,Applications!$A$5:$A$600,0)),"Application ID not found"))</f>
        <v>Regina Kitchen Project</v>
      </c>
      <c r="D38" s="35" t="s">
        <v>85</v>
      </c>
      <c r="E38" s="35" t="s">
        <v>83</v>
      </c>
      <c r="F38" s="36" t="n">
        <v>45936</v>
      </c>
      <c r="G38" s="35" t="n">
        <v>2</v>
      </c>
      <c r="H38" s="35" t="n">
        <v>4</v>
      </c>
      <c r="I38" s="35" t="n">
        <v>4</v>
      </c>
      <c r="J38" s="35" t="n">
        <v>3</v>
      </c>
      <c r="K38" s="35" t="n">
        <v>3</v>
      </c>
      <c r="L38" s="35" t="n">
        <v>3</v>
      </c>
      <c r="M38" s="50" t="n">
        <f aca="false">IF(COUNT(G38:L38)&lt;6,"",ROUND((G38*Rubric!$D$5+H38*Rubric!$D$6+I38*Rubric!$D$7+J38*Rubric!$D$8+K38*Rubric!$D$9+L38*Rubric!$D$10)/5*100,1))</f>
        <v>63</v>
      </c>
      <c r="N38" s="37" t="str">
        <f aca="false">IF(OR(B38="",D38=""),"",IFERROR(IF(IF(E38="Primary",INDEX(Applications!$I$5:$I$600,MATCH(B38,Applications!$A$5:$A$600,0)),IF(E38="Secondary",INDEX(Applications!$J$5:$J$600,MATCH(B38,Applications!$A$5:$A$600,0)),INDEX(Applications!$K$5:$K$600,MATCH(B38,Applications!$A$5:$A$600,0))))=D38,"OK","Not assigned"),"Check ID"))</f>
        <v>OK</v>
      </c>
      <c r="O38" s="7"/>
    </row>
    <row r="39" customFormat="false" ht="15" hidden="false" customHeight="false" outlineLevel="0" collapsed="false">
      <c r="A39" s="35" t="s">
        <v>1432</v>
      </c>
      <c r="B39" s="35" t="s">
        <v>829</v>
      </c>
      <c r="C39" s="37" t="str">
        <f aca="false">IF(B39="","",IFERROR(INDEX(Applications!$B$5:$B$600,MATCH(B39,Applications!$A$5:$A$600,0)),"Application ID not found"))</f>
        <v>Good Neighbor Farm School</v>
      </c>
      <c r="D39" s="35" t="s">
        <v>85</v>
      </c>
      <c r="E39" s="35" t="s">
        <v>83</v>
      </c>
      <c r="F39" s="36" t="n">
        <v>45936</v>
      </c>
      <c r="G39" s="35" t="n">
        <v>5</v>
      </c>
      <c r="H39" s="35" t="n">
        <v>5</v>
      </c>
      <c r="I39" s="35" t="n">
        <v>5</v>
      </c>
      <c r="J39" s="35" t="n">
        <v>5</v>
      </c>
      <c r="K39" s="35" t="n">
        <v>4</v>
      </c>
      <c r="L39" s="35" t="n">
        <v>4</v>
      </c>
      <c r="M39" s="50" t="n">
        <f aca="false">IF(COUNT(G39:L39)&lt;6,"",ROUND((G39*Rubric!$D$5+H39*Rubric!$D$6+I39*Rubric!$D$7+J39*Rubric!$D$8+K39*Rubric!$D$9+L39*Rubric!$D$10)/5*100,1))</f>
        <v>96</v>
      </c>
      <c r="N39" s="37" t="str">
        <f aca="false">IF(OR(B39="",D39=""),"",IFERROR(IF(IF(E39="Primary",INDEX(Applications!$I$5:$I$600,MATCH(B39,Applications!$A$5:$A$600,0)),IF(E39="Secondary",INDEX(Applications!$J$5:$J$600,MATCH(B39,Applications!$A$5:$A$600,0)),INDEX(Applications!$K$5:$K$600,MATCH(B39,Applications!$A$5:$A$600,0))))=D39,"OK","Not assigned"),"Check ID"))</f>
        <v>OK</v>
      </c>
      <c r="O39" s="7" t="s">
        <v>1402</v>
      </c>
    </row>
    <row r="40" customFormat="false" ht="15" hidden="false" customHeight="false" outlineLevel="0" collapsed="false">
      <c r="A40" s="35" t="s">
        <v>1433</v>
      </c>
      <c r="B40" s="35" t="s">
        <v>967</v>
      </c>
      <c r="C40" s="37" t="str">
        <f aca="false">IF(B40="","",IFERROR(INDEX(Applications!$B$5:$B$600,MATCH(B40,Applications!$A$5:$A$600,0)),"Application ID not found"))</f>
        <v>Fairmount Meals Project</v>
      </c>
      <c r="D40" s="35" t="s">
        <v>85</v>
      </c>
      <c r="E40" s="35" t="s">
        <v>83</v>
      </c>
      <c r="F40" s="36" t="n">
        <v>45936</v>
      </c>
      <c r="G40" s="35" t="n">
        <v>3</v>
      </c>
      <c r="H40" s="35" t="n">
        <v>4</v>
      </c>
      <c r="I40" s="35" t="n">
        <v>3</v>
      </c>
      <c r="J40" s="35" t="n">
        <v>3</v>
      </c>
      <c r="K40" s="35" t="n">
        <v>3</v>
      </c>
      <c r="L40" s="35" t="n">
        <v>3</v>
      </c>
      <c r="M40" s="50" t="n">
        <f aca="false">IF(COUNT(G40:L40)&lt;6,"",ROUND((G40*Rubric!$D$5+H40*Rubric!$D$6+I40*Rubric!$D$7+J40*Rubric!$D$8+K40*Rubric!$D$9+L40*Rubric!$D$10)/5*100,1))</f>
        <v>64</v>
      </c>
      <c r="N40" s="37" t="str">
        <f aca="false">IF(OR(B40="",D40=""),"",IFERROR(IF(IF(E40="Primary",INDEX(Applications!$I$5:$I$600,MATCH(B40,Applications!$A$5:$A$600,0)),IF(E40="Secondary",INDEX(Applications!$J$5:$J$600,MATCH(B40,Applications!$A$5:$A$600,0)),INDEX(Applications!$K$5:$K$600,MATCH(B40,Applications!$A$5:$A$600,0))))=D40,"OK","Not assigned"),"Check ID"))</f>
        <v>OK</v>
      </c>
      <c r="O40" s="7" t="s">
        <v>1428</v>
      </c>
    </row>
    <row r="41" customFormat="false" ht="15" hidden="false" customHeight="false" outlineLevel="0" collapsed="false">
      <c r="A41" s="35" t="s">
        <v>1434</v>
      </c>
      <c r="B41" s="35" t="s">
        <v>819</v>
      </c>
      <c r="C41" s="37" t="str">
        <f aca="false">IF(B41="","",IFERROR(INDEX(Applications!$B$5:$B$600,MATCH(B41,Applications!$A$5:$A$600,0)),"Application ID not found"))</f>
        <v>Columbus Pantry Network</v>
      </c>
      <c r="D41" s="35" t="s">
        <v>78</v>
      </c>
      <c r="E41" s="35" t="s">
        <v>83</v>
      </c>
      <c r="F41" s="36" t="n">
        <v>45937</v>
      </c>
      <c r="G41" s="35" t="n">
        <v>4</v>
      </c>
      <c r="H41" s="35" t="n">
        <v>4</v>
      </c>
      <c r="I41" s="35" t="n">
        <v>5</v>
      </c>
      <c r="J41" s="35" t="n">
        <v>5</v>
      </c>
      <c r="K41" s="35" t="n">
        <v>4</v>
      </c>
      <c r="L41" s="35" t="n">
        <v>5</v>
      </c>
      <c r="M41" s="50" t="n">
        <f aca="false">IF(COUNT(G41:L41)&lt;6,"",ROUND((G41*Rubric!$D$5+H41*Rubric!$D$6+I41*Rubric!$D$7+J41*Rubric!$D$8+K41*Rubric!$D$9+L41*Rubric!$D$10)/5*100,1))</f>
        <v>89</v>
      </c>
      <c r="N41" s="37" t="str">
        <f aca="false">IF(OR(B41="",D41=""),"",IFERROR(IF(IF(E41="Primary",INDEX(Applications!$I$5:$I$600,MATCH(B41,Applications!$A$5:$A$600,0)),IF(E41="Secondary",INDEX(Applications!$J$5:$J$600,MATCH(B41,Applications!$A$5:$A$600,0)),INDEX(Applications!$K$5:$K$600,MATCH(B41,Applications!$A$5:$A$600,0))))=D41,"OK","Not assigned"),"Check ID"))</f>
        <v>OK</v>
      </c>
      <c r="O41" s="7"/>
    </row>
    <row r="42" customFormat="false" ht="15" hidden="false" customHeight="false" outlineLevel="0" collapsed="false">
      <c r="A42" s="35" t="s">
        <v>1435</v>
      </c>
      <c r="B42" s="35" t="s">
        <v>172</v>
      </c>
      <c r="C42" s="37" t="str">
        <f aca="false">IF(B42="","",IFERROR(INDEX(Applications!$B$5:$B$600,MATCH(B42,Applications!$A$5:$A$600,0)),"Application ID not found"))</f>
        <v>Boise Farm Collective</v>
      </c>
      <c r="D42" s="35" t="s">
        <v>78</v>
      </c>
      <c r="E42" s="35" t="s">
        <v>83</v>
      </c>
      <c r="F42" s="36" t="n">
        <v>45937</v>
      </c>
      <c r="G42" s="35" t="n">
        <v>3</v>
      </c>
      <c r="H42" s="35" t="n">
        <v>4</v>
      </c>
      <c r="I42" s="35" t="n">
        <v>3</v>
      </c>
      <c r="J42" s="35" t="n">
        <v>3</v>
      </c>
      <c r="K42" s="35" t="n">
        <v>4</v>
      </c>
      <c r="L42" s="35" t="n">
        <v>3</v>
      </c>
      <c r="M42" s="50" t="n">
        <f aca="false">IF(COUNT(G42:L42)&lt;6,"",ROUND((G42*Rubric!$D$5+H42*Rubric!$D$6+I42*Rubric!$D$7+J42*Rubric!$D$8+K42*Rubric!$D$9+L42*Rubric!$D$10)/5*100,1))</f>
        <v>66</v>
      </c>
      <c r="N42" s="37" t="str">
        <f aca="false">IF(OR(B42="",D42=""),"",IFERROR(IF(IF(E42="Primary",INDEX(Applications!$I$5:$I$600,MATCH(B42,Applications!$A$5:$A$600,0)),IF(E42="Secondary",INDEX(Applications!$J$5:$J$600,MATCH(B42,Applications!$A$5:$A$600,0)),INDEX(Applications!$K$5:$K$600,MATCH(B42,Applications!$A$5:$A$600,0))))=D42,"OK","Not assigned"),"Check ID"))</f>
        <v>OK</v>
      </c>
      <c r="O42" s="7"/>
    </row>
    <row r="43" customFormat="false" ht="15" hidden="false" customHeight="false" outlineLevel="0" collapsed="false">
      <c r="A43" s="35" t="s">
        <v>1436</v>
      </c>
      <c r="B43" s="35" t="s">
        <v>520</v>
      </c>
      <c r="C43" s="37" t="str">
        <f aca="false">IF(B43="","",IFERROR(INDEX(Applications!$B$5:$B$600,MATCH(B43,Applications!$A$5:$A$600,0)),"Application ID not found"))</f>
        <v>Northside Youth Food Lab</v>
      </c>
      <c r="D43" s="35" t="s">
        <v>78</v>
      </c>
      <c r="E43" s="35" t="s">
        <v>80</v>
      </c>
      <c r="F43" s="36" t="n">
        <v>45937</v>
      </c>
      <c r="G43" s="35" t="n">
        <v>2</v>
      </c>
      <c r="H43" s="35" t="n">
        <v>2</v>
      </c>
      <c r="I43" s="35" t="n">
        <v>3</v>
      </c>
      <c r="J43" s="35" t="n">
        <v>3</v>
      </c>
      <c r="K43" s="35" t="n">
        <v>2</v>
      </c>
      <c r="L43" s="35" t="n">
        <v>2</v>
      </c>
      <c r="M43" s="50" t="n">
        <f aca="false">IF(COUNT(G43:L43)&lt;6,"",ROUND((G43*Rubric!$D$5+H43*Rubric!$D$6+I43*Rubric!$D$7+J43*Rubric!$D$8+K43*Rubric!$D$9+L43*Rubric!$D$10)/5*100,1))</f>
        <v>47</v>
      </c>
      <c r="N43" s="37" t="str">
        <f aca="false">IF(OR(B43="",D43=""),"",IFERROR(IF(IF(E43="Primary",INDEX(Applications!$I$5:$I$600,MATCH(B43,Applications!$A$5:$A$600,0)),IF(E43="Secondary",INDEX(Applications!$J$5:$J$600,MATCH(B43,Applications!$A$5:$A$600,0)),INDEX(Applications!$K$5:$K$600,MATCH(B43,Applications!$A$5:$A$600,0))))=D43,"OK","Not assigned"),"Check ID"))</f>
        <v>OK</v>
      </c>
      <c r="O43" s="7" t="s">
        <v>1437</v>
      </c>
    </row>
    <row r="44" customFormat="false" ht="15" hidden="false" customHeight="false" outlineLevel="0" collapsed="false">
      <c r="A44" s="35" t="s">
        <v>1438</v>
      </c>
      <c r="B44" s="35" t="s">
        <v>510</v>
      </c>
      <c r="C44" s="37" t="str">
        <f aca="false">IF(B44="","",IFERROR(INDEX(Applications!$B$5:$B$600,MATCH(B44,Applications!$A$5:$A$600,0)),"Application ID not found"))</f>
        <v>Tulsa Seed Library</v>
      </c>
      <c r="D44" s="35" t="s">
        <v>78</v>
      </c>
      <c r="E44" s="35" t="s">
        <v>80</v>
      </c>
      <c r="F44" s="36" t="n">
        <v>45937</v>
      </c>
      <c r="G44" s="35" t="n">
        <v>4</v>
      </c>
      <c r="H44" s="35" t="n">
        <v>3</v>
      </c>
      <c r="I44" s="35" t="n">
        <v>3</v>
      </c>
      <c r="J44" s="35" t="n">
        <v>3</v>
      </c>
      <c r="K44" s="35" t="n">
        <v>3</v>
      </c>
      <c r="L44" s="35" t="n">
        <v>3</v>
      </c>
      <c r="M44" s="50" t="n">
        <f aca="false">IF(COUNT(G44:L44)&lt;6,"",ROUND((G44*Rubric!$D$5+H44*Rubric!$D$6+I44*Rubric!$D$7+J44*Rubric!$D$8+K44*Rubric!$D$9+L44*Rubric!$D$10)/5*100,1))</f>
        <v>65</v>
      </c>
      <c r="N44" s="37" t="str">
        <f aca="false">IF(OR(B44="",D44=""),"",IFERROR(IF(IF(E44="Primary",INDEX(Applications!$I$5:$I$600,MATCH(B44,Applications!$A$5:$A$600,0)),IF(E44="Secondary",INDEX(Applications!$J$5:$J$600,MATCH(B44,Applications!$A$5:$A$600,0)),INDEX(Applications!$K$5:$K$600,MATCH(B44,Applications!$A$5:$A$600,0))))=D44,"OK","Not assigned"),"Check ID"))</f>
        <v>OK</v>
      </c>
      <c r="O44" s="7"/>
    </row>
    <row r="45" customFormat="false" ht="15" hidden="false" customHeight="false" outlineLevel="0" collapsed="false">
      <c r="A45" s="35" t="s">
        <v>1439</v>
      </c>
      <c r="B45" s="35" t="s">
        <v>1291</v>
      </c>
      <c r="C45" s="37" t="str">
        <f aca="false">IF(B45="","",IFERROR(INDEX(Applications!$B$5:$B$600,MATCH(B45,Applications!$A$5:$A$600,0)),"Application ID not found"))</f>
        <v>Fairmount Family Center</v>
      </c>
      <c r="D45" s="35" t="s">
        <v>78</v>
      </c>
      <c r="E45" s="35" t="s">
        <v>80</v>
      </c>
      <c r="F45" s="36" t="n">
        <v>45937</v>
      </c>
      <c r="G45" s="35" t="n">
        <v>2</v>
      </c>
      <c r="H45" s="35" t="n">
        <v>3</v>
      </c>
      <c r="I45" s="35" t="n">
        <v>2</v>
      </c>
      <c r="J45" s="35" t="n">
        <v>2</v>
      </c>
      <c r="K45" s="35" t="n">
        <v>3</v>
      </c>
      <c r="L45" s="35" t="n">
        <v>3</v>
      </c>
      <c r="M45" s="50" t="n">
        <f aca="false">IF(COUNT(G45:L45)&lt;6,"",ROUND((G45*Rubric!$D$5+H45*Rubric!$D$6+I45*Rubric!$D$7+J45*Rubric!$D$8+K45*Rubric!$D$9+L45*Rubric!$D$10)/5*100,1))</f>
        <v>48</v>
      </c>
      <c r="N45" s="37" t="str">
        <f aca="false">IF(OR(B45="",D45=""),"",IFERROR(IF(IF(E45="Primary",INDEX(Applications!$I$5:$I$600,MATCH(B45,Applications!$A$5:$A$600,0)),IF(E45="Secondary",INDEX(Applications!$J$5:$J$600,MATCH(B45,Applications!$A$5:$A$600,0)),INDEX(Applications!$K$5:$K$600,MATCH(B45,Applications!$A$5:$A$600,0))))=D45,"OK","Not assigned"),"Check ID"))</f>
        <v>OK</v>
      </c>
      <c r="O45" s="7"/>
    </row>
    <row r="46" customFormat="false" ht="15" hidden="false" customHeight="false" outlineLevel="0" collapsed="false">
      <c r="A46" s="35" t="s">
        <v>1440</v>
      </c>
      <c r="B46" s="35" t="s">
        <v>699</v>
      </c>
      <c r="C46" s="37" t="str">
        <f aca="false">IF(B46="","",IFERROR(INDEX(Applications!$B$5:$B$600,MATCH(B46,Applications!$A$5:$A$600,0)),"Application ID not found"))</f>
        <v>Kumasi Food Ventures</v>
      </c>
      <c r="D46" s="35" t="s">
        <v>78</v>
      </c>
      <c r="E46" s="35" t="s">
        <v>80</v>
      </c>
      <c r="F46" s="36" t="n">
        <v>45937</v>
      </c>
      <c r="G46" s="35" t="n">
        <v>3</v>
      </c>
      <c r="H46" s="35" t="n">
        <v>4</v>
      </c>
      <c r="I46" s="35" t="n">
        <v>4</v>
      </c>
      <c r="J46" s="35" t="n">
        <v>4</v>
      </c>
      <c r="K46" s="35" t="n">
        <v>4</v>
      </c>
      <c r="L46" s="35" t="n">
        <v>4</v>
      </c>
      <c r="M46" s="50" t="n">
        <f aca="false">IF(COUNT(G46:L46)&lt;6,"",ROUND((G46*Rubric!$D$5+H46*Rubric!$D$6+I46*Rubric!$D$7+J46*Rubric!$D$8+K46*Rubric!$D$9+L46*Rubric!$D$10)/5*100,1))</f>
        <v>75</v>
      </c>
      <c r="N46" s="37" t="str">
        <f aca="false">IF(OR(B46="",D46=""),"",IFERROR(IF(IF(E46="Primary",INDEX(Applications!$I$5:$I$600,MATCH(B46,Applications!$A$5:$A$600,0)),IF(E46="Secondary",INDEX(Applications!$J$5:$J$600,MATCH(B46,Applications!$A$5:$A$600,0)),INDEX(Applications!$K$5:$K$600,MATCH(B46,Applications!$A$5:$A$600,0))))=D46,"OK","Not assigned"),"Check ID"))</f>
        <v>OK</v>
      </c>
      <c r="O46" s="7" t="s">
        <v>1437</v>
      </c>
    </row>
    <row r="47" customFormat="false" ht="15" hidden="false" customHeight="false" outlineLevel="0" collapsed="false">
      <c r="A47" s="35" t="s">
        <v>1441</v>
      </c>
      <c r="B47" s="35" t="s">
        <v>347</v>
      </c>
      <c r="C47" s="37" t="str">
        <f aca="false">IF(B47="","",IFERROR(INDEX(Applications!$B$5:$B$600,MATCH(B47,Applications!$A$5:$A$600,0)),"Application ID not found"))</f>
        <v>Open Door Food Bank</v>
      </c>
      <c r="D47" s="35" t="s">
        <v>78</v>
      </c>
      <c r="E47" s="35" t="s">
        <v>80</v>
      </c>
      <c r="F47" s="36" t="n">
        <v>45937</v>
      </c>
      <c r="G47" s="35" t="n">
        <v>5</v>
      </c>
      <c r="H47" s="35" t="n">
        <v>4</v>
      </c>
      <c r="I47" s="35" t="n">
        <v>5</v>
      </c>
      <c r="J47" s="35" t="n">
        <v>5</v>
      </c>
      <c r="K47" s="35" t="n">
        <v>5</v>
      </c>
      <c r="L47" s="35" t="n">
        <v>5</v>
      </c>
      <c r="M47" s="50" t="n">
        <f aca="false">IF(COUNT(G47:L47)&lt;6,"",ROUND((G47*Rubric!$D$5+H47*Rubric!$D$6+I47*Rubric!$D$7+J47*Rubric!$D$8+K47*Rubric!$D$9+L47*Rubric!$D$10)/5*100,1))</f>
        <v>96</v>
      </c>
      <c r="N47" s="37" t="str">
        <f aca="false">IF(OR(B47="",D47=""),"",IFERROR(IF(IF(E47="Primary",INDEX(Applications!$I$5:$I$600,MATCH(B47,Applications!$A$5:$A$600,0)),IF(E47="Secondary",INDEX(Applications!$J$5:$J$600,MATCH(B47,Applications!$A$5:$A$600,0)),INDEX(Applications!$K$5:$K$600,MATCH(B47,Applications!$A$5:$A$600,0))))=D47,"OK","Not assigned"),"Check ID"))</f>
        <v>OK</v>
      </c>
      <c r="O47" s="7"/>
    </row>
    <row r="48" customFormat="false" ht="15" hidden="false" customHeight="false" outlineLevel="0" collapsed="false">
      <c r="A48" s="35" t="s">
        <v>1442</v>
      </c>
      <c r="B48" s="35" t="s">
        <v>767</v>
      </c>
      <c r="C48" s="37" t="str">
        <f aca="false">IF(B48="","",IFERROR(INDEX(Applications!$B$5:$B$600,MATCH(B48,Applications!$A$5:$A$600,0)),"Application ID not found"))</f>
        <v>Greenway Meals Project</v>
      </c>
      <c r="D48" s="35" t="s">
        <v>82</v>
      </c>
      <c r="E48" s="35" t="s">
        <v>83</v>
      </c>
      <c r="F48" s="36" t="n">
        <v>45937</v>
      </c>
      <c r="G48" s="35" t="n">
        <v>3</v>
      </c>
      <c r="H48" s="35" t="n">
        <v>3</v>
      </c>
      <c r="I48" s="35" t="n">
        <v>3</v>
      </c>
      <c r="J48" s="35" t="n">
        <v>3</v>
      </c>
      <c r="K48" s="35" t="n">
        <v>2</v>
      </c>
      <c r="L48" s="35" t="n">
        <v>2</v>
      </c>
      <c r="M48" s="50" t="n">
        <f aca="false">IF(COUNT(G48:L48)&lt;6,"",ROUND((G48*Rubric!$D$5+H48*Rubric!$D$6+I48*Rubric!$D$7+J48*Rubric!$D$8+K48*Rubric!$D$9+L48*Rubric!$D$10)/5*100,1))</f>
        <v>56</v>
      </c>
      <c r="N48" s="37" t="str">
        <f aca="false">IF(OR(B48="",D48=""),"",IFERROR(IF(IF(E48="Primary",INDEX(Applications!$I$5:$I$600,MATCH(B48,Applications!$A$5:$A$600,0)),IF(E48="Secondary",INDEX(Applications!$J$5:$J$600,MATCH(B48,Applications!$A$5:$A$600,0)),INDEX(Applications!$K$5:$K$600,MATCH(B48,Applications!$A$5:$A$600,0))))=D48,"OK","Not assigned"),"Check ID"))</f>
        <v>OK</v>
      </c>
      <c r="O48" s="7" t="s">
        <v>1402</v>
      </c>
    </row>
    <row r="49" customFormat="false" ht="15" hidden="false" customHeight="false" outlineLevel="0" collapsed="false">
      <c r="A49" s="35" t="s">
        <v>1443</v>
      </c>
      <c r="B49" s="35" t="s">
        <v>815</v>
      </c>
      <c r="C49" s="37" t="str">
        <f aca="false">IF(B49="","",IFERROR(INDEX(Applications!$B$5:$B$600,MATCH(B49,Applications!$A$5:$A$600,0)),"Application ID not found"))</f>
        <v>Dayton Growers Cooperative</v>
      </c>
      <c r="D49" s="35" t="s">
        <v>82</v>
      </c>
      <c r="E49" s="35" t="s">
        <v>83</v>
      </c>
      <c r="F49" s="36" t="n">
        <v>45937</v>
      </c>
      <c r="G49" s="35" t="n">
        <v>3</v>
      </c>
      <c r="H49" s="35" t="n">
        <v>3</v>
      </c>
      <c r="I49" s="35" t="n">
        <v>3</v>
      </c>
      <c r="J49" s="35" t="n">
        <v>2</v>
      </c>
      <c r="K49" s="35" t="n">
        <v>3</v>
      </c>
      <c r="L49" s="35" t="n">
        <v>3</v>
      </c>
      <c r="M49" s="50" t="n">
        <f aca="false">IF(COUNT(G49:L49)&lt;6,"",ROUND((G49*Rubric!$D$5+H49*Rubric!$D$6+I49*Rubric!$D$7+J49*Rubric!$D$8+K49*Rubric!$D$9+L49*Rubric!$D$10)/5*100,1))</f>
        <v>57</v>
      </c>
      <c r="N49" s="37" t="str">
        <f aca="false">IF(OR(B49="",D49=""),"",IFERROR(IF(IF(E49="Primary",INDEX(Applications!$I$5:$I$600,MATCH(B49,Applications!$A$5:$A$600,0)),IF(E49="Secondary",INDEX(Applications!$J$5:$J$600,MATCH(B49,Applications!$A$5:$A$600,0)),INDEX(Applications!$K$5:$K$600,MATCH(B49,Applications!$A$5:$A$600,0))))=D49,"OK","Not assigned"),"Check ID"))</f>
        <v>OK</v>
      </c>
      <c r="O49" s="7"/>
    </row>
    <row r="50" customFormat="false" ht="15" hidden="false" customHeight="false" outlineLevel="0" collapsed="false">
      <c r="A50" s="35" t="s">
        <v>1444</v>
      </c>
      <c r="B50" s="35" t="s">
        <v>803</v>
      </c>
      <c r="C50" s="37" t="str">
        <f aca="false">IF(B50="","",IFERROR(INDEX(Applications!$B$5:$B$600,MATCH(B50,Applications!$A$5:$A$600,0)),"Application ID not found"))</f>
        <v>Chicago Culinary Works</v>
      </c>
      <c r="D50" s="35" t="s">
        <v>82</v>
      </c>
      <c r="E50" s="35" t="s">
        <v>83</v>
      </c>
      <c r="F50" s="36" t="n">
        <v>45937</v>
      </c>
      <c r="G50" s="35" t="n">
        <v>2</v>
      </c>
      <c r="H50" s="35" t="n">
        <v>3</v>
      </c>
      <c r="I50" s="35" t="n">
        <v>3</v>
      </c>
      <c r="J50" s="35" t="n">
        <v>2</v>
      </c>
      <c r="K50" s="35" t="n">
        <v>3</v>
      </c>
      <c r="L50" s="35" t="n">
        <v>3</v>
      </c>
      <c r="M50" s="50" t="n">
        <f aca="false">IF(COUNT(G50:L50)&lt;6,"",ROUND((G50*Rubric!$D$5+H50*Rubric!$D$6+I50*Rubric!$D$7+J50*Rubric!$D$8+K50*Rubric!$D$9+L50*Rubric!$D$10)/5*100,1))</f>
        <v>52</v>
      </c>
      <c r="N50" s="37" t="str">
        <f aca="false">IF(OR(B50="",D50=""),"",IFERROR(IF(IF(E50="Primary",INDEX(Applications!$I$5:$I$600,MATCH(B50,Applications!$A$5:$A$600,0)),IF(E50="Secondary",INDEX(Applications!$J$5:$J$600,MATCH(B50,Applications!$A$5:$A$600,0)),INDEX(Applications!$K$5:$K$600,MATCH(B50,Applications!$A$5:$A$600,0))))=D50,"OK","Not assigned"),"Check ID"))</f>
        <v>OK</v>
      </c>
      <c r="O50" s="7"/>
    </row>
    <row r="51" customFormat="false" ht="15" hidden="false" customHeight="false" outlineLevel="0" collapsed="false">
      <c r="A51" s="35" t="s">
        <v>1445</v>
      </c>
      <c r="B51" s="35" t="s">
        <v>243</v>
      </c>
      <c r="C51" s="37" t="str">
        <f aca="false">IF(B51="","",IFERROR(INDEX(Applications!$B$5:$B$600,MATCH(B51,Applications!$A$5:$A$600,0)),"Application ID not found"))</f>
        <v>Bluestem Kitchen Project</v>
      </c>
      <c r="D51" s="35" t="s">
        <v>82</v>
      </c>
      <c r="E51" s="35" t="s">
        <v>80</v>
      </c>
      <c r="F51" s="36" t="n">
        <v>45937</v>
      </c>
      <c r="G51" s="35" t="n">
        <v>4</v>
      </c>
      <c r="H51" s="35" t="n">
        <v>3</v>
      </c>
      <c r="I51" s="35" t="n">
        <v>3</v>
      </c>
      <c r="J51" s="35" t="n">
        <v>4</v>
      </c>
      <c r="K51" s="35" t="n">
        <v>4</v>
      </c>
      <c r="L51" s="35" t="n">
        <v>3</v>
      </c>
      <c r="M51" s="50" t="n">
        <f aca="false">IF(COUNT(G51:L51)&lt;6,"",ROUND((G51*Rubric!$D$5+H51*Rubric!$D$6+I51*Rubric!$D$7+J51*Rubric!$D$8+K51*Rubric!$D$9+L51*Rubric!$D$10)/5*100,1))</f>
        <v>70</v>
      </c>
      <c r="N51" s="37" t="str">
        <f aca="false">IF(OR(B51="",D51=""),"",IFERROR(IF(IF(E51="Primary",INDEX(Applications!$I$5:$I$600,MATCH(B51,Applications!$A$5:$A$600,0)),IF(E51="Secondary",INDEX(Applications!$J$5:$J$600,MATCH(B51,Applications!$A$5:$A$600,0)),INDEX(Applications!$K$5:$K$600,MATCH(B51,Applications!$A$5:$A$600,0))))=D51,"OK","Not assigned"),"Check ID"))</f>
        <v>OK</v>
      </c>
      <c r="O51" s="7"/>
    </row>
    <row r="52" customFormat="false" ht="15" hidden="false" customHeight="false" outlineLevel="0" collapsed="false">
      <c r="A52" s="35" t="s">
        <v>1446</v>
      </c>
      <c r="B52" s="35" t="s">
        <v>196</v>
      </c>
      <c r="C52" s="37" t="str">
        <f aca="false">IF(B52="","",IFERROR(INDEX(Applications!$B$5:$B$600,MATCH(B52,Applications!$A$5:$A$600,0)),"Application ID not found"))</f>
        <v>Wichita Bakery Collective</v>
      </c>
      <c r="D52" s="35" t="s">
        <v>82</v>
      </c>
      <c r="E52" s="35" t="s">
        <v>83</v>
      </c>
      <c r="F52" s="36" t="n">
        <v>45937</v>
      </c>
      <c r="G52" s="35" t="n">
        <v>4</v>
      </c>
      <c r="H52" s="35" t="n">
        <v>4</v>
      </c>
      <c r="I52" s="35" t="n">
        <v>4</v>
      </c>
      <c r="J52" s="35" t="n">
        <v>3</v>
      </c>
      <c r="K52" s="35" t="n">
        <v>3</v>
      </c>
      <c r="L52" s="35" t="n">
        <v>3</v>
      </c>
      <c r="M52" s="50" t="n">
        <f aca="false">IF(COUNT(G52:L52)&lt;6,"",ROUND((G52*Rubric!$D$5+H52*Rubric!$D$6+I52*Rubric!$D$7+J52*Rubric!$D$8+K52*Rubric!$D$9+L52*Rubric!$D$10)/5*100,1))</f>
        <v>73</v>
      </c>
      <c r="N52" s="37" t="str">
        <f aca="false">IF(OR(B52="",D52=""),"",IFERROR(IF(IF(E52="Primary",INDEX(Applications!$I$5:$I$600,MATCH(B52,Applications!$A$5:$A$600,0)),IF(E52="Secondary",INDEX(Applications!$J$5:$J$600,MATCH(B52,Applications!$A$5:$A$600,0)),INDEX(Applications!$K$5:$K$600,MATCH(B52,Applications!$A$5:$A$600,0))))=D52,"OK","Not assigned"),"Check ID"))</f>
        <v>OK</v>
      </c>
      <c r="O52" s="7"/>
    </row>
    <row r="53" customFormat="false" ht="15" hidden="false" customHeight="false" outlineLevel="0" collapsed="false">
      <c r="A53" s="35" t="s">
        <v>1447</v>
      </c>
      <c r="B53" s="35" t="s">
        <v>388</v>
      </c>
      <c r="C53" s="37" t="str">
        <f aca="false">IF(B53="","",IFERROR(INDEX(Applications!$B$5:$B$600,MATCH(B53,Applications!$A$5:$A$600,0)),"Application ID not found"))</f>
        <v>Southfield Bakery Collective</v>
      </c>
      <c r="D53" s="35" t="s">
        <v>82</v>
      </c>
      <c r="E53" s="35" t="s">
        <v>83</v>
      </c>
      <c r="F53" s="36" t="n">
        <v>45937</v>
      </c>
      <c r="G53" s="35" t="n">
        <v>4</v>
      </c>
      <c r="H53" s="35" t="n">
        <v>3</v>
      </c>
      <c r="I53" s="35" t="n">
        <v>4</v>
      </c>
      <c r="J53" s="35" t="n">
        <v>4</v>
      </c>
      <c r="K53" s="35" t="n">
        <v>4</v>
      </c>
      <c r="L53" s="35" t="n">
        <v>5</v>
      </c>
      <c r="M53" s="50" t="n">
        <f aca="false">IF(COUNT(G53:L53)&lt;6,"",ROUND((G53*Rubric!$D$5+H53*Rubric!$D$6+I53*Rubric!$D$7+J53*Rubric!$D$8+K53*Rubric!$D$9+L53*Rubric!$D$10)/5*100,1))</f>
        <v>78</v>
      </c>
      <c r="N53" s="37" t="str">
        <f aca="false">IF(OR(B53="",D53=""),"",IFERROR(IF(IF(E53="Primary",INDEX(Applications!$I$5:$I$600,MATCH(B53,Applications!$A$5:$A$600,0)),IF(E53="Secondary",INDEX(Applications!$J$5:$J$600,MATCH(B53,Applications!$A$5:$A$600,0)),INDEX(Applications!$K$5:$K$600,MATCH(B53,Applications!$A$5:$A$600,0))))=D53,"OK","Not assigned"),"Check ID"))</f>
        <v>OK</v>
      </c>
      <c r="O53" s="7" t="s">
        <v>1398</v>
      </c>
    </row>
    <row r="54" customFormat="false" ht="15" hidden="false" customHeight="false" outlineLevel="0" collapsed="false">
      <c r="A54" s="35" t="s">
        <v>1448</v>
      </c>
      <c r="B54" s="35" t="s">
        <v>534</v>
      </c>
      <c r="C54" s="37" t="str">
        <f aca="false">IF(B54="","",IFERROR(INDEX(Applications!$B$5:$B$600,MATCH(B54,Applications!$A$5:$A$600,0)),"Application ID not found"))</f>
        <v>Tidewater Farm Collective</v>
      </c>
      <c r="D54" s="35" t="s">
        <v>82</v>
      </c>
      <c r="E54" s="35" t="s">
        <v>80</v>
      </c>
      <c r="F54" s="36" t="n">
        <v>45937</v>
      </c>
      <c r="G54" s="35" t="n">
        <v>2</v>
      </c>
      <c r="H54" s="35" t="n">
        <v>3</v>
      </c>
      <c r="I54" s="35" t="n">
        <v>3</v>
      </c>
      <c r="J54" s="35" t="n">
        <v>3</v>
      </c>
      <c r="K54" s="35" t="n">
        <v>3</v>
      </c>
      <c r="L54" s="35" t="n">
        <v>3</v>
      </c>
      <c r="M54" s="50" t="n">
        <f aca="false">IF(COUNT(G54:L54)&lt;6,"",ROUND((G54*Rubric!$D$5+H54*Rubric!$D$6+I54*Rubric!$D$7+J54*Rubric!$D$8+K54*Rubric!$D$9+L54*Rubric!$D$10)/5*100,1))</f>
        <v>55</v>
      </c>
      <c r="N54" s="37" t="str">
        <f aca="false">IF(OR(B54="",D54=""),"",IFERROR(IF(IF(E54="Primary",INDEX(Applications!$I$5:$I$600,MATCH(B54,Applications!$A$5:$A$600,0)),IF(E54="Secondary",INDEX(Applications!$J$5:$J$600,MATCH(B54,Applications!$A$5:$A$600,0)),INDEX(Applications!$K$5:$K$600,MATCH(B54,Applications!$A$5:$A$600,0))))=D54,"OK","Not assigned"),"Check ID"))</f>
        <v>OK</v>
      </c>
      <c r="O54" s="7"/>
    </row>
    <row r="55" customFormat="false" ht="15" hidden="false" customHeight="false" outlineLevel="0" collapsed="false">
      <c r="A55" s="35" t="s">
        <v>1449</v>
      </c>
      <c r="B55" s="35" t="s">
        <v>813</v>
      </c>
      <c r="C55" s="37" t="str">
        <f aca="false">IF(B55="","",IFERROR(INDEX(Applications!$B$5:$B$600,MATCH(B55,Applications!$A$5:$A$600,0)),"Application ID not found"))</f>
        <v>Monterrey Mobile Market</v>
      </c>
      <c r="D55" s="35" t="s">
        <v>88</v>
      </c>
      <c r="E55" s="35" t="s">
        <v>83</v>
      </c>
      <c r="F55" s="36" t="n">
        <v>45937</v>
      </c>
      <c r="G55" s="35" t="n">
        <v>3</v>
      </c>
      <c r="H55" s="35" t="n">
        <v>3</v>
      </c>
      <c r="I55" s="35" t="n">
        <v>3</v>
      </c>
      <c r="J55" s="35" t="n">
        <v>3</v>
      </c>
      <c r="K55" s="35" t="n">
        <v>3</v>
      </c>
      <c r="L55" s="35" t="n">
        <v>4</v>
      </c>
      <c r="M55" s="50" t="n">
        <f aca="false">IF(COUNT(G55:L55)&lt;6,"",ROUND((G55*Rubric!$D$5+H55*Rubric!$D$6+I55*Rubric!$D$7+J55*Rubric!$D$8+K55*Rubric!$D$9+L55*Rubric!$D$10)/5*100,1))</f>
        <v>62</v>
      </c>
      <c r="N55" s="37" t="str">
        <f aca="false">IF(OR(B55="",D55=""),"",IFERROR(IF(IF(E55="Primary",INDEX(Applications!$I$5:$I$600,MATCH(B55,Applications!$A$5:$A$600,0)),IF(E55="Secondary",INDEX(Applications!$J$5:$J$600,MATCH(B55,Applications!$A$5:$A$600,0)),INDEX(Applications!$K$5:$K$600,MATCH(B55,Applications!$A$5:$A$600,0))))=D55,"OK","Not assigned"),"Check ID"))</f>
        <v>OK</v>
      </c>
      <c r="O55" s="7" t="s">
        <v>1402</v>
      </c>
    </row>
    <row r="56" customFormat="false" ht="15" hidden="false" customHeight="false" outlineLevel="0" collapsed="false">
      <c r="A56" s="35" t="s">
        <v>1450</v>
      </c>
      <c r="B56" s="35" t="s">
        <v>929</v>
      </c>
      <c r="C56" s="37" t="str">
        <f aca="false">IF(B56="","",IFERROR(INDEX(Applications!$B$5:$B$600,MATCH(B56,Applications!$A$5:$A$600,0)),"Application ID not found"))</f>
        <v>Greenway Bakery Collective</v>
      </c>
      <c r="D56" s="35" t="s">
        <v>88</v>
      </c>
      <c r="E56" s="35" t="s">
        <v>83</v>
      </c>
      <c r="F56" s="36" t="n">
        <v>45937</v>
      </c>
      <c r="G56" s="35" t="n">
        <v>2</v>
      </c>
      <c r="H56" s="35" t="n">
        <v>2</v>
      </c>
      <c r="I56" s="35" t="n">
        <v>1</v>
      </c>
      <c r="J56" s="35" t="n">
        <v>2</v>
      </c>
      <c r="K56" s="35" t="n">
        <v>2</v>
      </c>
      <c r="L56" s="35" t="n">
        <v>2</v>
      </c>
      <c r="M56" s="50" t="n">
        <f aca="false">IF(COUNT(G56:L56)&lt;6,"",ROUND((G56*Rubric!$D$5+H56*Rubric!$D$6+I56*Rubric!$D$7+J56*Rubric!$D$8+K56*Rubric!$D$9+L56*Rubric!$D$10)/5*100,1))</f>
        <v>36</v>
      </c>
      <c r="N56" s="37" t="str">
        <f aca="false">IF(OR(B56="",D56=""),"",IFERROR(IF(IF(E56="Primary",INDEX(Applications!$I$5:$I$600,MATCH(B56,Applications!$A$5:$A$600,0)),IF(E56="Secondary",INDEX(Applications!$J$5:$J$600,MATCH(B56,Applications!$A$5:$A$600,0)),INDEX(Applications!$K$5:$K$600,MATCH(B56,Applications!$A$5:$A$600,0))))=D56,"OK","Not assigned"),"Check ID"))</f>
        <v>OK</v>
      </c>
      <c r="O56" s="7"/>
    </row>
    <row r="57" customFormat="false" ht="15" hidden="false" customHeight="false" outlineLevel="0" collapsed="false">
      <c r="A57" s="35" t="s">
        <v>1451</v>
      </c>
      <c r="B57" s="35" t="s">
        <v>355</v>
      </c>
      <c r="C57" s="37" t="str">
        <f aca="false">IF(B57="","",IFERROR(INDEX(Applications!$B$5:$B$600,MATCH(B57,Applications!$A$5:$A$600,0)),"Application ID not found"))</f>
        <v>Lakeshore Community Kitchen</v>
      </c>
      <c r="D57" s="35" t="s">
        <v>88</v>
      </c>
      <c r="E57" s="35" t="s">
        <v>83</v>
      </c>
      <c r="F57" s="36" t="n">
        <v>45937</v>
      </c>
      <c r="G57" s="35" t="n">
        <v>2</v>
      </c>
      <c r="H57" s="35" t="n">
        <v>2</v>
      </c>
      <c r="I57" s="35" t="n">
        <v>3</v>
      </c>
      <c r="J57" s="35" t="n">
        <v>3</v>
      </c>
      <c r="K57" s="35" t="n">
        <v>2</v>
      </c>
      <c r="L57" s="35" t="n">
        <v>4</v>
      </c>
      <c r="M57" s="50" t="n">
        <f aca="false">IF(COUNT(G57:L57)&lt;6,"",ROUND((G57*Rubric!$D$5+H57*Rubric!$D$6+I57*Rubric!$D$7+J57*Rubric!$D$8+K57*Rubric!$D$9+L57*Rubric!$D$10)/5*100,1))</f>
        <v>51</v>
      </c>
      <c r="N57" s="37" t="str">
        <f aca="false">IF(OR(B57="",D57=""),"",IFERROR(IF(IF(E57="Primary",INDEX(Applications!$I$5:$I$600,MATCH(B57,Applications!$A$5:$A$600,0)),IF(E57="Secondary",INDEX(Applications!$J$5:$J$600,MATCH(B57,Applications!$A$5:$A$600,0)),INDEX(Applications!$K$5:$K$600,MATCH(B57,Applications!$A$5:$A$600,0))))=D57,"OK","Not assigned"),"Check ID"))</f>
        <v>OK</v>
      </c>
      <c r="O57" s="7"/>
    </row>
    <row r="58" customFormat="false" ht="15" hidden="false" customHeight="false" outlineLevel="0" collapsed="false">
      <c r="A58" s="35" t="s">
        <v>1452</v>
      </c>
      <c r="B58" s="35" t="s">
        <v>651</v>
      </c>
      <c r="C58" s="37" t="str">
        <f aca="false">IF(B58="","",IFERROR(INDEX(Applications!$B$5:$B$600,MATCH(B58,Applications!$A$5:$A$600,0)),"Application ID not found"))</f>
        <v>Thistle Community Pantry</v>
      </c>
      <c r="D58" s="35" t="s">
        <v>88</v>
      </c>
      <c r="E58" s="35" t="s">
        <v>83</v>
      </c>
      <c r="F58" s="36" t="n">
        <v>45937</v>
      </c>
      <c r="G58" s="35" t="n">
        <v>2</v>
      </c>
      <c r="H58" s="35" t="n">
        <v>2</v>
      </c>
      <c r="I58" s="35" t="n">
        <v>2</v>
      </c>
      <c r="J58" s="35" t="n">
        <v>2</v>
      </c>
      <c r="K58" s="35" t="n">
        <v>3</v>
      </c>
      <c r="L58" s="35" t="n">
        <v>3</v>
      </c>
      <c r="M58" s="50" t="n">
        <f aca="false">IF(COUNT(G58:L58)&lt;6,"",ROUND((G58*Rubric!$D$5+H58*Rubric!$D$6+I58*Rubric!$D$7+J58*Rubric!$D$8+K58*Rubric!$D$9+L58*Rubric!$D$10)/5*100,1))</f>
        <v>44</v>
      </c>
      <c r="N58" s="37" t="str">
        <f aca="false">IF(OR(B58="",D58=""),"",IFERROR(IF(IF(E58="Primary",INDEX(Applications!$I$5:$I$600,MATCH(B58,Applications!$A$5:$A$600,0)),IF(E58="Secondary",INDEX(Applications!$J$5:$J$600,MATCH(B58,Applications!$A$5:$A$600,0)),INDEX(Applications!$K$5:$K$600,MATCH(B58,Applications!$A$5:$A$600,0))))=D58,"OK","Not assigned"),"Check ID"))</f>
        <v>OK</v>
      </c>
      <c r="O58" s="7"/>
    </row>
    <row r="59" customFormat="false" ht="15" hidden="false" customHeight="false" outlineLevel="0" collapsed="false">
      <c r="A59" s="35" t="s">
        <v>1453</v>
      </c>
      <c r="B59" s="35" t="s">
        <v>703</v>
      </c>
      <c r="C59" s="37" t="str">
        <f aca="false">IF(B59="","",IFERROR(INDEX(Applications!$B$5:$B$600,MATCH(B59,Applications!$A$5:$A$600,0)),"Application ID not found"))</f>
        <v>Lantern Seed Library</v>
      </c>
      <c r="D59" s="35" t="s">
        <v>88</v>
      </c>
      <c r="E59" s="35" t="s">
        <v>83</v>
      </c>
      <c r="F59" s="36" t="n">
        <v>45937</v>
      </c>
      <c r="G59" s="35" t="n">
        <v>3</v>
      </c>
      <c r="H59" s="35" t="n">
        <v>4</v>
      </c>
      <c r="I59" s="35" t="n">
        <v>3</v>
      </c>
      <c r="J59" s="35" t="n">
        <v>4</v>
      </c>
      <c r="K59" s="35" t="n">
        <v>3</v>
      </c>
      <c r="L59" s="35" t="n">
        <v>4</v>
      </c>
      <c r="M59" s="50" t="n">
        <f aca="false">IF(COUNT(G59:L59)&lt;6,"",ROUND((G59*Rubric!$D$5+H59*Rubric!$D$6+I59*Rubric!$D$7+J59*Rubric!$D$8+K59*Rubric!$D$9+L59*Rubric!$D$10)/5*100,1))</f>
        <v>69</v>
      </c>
      <c r="N59" s="37" t="str">
        <f aca="false">IF(OR(B59="",D59=""),"",IFERROR(IF(IF(E59="Primary",INDEX(Applications!$I$5:$I$600,MATCH(B59,Applications!$A$5:$A$600,0)),IF(E59="Secondary",INDEX(Applications!$J$5:$J$600,MATCH(B59,Applications!$A$5:$A$600,0)),INDEX(Applications!$K$5:$K$600,MATCH(B59,Applications!$A$5:$A$600,0))))=D59,"OK","Not assigned"),"Check ID"))</f>
        <v>OK</v>
      </c>
      <c r="O59" s="7"/>
    </row>
    <row r="60" customFormat="false" ht="15" hidden="false" customHeight="false" outlineLevel="0" collapsed="false">
      <c r="A60" s="35" t="s">
        <v>1454</v>
      </c>
      <c r="B60" s="35" t="s">
        <v>1081</v>
      </c>
      <c r="C60" s="37" t="str">
        <f aca="false">IF(B60="","",IFERROR(INDEX(Applications!$B$5:$B$600,MATCH(B60,Applications!$A$5:$A$600,0)),"Application ID not found"))</f>
        <v>Utrecht Schools Nutrition Fund</v>
      </c>
      <c r="D60" s="35" t="s">
        <v>88</v>
      </c>
      <c r="E60" s="35" t="s">
        <v>80</v>
      </c>
      <c r="F60" s="36" t="n">
        <v>45937</v>
      </c>
      <c r="G60" s="35" t="n">
        <v>3</v>
      </c>
      <c r="H60" s="35" t="n">
        <v>3</v>
      </c>
      <c r="I60" s="35" t="n">
        <v>4</v>
      </c>
      <c r="J60" s="35" t="n">
        <v>3</v>
      </c>
      <c r="K60" s="35" t="n">
        <v>4</v>
      </c>
      <c r="L60" s="35" t="n">
        <v>3</v>
      </c>
      <c r="M60" s="50" t="n">
        <f aca="false">IF(COUNT(G60:L60)&lt;6,"",ROUND((G60*Rubric!$D$5+H60*Rubric!$D$6+I60*Rubric!$D$7+J60*Rubric!$D$8+K60*Rubric!$D$9+L60*Rubric!$D$10)/5*100,1))</f>
        <v>66</v>
      </c>
      <c r="N60" s="37" t="str">
        <f aca="false">IF(OR(B60="",D60=""),"",IFERROR(IF(IF(E60="Primary",INDEX(Applications!$I$5:$I$600,MATCH(B60,Applications!$A$5:$A$600,0)),IF(E60="Secondary",INDEX(Applications!$J$5:$J$600,MATCH(B60,Applications!$A$5:$A$600,0)),INDEX(Applications!$K$5:$K$600,MATCH(B60,Applications!$A$5:$A$600,0))))=D60,"OK","Not assigned"),"Check ID"))</f>
        <v>OK</v>
      </c>
      <c r="O60" s="7"/>
    </row>
    <row r="61" customFormat="false" ht="15" hidden="false" customHeight="false" outlineLevel="0" collapsed="false">
      <c r="A61" s="35" t="s">
        <v>1455</v>
      </c>
      <c r="B61" s="35" t="s">
        <v>743</v>
      </c>
      <c r="C61" s="37" t="str">
        <f aca="false">IF(B61="","",IFERROR(INDEX(Applications!$B$5:$B$600,MATCH(B61,Applications!$A$5:$A$600,0)),"Application ID not found"))</f>
        <v>Stonebridge Schools Nutrition Fund</v>
      </c>
      <c r="D61" s="35" t="s">
        <v>88</v>
      </c>
      <c r="E61" s="35" t="s">
        <v>80</v>
      </c>
      <c r="F61" s="36" t="n">
        <v>45937</v>
      </c>
      <c r="G61" s="35" t="n">
        <v>3</v>
      </c>
      <c r="H61" s="35" t="n">
        <v>4</v>
      </c>
      <c r="I61" s="35" t="n">
        <v>3</v>
      </c>
      <c r="J61" s="35" t="n">
        <v>3</v>
      </c>
      <c r="K61" s="35" t="n">
        <v>3</v>
      </c>
      <c r="L61" s="35" t="n">
        <v>4</v>
      </c>
      <c r="M61" s="50" t="n">
        <f aca="false">IF(COUNT(G61:L61)&lt;6,"",ROUND((G61*Rubric!$D$5+H61*Rubric!$D$6+I61*Rubric!$D$7+J61*Rubric!$D$8+K61*Rubric!$D$9+L61*Rubric!$D$10)/5*100,1))</f>
        <v>66</v>
      </c>
      <c r="N61" s="37" t="str">
        <f aca="false">IF(OR(B61="",D61=""),"",IFERROR(IF(IF(E61="Primary",INDEX(Applications!$I$5:$I$600,MATCH(B61,Applications!$A$5:$A$600,0)),IF(E61="Secondary",INDEX(Applications!$J$5:$J$600,MATCH(B61,Applications!$A$5:$A$600,0)),INDEX(Applications!$K$5:$K$600,MATCH(B61,Applications!$A$5:$A$600,0))))=D61,"OK","Not assigned"),"Check ID"))</f>
        <v>OK</v>
      </c>
      <c r="O61" s="7"/>
    </row>
    <row r="62" customFormat="false" ht="15" hidden="false" customHeight="false" outlineLevel="0" collapsed="false">
      <c r="A62" s="35" t="s">
        <v>1456</v>
      </c>
      <c r="B62" s="35" t="s">
        <v>1245</v>
      </c>
      <c r="C62" s="37" t="str">
        <f aca="false">IF(B62="","",IFERROR(INDEX(Applications!$B$5:$B$600,MATCH(B62,Applications!$A$5:$A$600,0)),"Application ID not found"))</f>
        <v>Oak Hollow Pantry Network</v>
      </c>
      <c r="D62" s="35" t="s">
        <v>91</v>
      </c>
      <c r="E62" s="35" t="s">
        <v>83</v>
      </c>
      <c r="F62" s="36" t="n">
        <v>45937</v>
      </c>
      <c r="G62" s="35" t="n">
        <v>2</v>
      </c>
      <c r="H62" s="35" t="n">
        <v>2</v>
      </c>
      <c r="I62" s="35" t="n">
        <v>3</v>
      </c>
      <c r="J62" s="35" t="n">
        <v>2</v>
      </c>
      <c r="K62" s="35" t="n">
        <v>2</v>
      </c>
      <c r="L62" s="35" t="n">
        <v>3</v>
      </c>
      <c r="M62" s="50" t="n">
        <f aca="false">IF(COUNT(G62:L62)&lt;6,"",ROUND((G62*Rubric!$D$5+H62*Rubric!$D$6+I62*Rubric!$D$7+J62*Rubric!$D$8+K62*Rubric!$D$9+L62*Rubric!$D$10)/5*100,1))</f>
        <v>46</v>
      </c>
      <c r="N62" s="37" t="str">
        <f aca="false">IF(OR(B62="",D62=""),"",IFERROR(IF(IF(E62="Primary",INDEX(Applications!$I$5:$I$600,MATCH(B62,Applications!$A$5:$A$600,0)),IF(E62="Secondary",INDEX(Applications!$J$5:$J$600,MATCH(B62,Applications!$A$5:$A$600,0)),INDEX(Applications!$K$5:$K$600,MATCH(B62,Applications!$A$5:$A$600,0))))=D62,"OK","Not assigned"),"Check ID"))</f>
        <v>OK</v>
      </c>
      <c r="O62" s="7"/>
    </row>
    <row r="63" customFormat="false" ht="15" hidden="false" customHeight="false" outlineLevel="0" collapsed="false">
      <c r="A63" s="35" t="s">
        <v>1457</v>
      </c>
      <c r="B63" s="35" t="s">
        <v>709</v>
      </c>
      <c r="C63" s="37" t="str">
        <f aca="false">IF(B63="","",IFERROR(INDEX(Applications!$B$5:$B$600,MATCH(B63,Applications!$A$5:$A$600,0)),"Application ID not found"))</f>
        <v>Harbor Seed Library</v>
      </c>
      <c r="D63" s="35" t="s">
        <v>91</v>
      </c>
      <c r="E63" s="35" t="s">
        <v>80</v>
      </c>
      <c r="F63" s="36" t="n">
        <v>45937</v>
      </c>
      <c r="G63" s="35" t="n">
        <v>4</v>
      </c>
      <c r="H63" s="35" t="n">
        <v>5</v>
      </c>
      <c r="I63" s="35" t="n">
        <v>4</v>
      </c>
      <c r="J63" s="35" t="n">
        <v>5</v>
      </c>
      <c r="K63" s="35" t="n">
        <v>5</v>
      </c>
      <c r="L63" s="35" t="n">
        <v>4</v>
      </c>
      <c r="M63" s="50" t="n">
        <f aca="false">IF(COUNT(G63:L63)&lt;6,"",ROUND((G63*Rubric!$D$5+H63*Rubric!$D$6+I63*Rubric!$D$7+J63*Rubric!$D$8+K63*Rubric!$D$9+L63*Rubric!$D$10)/5*100,1))</f>
        <v>89</v>
      </c>
      <c r="N63" s="37" t="str">
        <f aca="false">IF(OR(B63="",D63=""),"",IFERROR(IF(IF(E63="Primary",INDEX(Applications!$I$5:$I$600,MATCH(B63,Applications!$A$5:$A$600,0)),IF(E63="Secondary",INDEX(Applications!$J$5:$J$600,MATCH(B63,Applications!$A$5:$A$600,0)),INDEX(Applications!$K$5:$K$600,MATCH(B63,Applications!$A$5:$A$600,0))))=D63,"OK","Not assigned"),"Check ID"))</f>
        <v>OK</v>
      </c>
      <c r="O63" s="7"/>
    </row>
    <row r="64" customFormat="false" ht="15" hidden="false" customHeight="false" outlineLevel="0" collapsed="false">
      <c r="A64" s="35" t="s">
        <v>1458</v>
      </c>
      <c r="B64" s="35" t="s">
        <v>1129</v>
      </c>
      <c r="C64" s="37" t="str">
        <f aca="false">IF(B64="","",IFERROR(INDEX(Applications!$B$5:$B$600,MATCH(B64,Applications!$A$5:$A$600,0)),"Application ID not found"))</f>
        <v>Halifax Schools Nutrition Fund</v>
      </c>
      <c r="D64" s="35" t="s">
        <v>91</v>
      </c>
      <c r="E64" s="35" t="s">
        <v>83</v>
      </c>
      <c r="F64" s="36" t="n">
        <v>45937</v>
      </c>
      <c r="G64" s="35" t="n">
        <v>4</v>
      </c>
      <c r="H64" s="35" t="n">
        <v>4</v>
      </c>
      <c r="I64" s="35" t="n">
        <v>4</v>
      </c>
      <c r="J64" s="35" t="n">
        <v>4</v>
      </c>
      <c r="K64" s="35" t="n">
        <v>4</v>
      </c>
      <c r="L64" s="35" t="n">
        <v>4</v>
      </c>
      <c r="M64" s="50" t="n">
        <f aca="false">IF(COUNT(G64:L64)&lt;6,"",ROUND((G64*Rubric!$D$5+H64*Rubric!$D$6+I64*Rubric!$D$7+J64*Rubric!$D$8+K64*Rubric!$D$9+L64*Rubric!$D$10)/5*100,1))</f>
        <v>80</v>
      </c>
      <c r="N64" s="37" t="str">
        <f aca="false">IF(OR(B64="",D64=""),"",IFERROR(IF(IF(E64="Primary",INDEX(Applications!$I$5:$I$600,MATCH(B64,Applications!$A$5:$A$600,0)),IF(E64="Secondary",INDEX(Applications!$J$5:$J$600,MATCH(B64,Applications!$A$5:$A$600,0)),INDEX(Applications!$K$5:$K$600,MATCH(B64,Applications!$A$5:$A$600,0))))=D64,"OK","Not assigned"),"Check ID"))</f>
        <v>OK</v>
      </c>
      <c r="O64" s="7" t="s">
        <v>1402</v>
      </c>
    </row>
    <row r="65" customFormat="false" ht="15" hidden="false" customHeight="false" outlineLevel="0" collapsed="false">
      <c r="A65" s="35" t="s">
        <v>1459</v>
      </c>
      <c r="B65" s="35" t="s">
        <v>301</v>
      </c>
      <c r="C65" s="37" t="str">
        <f aca="false">IF(B65="","",IFERROR(INDEX(Applications!$B$5:$B$600,MATCH(B65,Applications!$A$5:$A$600,0)),"Application ID not found"))</f>
        <v>Fairmount Food Bank</v>
      </c>
      <c r="D65" s="35" t="s">
        <v>91</v>
      </c>
      <c r="E65" s="35" t="s">
        <v>80</v>
      </c>
      <c r="F65" s="36" t="n">
        <v>45937</v>
      </c>
      <c r="G65" s="35" t="n">
        <v>3</v>
      </c>
      <c r="H65" s="35" t="n">
        <v>2</v>
      </c>
      <c r="I65" s="35" t="n">
        <v>3</v>
      </c>
      <c r="J65" s="35" t="n">
        <v>3</v>
      </c>
      <c r="K65" s="35" t="n">
        <v>3</v>
      </c>
      <c r="L65" s="35" t="n">
        <v>3</v>
      </c>
      <c r="M65" s="50" t="n">
        <f aca="false">IF(COUNT(G65:L65)&lt;6,"",ROUND((G65*Rubric!$D$5+H65*Rubric!$D$6+I65*Rubric!$D$7+J65*Rubric!$D$8+K65*Rubric!$D$9+L65*Rubric!$D$10)/5*100,1))</f>
        <v>56</v>
      </c>
      <c r="N65" s="37" t="str">
        <f aca="false">IF(OR(B65="",D65=""),"",IFERROR(IF(IF(E65="Primary",INDEX(Applications!$I$5:$I$600,MATCH(B65,Applications!$A$5:$A$600,0)),IF(E65="Secondary",INDEX(Applications!$J$5:$J$600,MATCH(B65,Applications!$A$5:$A$600,0)),INDEX(Applications!$K$5:$K$600,MATCH(B65,Applications!$A$5:$A$600,0))))=D65,"OK","Not assigned"),"Check ID"))</f>
        <v>OK</v>
      </c>
      <c r="O65" s="7"/>
    </row>
    <row r="66" customFormat="false" ht="15" hidden="false" customHeight="false" outlineLevel="0" collapsed="false">
      <c r="A66" s="35" t="s">
        <v>1460</v>
      </c>
      <c r="B66" s="35" t="s">
        <v>1125</v>
      </c>
      <c r="C66" s="37" t="str">
        <f aca="false">IF(B66="","",IFERROR(INDEX(Applications!$B$5:$B$600,MATCH(B66,Applications!$A$5:$A$600,0)),"Application ID not found"))</f>
        <v>Harbor Food Shelf</v>
      </c>
      <c r="D66" s="35" t="s">
        <v>91</v>
      </c>
      <c r="E66" s="35" t="s">
        <v>80</v>
      </c>
      <c r="F66" s="36" t="n">
        <v>45937</v>
      </c>
      <c r="G66" s="35" t="n">
        <v>4</v>
      </c>
      <c r="H66" s="35" t="n">
        <v>4</v>
      </c>
      <c r="I66" s="35" t="n">
        <v>4</v>
      </c>
      <c r="J66" s="35" t="n">
        <v>5</v>
      </c>
      <c r="K66" s="35" t="n">
        <v>5</v>
      </c>
      <c r="L66" s="35" t="n">
        <v>4</v>
      </c>
      <c r="M66" s="50" t="n">
        <f aca="false">IF(COUNT(G66:L66)&lt;6,"",ROUND((G66*Rubric!$D$5+H66*Rubric!$D$6+I66*Rubric!$D$7+J66*Rubric!$D$8+K66*Rubric!$D$9+L66*Rubric!$D$10)/5*100,1))</f>
        <v>85</v>
      </c>
      <c r="N66" s="37" t="str">
        <f aca="false">IF(OR(B66="",D66=""),"",IFERROR(IF(IF(E66="Primary",INDEX(Applications!$I$5:$I$600,MATCH(B66,Applications!$A$5:$A$600,0)),IF(E66="Secondary",INDEX(Applications!$J$5:$J$600,MATCH(B66,Applications!$A$5:$A$600,0)),INDEX(Applications!$K$5:$K$600,MATCH(B66,Applications!$A$5:$A$600,0))))=D66,"OK","Not assigned"),"Check ID"))</f>
        <v>OK</v>
      </c>
      <c r="O66" s="7"/>
    </row>
    <row r="67" customFormat="false" ht="15" hidden="false" customHeight="false" outlineLevel="0" collapsed="false">
      <c r="A67" s="35" t="s">
        <v>1461</v>
      </c>
      <c r="B67" s="35" t="s">
        <v>1071</v>
      </c>
      <c r="C67" s="37" t="str">
        <f aca="false">IF(B67="","",IFERROR(INDEX(Applications!$B$5:$B$600,MATCH(B67,Applications!$A$5:$A$600,0)),"Application ID not found"))</f>
        <v>Southfield Community Kitchen</v>
      </c>
      <c r="D67" s="35" t="s">
        <v>91</v>
      </c>
      <c r="E67" s="35" t="s">
        <v>80</v>
      </c>
      <c r="F67" s="36" t="n">
        <v>45937</v>
      </c>
      <c r="G67" s="35" t="n">
        <v>3</v>
      </c>
      <c r="H67" s="35" t="n">
        <v>3</v>
      </c>
      <c r="I67" s="35" t="n">
        <v>2</v>
      </c>
      <c r="J67" s="35" t="n">
        <v>2</v>
      </c>
      <c r="K67" s="35" t="n">
        <v>2</v>
      </c>
      <c r="L67" s="35" t="n">
        <v>3</v>
      </c>
      <c r="M67" s="50" t="n">
        <f aca="false">IF(COUNT(G67:L67)&lt;6,"",ROUND((G67*Rubric!$D$5+H67*Rubric!$D$6+I67*Rubric!$D$7+J67*Rubric!$D$8+K67*Rubric!$D$9+L67*Rubric!$D$10)/5*100,1))</f>
        <v>51</v>
      </c>
      <c r="N67" s="37" t="str">
        <f aca="false">IF(OR(B67="",D67=""),"",IFERROR(IF(IF(E67="Primary",INDEX(Applications!$I$5:$I$600,MATCH(B67,Applications!$A$5:$A$600,0)),IF(E67="Secondary",INDEX(Applications!$J$5:$J$600,MATCH(B67,Applications!$A$5:$A$600,0)),INDEX(Applications!$K$5:$K$600,MATCH(B67,Applications!$A$5:$A$600,0))))=D67,"OK","Not assigned"),"Check ID"))</f>
        <v>OK</v>
      </c>
      <c r="O67" s="7"/>
    </row>
    <row r="68" customFormat="false" ht="15" hidden="false" customHeight="false" outlineLevel="0" collapsed="false">
      <c r="A68" s="35" t="s">
        <v>1462</v>
      </c>
      <c r="B68" s="35" t="s">
        <v>555</v>
      </c>
      <c r="C68" s="37" t="str">
        <f aca="false">IF(B68="","",IFERROR(INDEX(Applications!$B$5:$B$600,MATCH(B68,Applications!$A$5:$A$600,0)),"Application ID not found"))</f>
        <v>Accra Youth Food Lab</v>
      </c>
      <c r="D68" s="35" t="s">
        <v>85</v>
      </c>
      <c r="E68" s="35" t="s">
        <v>83</v>
      </c>
      <c r="F68" s="36" t="n">
        <v>45937</v>
      </c>
      <c r="G68" s="35" t="n">
        <v>4</v>
      </c>
      <c r="H68" s="35" t="n">
        <v>4</v>
      </c>
      <c r="I68" s="35" t="n">
        <v>4</v>
      </c>
      <c r="J68" s="35" t="n">
        <v>3</v>
      </c>
      <c r="K68" s="35" t="n">
        <v>4</v>
      </c>
      <c r="L68" s="35" t="n">
        <v>4</v>
      </c>
      <c r="M68" s="50" t="n">
        <f aca="false">IF(COUNT(G68:L68)&lt;6,"",ROUND((G68*Rubric!$D$5+H68*Rubric!$D$6+I68*Rubric!$D$7+J68*Rubric!$D$8+K68*Rubric!$D$9+L68*Rubric!$D$10)/5*100,1))</f>
        <v>77</v>
      </c>
      <c r="N68" s="37" t="str">
        <f aca="false">IF(OR(B68="",D68=""),"",IFERROR(IF(IF(E68="Primary",INDEX(Applications!$I$5:$I$600,MATCH(B68,Applications!$A$5:$A$600,0)),IF(E68="Secondary",INDEX(Applications!$J$5:$J$600,MATCH(B68,Applications!$A$5:$A$600,0)),INDEX(Applications!$K$5:$K$600,MATCH(B68,Applications!$A$5:$A$600,0))))=D68,"OK","Not assigned"),"Check ID"))</f>
        <v>OK</v>
      </c>
      <c r="O68" s="7"/>
    </row>
    <row r="69" customFormat="false" ht="15" hidden="false" customHeight="false" outlineLevel="0" collapsed="false">
      <c r="A69" s="35" t="s">
        <v>1463</v>
      </c>
      <c r="B69" s="35" t="s">
        <v>188</v>
      </c>
      <c r="C69" s="37" t="str">
        <f aca="false">IF(B69="","",IFERROR(INDEX(Applications!$B$5:$B$600,MATCH(B69,Applications!$A$5:$A$600,0)),"Application ID not found"))</f>
        <v>Prairie Schools Nutrition Fund</v>
      </c>
      <c r="D69" s="35" t="s">
        <v>85</v>
      </c>
      <c r="E69" s="35" t="s">
        <v>80</v>
      </c>
      <c r="F69" s="36" t="n">
        <v>45937</v>
      </c>
      <c r="G69" s="35" t="n">
        <v>4</v>
      </c>
      <c r="H69" s="35" t="n">
        <v>4</v>
      </c>
      <c r="I69" s="35" t="n">
        <v>4</v>
      </c>
      <c r="J69" s="35" t="n">
        <v>5</v>
      </c>
      <c r="K69" s="35" t="n">
        <v>3</v>
      </c>
      <c r="L69" s="35" t="n">
        <v>4</v>
      </c>
      <c r="M69" s="50" t="n">
        <f aca="false">IF(COUNT(G69:L69)&lt;6,"",ROUND((G69*Rubric!$D$5+H69*Rubric!$D$6+I69*Rubric!$D$7+J69*Rubric!$D$8+K69*Rubric!$D$9+L69*Rubric!$D$10)/5*100,1))</f>
        <v>81</v>
      </c>
      <c r="N69" s="37" t="str">
        <f aca="false">IF(OR(B69="",D69=""),"",IFERROR(IF(IF(E69="Primary",INDEX(Applications!$I$5:$I$600,MATCH(B69,Applications!$A$5:$A$600,0)),IF(E69="Secondary",INDEX(Applications!$J$5:$J$600,MATCH(B69,Applications!$A$5:$A$600,0)),INDEX(Applications!$K$5:$K$600,MATCH(B69,Applications!$A$5:$A$600,0))))=D69,"OK","Not assigned"),"Check ID"))</f>
        <v>OK</v>
      </c>
      <c r="O69" s="7"/>
    </row>
    <row r="70" customFormat="false" ht="15" hidden="false" customHeight="false" outlineLevel="0" collapsed="false">
      <c r="A70" s="35" t="s">
        <v>1464</v>
      </c>
      <c r="B70" s="35" t="s">
        <v>591</v>
      </c>
      <c r="C70" s="37" t="str">
        <f aca="false">IF(B70="","",IFERROR(INDEX(Applications!$B$5:$B$600,MATCH(B70,Applications!$A$5:$A$600,0)),"Application ID not found"))</f>
        <v>Northside Kitchen Project</v>
      </c>
      <c r="D70" s="35" t="s">
        <v>85</v>
      </c>
      <c r="E70" s="35" t="s">
        <v>83</v>
      </c>
      <c r="F70" s="36" t="n">
        <v>45937</v>
      </c>
      <c r="G70" s="35" t="n">
        <v>4</v>
      </c>
      <c r="H70" s="35" t="n">
        <v>4</v>
      </c>
      <c r="I70" s="35" t="n">
        <v>3</v>
      </c>
      <c r="J70" s="35" t="n">
        <v>3</v>
      </c>
      <c r="K70" s="35" t="n">
        <v>4</v>
      </c>
      <c r="L70" s="35" t="n">
        <v>3</v>
      </c>
      <c r="M70" s="50" t="n">
        <f aca="false">IF(COUNT(G70:L70)&lt;6,"",ROUND((G70*Rubric!$D$5+H70*Rubric!$D$6+I70*Rubric!$D$7+J70*Rubric!$D$8+K70*Rubric!$D$9+L70*Rubric!$D$10)/5*100,1))</f>
        <v>71</v>
      </c>
      <c r="N70" s="37" t="str">
        <f aca="false">IF(OR(B70="",D70=""),"",IFERROR(IF(IF(E70="Primary",INDEX(Applications!$I$5:$I$600,MATCH(B70,Applications!$A$5:$A$600,0)),IF(E70="Secondary",INDEX(Applications!$J$5:$J$600,MATCH(B70,Applications!$A$5:$A$600,0)),INDEX(Applications!$K$5:$K$600,MATCH(B70,Applications!$A$5:$A$600,0))))=D70,"OK","Not assigned"),"Check ID"))</f>
        <v>OK</v>
      </c>
      <c r="O70" s="7"/>
    </row>
    <row r="71" customFormat="false" ht="15" hidden="false" customHeight="false" outlineLevel="0" collapsed="false">
      <c r="A71" s="35" t="s">
        <v>1465</v>
      </c>
      <c r="B71" s="35" t="s">
        <v>667</v>
      </c>
      <c r="C71" s="37" t="str">
        <f aca="false">IF(B71="","",IFERROR(INDEX(Applications!$B$5:$B$600,MATCH(B71,Applications!$A$5:$A$600,0)),"Application ID not found"))</f>
        <v>Puebla Community Kitchen</v>
      </c>
      <c r="D71" s="35" t="s">
        <v>85</v>
      </c>
      <c r="E71" s="35" t="s">
        <v>83</v>
      </c>
      <c r="F71" s="36" t="n">
        <v>45937</v>
      </c>
      <c r="G71" s="35" t="n">
        <v>3</v>
      </c>
      <c r="H71" s="35" t="n">
        <v>3</v>
      </c>
      <c r="I71" s="35" t="n">
        <v>3</v>
      </c>
      <c r="J71" s="35" t="n">
        <v>4</v>
      </c>
      <c r="K71" s="35" t="n">
        <v>4</v>
      </c>
      <c r="L71" s="35" t="n">
        <v>3</v>
      </c>
      <c r="M71" s="50" t="n">
        <f aca="false">IF(COUNT(G71:L71)&lt;6,"",ROUND((G71*Rubric!$D$5+H71*Rubric!$D$6+I71*Rubric!$D$7+J71*Rubric!$D$8+K71*Rubric!$D$9+L71*Rubric!$D$10)/5*100,1))</f>
        <v>65</v>
      </c>
      <c r="N71" s="37" t="str">
        <f aca="false">IF(OR(B71="",D71=""),"",IFERROR(IF(IF(E71="Primary",INDEX(Applications!$I$5:$I$600,MATCH(B71,Applications!$A$5:$A$600,0)),IF(E71="Secondary",INDEX(Applications!$J$5:$J$600,MATCH(B71,Applications!$A$5:$A$600,0)),INDEX(Applications!$K$5:$K$600,MATCH(B71,Applications!$A$5:$A$600,0))))=D71,"OK","Not assigned"),"Check ID"))</f>
        <v>OK</v>
      </c>
      <c r="O71" s="7"/>
    </row>
    <row r="72" customFormat="false" ht="15" hidden="false" customHeight="false" outlineLevel="0" collapsed="false">
      <c r="A72" s="35" t="s">
        <v>1466</v>
      </c>
      <c r="B72" s="35" t="s">
        <v>1371</v>
      </c>
      <c r="C72" s="37" t="str">
        <f aca="false">IF(B72="","",IFERROR(INDEX(Applications!$B$5:$B$600,MATCH(B72,Applications!$A$5:$A$600,0)),"Application ID not found"))</f>
        <v>Marigold Kitchen Project</v>
      </c>
      <c r="D72" s="35" t="s">
        <v>85</v>
      </c>
      <c r="E72" s="35" t="s">
        <v>83</v>
      </c>
      <c r="F72" s="36" t="n">
        <v>45937</v>
      </c>
      <c r="G72" s="35" t="n">
        <v>4</v>
      </c>
      <c r="H72" s="35" t="n">
        <v>5</v>
      </c>
      <c r="I72" s="35" t="n">
        <v>4</v>
      </c>
      <c r="J72" s="35" t="n">
        <v>5</v>
      </c>
      <c r="K72" s="35" t="n">
        <v>4</v>
      </c>
      <c r="L72" s="35" t="n">
        <v>4</v>
      </c>
      <c r="M72" s="50" t="n">
        <f aca="false">IF(COUNT(G72:L72)&lt;6,"",ROUND((G72*Rubric!$D$5+H72*Rubric!$D$6+I72*Rubric!$D$7+J72*Rubric!$D$8+K72*Rubric!$D$9+L72*Rubric!$D$10)/5*100,1))</f>
        <v>87</v>
      </c>
      <c r="N72" s="37" t="str">
        <f aca="false">IF(OR(B72="",D72=""),"",IFERROR(IF(IF(E72="Primary",INDEX(Applications!$I$5:$I$600,MATCH(B72,Applications!$A$5:$A$600,0)),IF(E72="Secondary",INDEX(Applications!$J$5:$J$600,MATCH(B72,Applications!$A$5:$A$600,0)),INDEX(Applications!$K$5:$K$600,MATCH(B72,Applications!$A$5:$A$600,0))))=D72,"OK","Not assigned"),"Check ID"))</f>
        <v>OK</v>
      </c>
      <c r="O72" s="7"/>
    </row>
    <row r="73" customFormat="false" ht="15" hidden="false" customHeight="false" outlineLevel="0" collapsed="false">
      <c r="A73" s="35" t="s">
        <v>1467</v>
      </c>
      <c r="B73" s="35" t="s">
        <v>901</v>
      </c>
      <c r="C73" s="37" t="str">
        <f aca="false">IF(B73="","",IFERROR(INDEX(Applications!$B$5:$B$600,MATCH(B73,Applications!$A$5:$A$600,0)),"Application ID not found"))</f>
        <v>Kestrel Food Bank</v>
      </c>
      <c r="D73" s="35" t="s">
        <v>85</v>
      </c>
      <c r="E73" s="35" t="s">
        <v>80</v>
      </c>
      <c r="F73" s="36" t="n">
        <v>45937</v>
      </c>
      <c r="G73" s="35" t="n">
        <v>5</v>
      </c>
      <c r="H73" s="35" t="n">
        <v>4</v>
      </c>
      <c r="I73" s="35" t="n">
        <v>3</v>
      </c>
      <c r="J73" s="35" t="n">
        <v>4</v>
      </c>
      <c r="K73" s="35" t="n">
        <v>4</v>
      </c>
      <c r="L73" s="35" t="n">
        <v>4</v>
      </c>
      <c r="M73" s="50" t="n">
        <f aca="false">IF(COUNT(G73:L73)&lt;6,"",ROUND((G73*Rubric!$D$5+H73*Rubric!$D$6+I73*Rubric!$D$7+J73*Rubric!$D$8+K73*Rubric!$D$9+L73*Rubric!$D$10)/5*100,1))</f>
        <v>81</v>
      </c>
      <c r="N73" s="37" t="str">
        <f aca="false">IF(OR(B73="",D73=""),"",IFERROR(IF(IF(E73="Primary",INDEX(Applications!$I$5:$I$600,MATCH(B73,Applications!$A$5:$A$600,0)),IF(E73="Secondary",INDEX(Applications!$J$5:$J$600,MATCH(B73,Applications!$A$5:$A$600,0)),INDEX(Applications!$K$5:$K$600,MATCH(B73,Applications!$A$5:$A$600,0))))=D73,"OK","Not assigned"),"Check ID"))</f>
        <v>OK</v>
      </c>
      <c r="O73" s="7"/>
    </row>
    <row r="74" customFormat="false" ht="15" hidden="false" customHeight="false" outlineLevel="0" collapsed="false">
      <c r="A74" s="35" t="s">
        <v>1468</v>
      </c>
      <c r="B74" s="35" t="s">
        <v>893</v>
      </c>
      <c r="C74" s="37" t="str">
        <f aca="false">IF(B74="","",IFERROR(INDEX(Applications!$B$5:$B$600,MATCH(B74,Applications!$A$5:$A$600,0)),"Application ID not found"))</f>
        <v>Detroit Schools Nutrition Fund</v>
      </c>
      <c r="D74" s="35" t="s">
        <v>85</v>
      </c>
      <c r="E74" s="35" t="s">
        <v>83</v>
      </c>
      <c r="F74" s="36" t="n">
        <v>45937</v>
      </c>
      <c r="G74" s="35" t="n">
        <v>3</v>
      </c>
      <c r="H74" s="35" t="n">
        <v>3</v>
      </c>
      <c r="I74" s="35" t="n">
        <v>3</v>
      </c>
      <c r="J74" s="35" t="n">
        <v>3</v>
      </c>
      <c r="K74" s="35" t="n">
        <v>3</v>
      </c>
      <c r="L74" s="35" t="n">
        <v>3</v>
      </c>
      <c r="M74" s="50" t="n">
        <f aca="false">IF(COUNT(G74:L74)&lt;6,"",ROUND((G74*Rubric!$D$5+H74*Rubric!$D$6+I74*Rubric!$D$7+J74*Rubric!$D$8+K74*Rubric!$D$9+L74*Rubric!$D$10)/5*100,1))</f>
        <v>60</v>
      </c>
      <c r="N74" s="37" t="str">
        <f aca="false">IF(OR(B74="",D74=""),"",IFERROR(IF(IF(E74="Primary",INDEX(Applications!$I$5:$I$600,MATCH(B74,Applications!$A$5:$A$600,0)),IF(E74="Secondary",INDEX(Applications!$J$5:$J$600,MATCH(B74,Applications!$A$5:$A$600,0)),INDEX(Applications!$K$5:$K$600,MATCH(B74,Applications!$A$5:$A$600,0))))=D74,"OK","Not assigned"),"Check ID"))</f>
        <v>OK</v>
      </c>
      <c r="O74" s="7"/>
    </row>
    <row r="75" customFormat="false" ht="15" hidden="false" customHeight="false" outlineLevel="0" collapsed="false">
      <c r="A75" s="35" t="s">
        <v>1469</v>
      </c>
      <c r="B75" s="35" t="s">
        <v>504</v>
      </c>
      <c r="C75" s="37" t="str">
        <f aca="false">IF(B75="","",IFERROR(INDEX(Applications!$B$5:$B$600,MATCH(B75,Applications!$A$5:$A$600,0)),"Application ID not found"))</f>
        <v>Ironwood Kitchen Project</v>
      </c>
      <c r="D75" s="35" t="s">
        <v>85</v>
      </c>
      <c r="E75" s="35" t="s">
        <v>80</v>
      </c>
      <c r="F75" s="36" t="n">
        <v>45937</v>
      </c>
      <c r="G75" s="35" t="n">
        <v>3</v>
      </c>
      <c r="H75" s="35" t="n">
        <v>3</v>
      </c>
      <c r="I75" s="35" t="n">
        <v>3</v>
      </c>
      <c r="J75" s="35" t="n">
        <v>3</v>
      </c>
      <c r="K75" s="35" t="n">
        <v>3</v>
      </c>
      <c r="L75" s="35" t="n">
        <v>2</v>
      </c>
      <c r="M75" s="50" t="n">
        <f aca="false">IF(COUNT(G75:L75)&lt;6,"",ROUND((G75*Rubric!$D$5+H75*Rubric!$D$6+I75*Rubric!$D$7+J75*Rubric!$D$8+K75*Rubric!$D$9+L75*Rubric!$D$10)/5*100,1))</f>
        <v>58</v>
      </c>
      <c r="N75" s="37" t="str">
        <f aca="false">IF(OR(B75="",D75=""),"",IFERROR(IF(IF(E75="Primary",INDEX(Applications!$I$5:$I$600,MATCH(B75,Applications!$A$5:$A$600,0)),IF(E75="Secondary",INDEX(Applications!$J$5:$J$600,MATCH(B75,Applications!$A$5:$A$600,0)),INDEX(Applications!$K$5:$K$600,MATCH(B75,Applications!$A$5:$A$600,0))))=D75,"OK","Not assigned"),"Check ID"))</f>
        <v>OK</v>
      </c>
      <c r="O75" s="7"/>
    </row>
    <row r="76" customFormat="false" ht="15" hidden="false" customHeight="false" outlineLevel="0" collapsed="false">
      <c r="A76" s="35" t="s">
        <v>1470</v>
      </c>
      <c r="B76" s="35" t="s">
        <v>482</v>
      </c>
      <c r="C76" s="37" t="str">
        <f aca="false">IF(B76="","",IFERROR(INDEX(Applications!$B$5:$B$600,MATCH(B76,Applications!$A$5:$A$600,0)),"Application ID not found"))</f>
        <v>Jaipur Food Bank</v>
      </c>
      <c r="D76" s="35" t="s">
        <v>78</v>
      </c>
      <c r="E76" s="35" t="s">
        <v>83</v>
      </c>
      <c r="F76" s="36" t="n">
        <v>45938</v>
      </c>
      <c r="G76" s="35" t="n">
        <v>3</v>
      </c>
      <c r="H76" s="35" t="n">
        <v>3</v>
      </c>
      <c r="I76" s="35" t="n">
        <v>3</v>
      </c>
      <c r="J76" s="35" t="n">
        <v>4</v>
      </c>
      <c r="K76" s="35" t="n">
        <v>3</v>
      </c>
      <c r="L76" s="35" t="n">
        <v>3</v>
      </c>
      <c r="M76" s="50" t="n">
        <f aca="false">IF(COUNT(G76:L76)&lt;6,"",ROUND((G76*Rubric!$D$5+H76*Rubric!$D$6+I76*Rubric!$D$7+J76*Rubric!$D$8+K76*Rubric!$D$9+L76*Rubric!$D$10)/5*100,1))</f>
        <v>63</v>
      </c>
      <c r="N76" s="37" t="str">
        <f aca="false">IF(OR(B76="",D76=""),"",IFERROR(IF(IF(E76="Primary",INDEX(Applications!$I$5:$I$600,MATCH(B76,Applications!$A$5:$A$600,0)),IF(E76="Secondary",INDEX(Applications!$J$5:$J$600,MATCH(B76,Applications!$A$5:$A$600,0)),INDEX(Applications!$K$5:$K$600,MATCH(B76,Applications!$A$5:$A$600,0))))=D76,"OK","Not assigned"),"Check ID"))</f>
        <v>OK</v>
      </c>
      <c r="O76" s="7"/>
    </row>
    <row r="77" customFormat="false" ht="15" hidden="false" customHeight="false" outlineLevel="0" collapsed="false">
      <c r="A77" s="35" t="s">
        <v>1471</v>
      </c>
      <c r="B77" s="35" t="s">
        <v>1375</v>
      </c>
      <c r="C77" s="37" t="str">
        <f aca="false">IF(B77="","",IFERROR(INDEX(Applications!$B$5:$B$600,MATCH(B77,Applications!$A$5:$A$600,0)),"Application ID not found"))</f>
        <v>Kestrel Growers Cooperative</v>
      </c>
      <c r="D77" s="35" t="s">
        <v>78</v>
      </c>
      <c r="E77" s="35" t="s">
        <v>80</v>
      </c>
      <c r="F77" s="36" t="n">
        <v>45938</v>
      </c>
      <c r="G77" s="35" t="n">
        <v>3</v>
      </c>
      <c r="H77" s="35" t="n">
        <v>3</v>
      </c>
      <c r="I77" s="35" t="n">
        <v>3</v>
      </c>
      <c r="J77" s="35" t="n">
        <v>3</v>
      </c>
      <c r="K77" s="35" t="n">
        <v>3</v>
      </c>
      <c r="L77" s="35" t="n">
        <v>3</v>
      </c>
      <c r="M77" s="50" t="n">
        <f aca="false">IF(COUNT(G77:L77)&lt;6,"",ROUND((G77*Rubric!$D$5+H77*Rubric!$D$6+I77*Rubric!$D$7+J77*Rubric!$D$8+K77*Rubric!$D$9+L77*Rubric!$D$10)/5*100,1))</f>
        <v>60</v>
      </c>
      <c r="N77" s="37" t="str">
        <f aca="false">IF(OR(B77="",D77=""),"",IFERROR(IF(IF(E77="Primary",INDEX(Applications!$I$5:$I$600,MATCH(B77,Applications!$A$5:$A$600,0)),IF(E77="Secondary",INDEX(Applications!$J$5:$J$600,MATCH(B77,Applications!$A$5:$A$600,0)),INDEX(Applications!$K$5:$K$600,MATCH(B77,Applications!$A$5:$A$600,0))))=D77,"OK","Not assigned"),"Check ID"))</f>
        <v>OK</v>
      </c>
      <c r="O77" s="7"/>
    </row>
    <row r="78" customFormat="false" ht="15" hidden="false" customHeight="false" outlineLevel="0" collapsed="false">
      <c r="A78" s="35" t="s">
        <v>1472</v>
      </c>
      <c r="B78" s="35" t="s">
        <v>1011</v>
      </c>
      <c r="C78" s="37" t="str">
        <f aca="false">IF(B78="","",IFERROR(INDEX(Applications!$B$5:$B$600,MATCH(B78,Applications!$A$5:$A$600,0)),"Application ID not found"))</f>
        <v>Northside Mobile Market</v>
      </c>
      <c r="D78" s="35" t="s">
        <v>78</v>
      </c>
      <c r="E78" s="35" t="s">
        <v>80</v>
      </c>
      <c r="F78" s="36" t="n">
        <v>45938</v>
      </c>
      <c r="G78" s="35" t="n">
        <v>2</v>
      </c>
      <c r="H78" s="35" t="n">
        <v>2</v>
      </c>
      <c r="I78" s="35" t="n">
        <v>2</v>
      </c>
      <c r="J78" s="35" t="n">
        <v>3</v>
      </c>
      <c r="K78" s="35" t="n">
        <v>3</v>
      </c>
      <c r="L78" s="35" t="n">
        <v>3</v>
      </c>
      <c r="M78" s="50" t="n">
        <f aca="false">IF(COUNT(G78:L78)&lt;6,"",ROUND((G78*Rubric!$D$5+H78*Rubric!$D$6+I78*Rubric!$D$7+J78*Rubric!$D$8+K78*Rubric!$D$9+L78*Rubric!$D$10)/5*100,1))</f>
        <v>47</v>
      </c>
      <c r="N78" s="37" t="str">
        <f aca="false">IF(OR(B78="",D78=""),"",IFERROR(IF(IF(E78="Primary",INDEX(Applications!$I$5:$I$600,MATCH(B78,Applications!$A$5:$A$600,0)),IF(E78="Secondary",INDEX(Applications!$J$5:$J$600,MATCH(B78,Applications!$A$5:$A$600,0)),INDEX(Applications!$K$5:$K$600,MATCH(B78,Applications!$A$5:$A$600,0))))=D78,"OK","Not assigned"),"Check ID"))</f>
        <v>OK</v>
      </c>
      <c r="O78" s="7" t="s">
        <v>1416</v>
      </c>
    </row>
    <row r="79" customFormat="false" ht="15" hidden="false" customHeight="false" outlineLevel="0" collapsed="false">
      <c r="A79" s="35" t="s">
        <v>1473</v>
      </c>
      <c r="B79" s="35" t="s">
        <v>637</v>
      </c>
      <c r="C79" s="37" t="str">
        <f aca="false">IF(B79="","",IFERROR(INDEX(Applications!$B$5:$B$600,MATCH(B79,Applications!$A$5:$A$600,0)),"Application ID not found"))</f>
        <v>Old Town Food Ventures</v>
      </c>
      <c r="D79" s="35" t="s">
        <v>78</v>
      </c>
      <c r="E79" s="35" t="s">
        <v>83</v>
      </c>
      <c r="F79" s="36" t="n">
        <v>45938</v>
      </c>
      <c r="G79" s="35" t="n">
        <v>4</v>
      </c>
      <c r="H79" s="35" t="n">
        <v>3</v>
      </c>
      <c r="I79" s="35" t="n">
        <v>4</v>
      </c>
      <c r="J79" s="35" t="n">
        <v>3</v>
      </c>
      <c r="K79" s="35" t="n">
        <v>3</v>
      </c>
      <c r="L79" s="35" t="n">
        <v>5</v>
      </c>
      <c r="M79" s="50" t="n">
        <f aca="false">IF(COUNT(G79:L79)&lt;6,"",ROUND((G79*Rubric!$D$5+H79*Rubric!$D$6+I79*Rubric!$D$7+J79*Rubric!$D$8+K79*Rubric!$D$9+L79*Rubric!$D$10)/5*100,1))</f>
        <v>73</v>
      </c>
      <c r="N79" s="37" t="str">
        <f aca="false">IF(OR(B79="",D79=""),"",IFERROR(IF(IF(E79="Primary",INDEX(Applications!$I$5:$I$600,MATCH(B79,Applications!$A$5:$A$600,0)),IF(E79="Secondary",INDEX(Applications!$J$5:$J$600,MATCH(B79,Applications!$A$5:$A$600,0)),INDEX(Applications!$K$5:$K$600,MATCH(B79,Applications!$A$5:$A$600,0))))=D79,"OK","Not assigned"),"Check ID"))</f>
        <v>OK</v>
      </c>
      <c r="O79" s="7" t="s">
        <v>1428</v>
      </c>
    </row>
    <row r="80" customFormat="false" ht="15" hidden="false" customHeight="false" outlineLevel="0" collapsed="false">
      <c r="A80" s="35" t="s">
        <v>1474</v>
      </c>
      <c r="B80" s="35" t="s">
        <v>272</v>
      </c>
      <c r="C80" s="37" t="str">
        <f aca="false">IF(B80="","",IFERROR(INDEX(Applications!$B$5:$B$600,MATCH(B80,Applications!$A$5:$A$600,0)),"Application ID not found"))</f>
        <v>Bluestem Pantry Network</v>
      </c>
      <c r="D80" s="35" t="s">
        <v>78</v>
      </c>
      <c r="E80" s="35" t="s">
        <v>80</v>
      </c>
      <c r="F80" s="36" t="n">
        <v>45938</v>
      </c>
      <c r="G80" s="35" t="n">
        <v>3</v>
      </c>
      <c r="H80" s="35" t="n">
        <v>2</v>
      </c>
      <c r="I80" s="35" t="n">
        <v>3</v>
      </c>
      <c r="J80" s="35" t="n">
        <v>3</v>
      </c>
      <c r="K80" s="35" t="n">
        <v>3</v>
      </c>
      <c r="L80" s="35" t="n">
        <v>2</v>
      </c>
      <c r="M80" s="50" t="n">
        <f aca="false">IF(COUNT(G80:L80)&lt;6,"",ROUND((G80*Rubric!$D$5+H80*Rubric!$D$6+I80*Rubric!$D$7+J80*Rubric!$D$8+K80*Rubric!$D$9+L80*Rubric!$D$10)/5*100,1))</f>
        <v>54</v>
      </c>
      <c r="N80" s="37" t="str">
        <f aca="false">IF(OR(B80="",D80=""),"",IFERROR(IF(IF(E80="Primary",INDEX(Applications!$I$5:$I$600,MATCH(B80,Applications!$A$5:$A$600,0)),IF(E80="Secondary",INDEX(Applications!$J$5:$J$600,MATCH(B80,Applications!$A$5:$A$600,0)),INDEX(Applications!$K$5:$K$600,MATCH(B80,Applications!$A$5:$A$600,0))))=D80,"OK","Not assigned"),"Check ID"))</f>
        <v>OK</v>
      </c>
      <c r="O80" s="7"/>
    </row>
    <row r="81" customFormat="false" ht="15" hidden="false" customHeight="false" outlineLevel="0" collapsed="false">
      <c r="A81" s="35" t="s">
        <v>1475</v>
      </c>
      <c r="B81" s="35" t="s">
        <v>1253</v>
      </c>
      <c r="C81" s="37" t="str">
        <f aca="false">IF(B81="","",IFERROR(INDEX(Applications!$B$5:$B$600,MATCH(B81,Applications!$A$5:$A$600,0)),"Application ID not found"))</f>
        <v>Galway Growers Cooperative</v>
      </c>
      <c r="D81" s="35" t="s">
        <v>78</v>
      </c>
      <c r="E81" s="35" t="s">
        <v>80</v>
      </c>
      <c r="F81" s="36" t="n">
        <v>45938</v>
      </c>
      <c r="G81" s="35" t="n">
        <v>3</v>
      </c>
      <c r="H81" s="35" t="n">
        <v>3</v>
      </c>
      <c r="I81" s="35" t="n">
        <v>3</v>
      </c>
      <c r="J81" s="35" t="n">
        <v>3</v>
      </c>
      <c r="K81" s="35" t="n">
        <v>4</v>
      </c>
      <c r="L81" s="35" t="n">
        <v>3</v>
      </c>
      <c r="M81" s="50" t="n">
        <f aca="false">IF(COUNT(G81:L81)&lt;6,"",ROUND((G81*Rubric!$D$5+H81*Rubric!$D$6+I81*Rubric!$D$7+J81*Rubric!$D$8+K81*Rubric!$D$9+L81*Rubric!$D$10)/5*100,1))</f>
        <v>62</v>
      </c>
      <c r="N81" s="37" t="str">
        <f aca="false">IF(OR(B81="",D81=""),"",IFERROR(IF(IF(E81="Primary",INDEX(Applications!$I$5:$I$600,MATCH(B81,Applications!$A$5:$A$600,0)),IF(E81="Secondary",INDEX(Applications!$J$5:$J$600,MATCH(B81,Applications!$A$5:$A$600,0)),INDEX(Applications!$K$5:$K$600,MATCH(B81,Applications!$A$5:$A$600,0))))=D81,"OK","Not assigned"),"Check ID"))</f>
        <v>OK</v>
      </c>
      <c r="O81" s="7"/>
    </row>
    <row r="82" customFormat="false" ht="15" hidden="false" customHeight="false" outlineLevel="0" collapsed="false">
      <c r="A82" s="35" t="s">
        <v>1476</v>
      </c>
      <c r="B82" s="35" t="s">
        <v>286</v>
      </c>
      <c r="C82" s="37" t="str">
        <f aca="false">IF(B82="","",IFERROR(INDEX(Applications!$B$5:$B$600,MATCH(B82,Applications!$A$5:$A$600,0)),"Application ID not found"))</f>
        <v>Toronto Market Gardens</v>
      </c>
      <c r="D82" s="35" t="s">
        <v>78</v>
      </c>
      <c r="E82" s="35" t="s">
        <v>83</v>
      </c>
      <c r="F82" s="36" t="n">
        <v>45938</v>
      </c>
      <c r="G82" s="35" t="n">
        <v>4</v>
      </c>
      <c r="H82" s="35" t="n">
        <v>4</v>
      </c>
      <c r="I82" s="35" t="n">
        <v>3</v>
      </c>
      <c r="J82" s="35" t="n">
        <v>4</v>
      </c>
      <c r="K82" s="35" t="n">
        <v>4</v>
      </c>
      <c r="L82" s="35" t="n">
        <v>3</v>
      </c>
      <c r="M82" s="50" t="n">
        <f aca="false">IF(COUNT(G82:L82)&lt;6,"",ROUND((G82*Rubric!$D$5+H82*Rubric!$D$6+I82*Rubric!$D$7+J82*Rubric!$D$8+K82*Rubric!$D$9+L82*Rubric!$D$10)/5*100,1))</f>
        <v>74</v>
      </c>
      <c r="N82" s="37" t="str">
        <f aca="false">IF(OR(B82="",D82=""),"",IFERROR(IF(IF(E82="Primary",INDEX(Applications!$I$5:$I$600,MATCH(B82,Applications!$A$5:$A$600,0)),IF(E82="Secondary",INDEX(Applications!$J$5:$J$600,MATCH(B82,Applications!$A$5:$A$600,0)),INDEX(Applications!$K$5:$K$600,MATCH(B82,Applications!$A$5:$A$600,0))))=D82,"OK","Not assigned"),"Check ID"))</f>
        <v>OK</v>
      </c>
      <c r="O82" s="7"/>
    </row>
    <row r="83" customFormat="false" ht="15" hidden="false" customHeight="false" outlineLevel="0" collapsed="false">
      <c r="A83" s="35" t="s">
        <v>1477</v>
      </c>
      <c r="B83" s="35" t="s">
        <v>1339</v>
      </c>
      <c r="C83" s="37" t="str">
        <f aca="false">IF(B83="","",IFERROR(INDEX(Applications!$B$5:$B$600,MATCH(B83,Applications!$A$5:$A$600,0)),"Application ID not found"))</f>
        <v>Sunrise Food Shelf</v>
      </c>
      <c r="D83" s="35" t="s">
        <v>78</v>
      </c>
      <c r="E83" s="35" t="s">
        <v>83</v>
      </c>
      <c r="F83" s="36" t="n">
        <v>45938</v>
      </c>
      <c r="G83" s="35" t="n">
        <v>2</v>
      </c>
      <c r="H83" s="35" t="n">
        <v>3</v>
      </c>
      <c r="I83" s="35" t="n">
        <v>3</v>
      </c>
      <c r="J83" s="35" t="n">
        <v>2</v>
      </c>
      <c r="K83" s="35" t="n">
        <v>3</v>
      </c>
      <c r="L83" s="35" t="n">
        <v>2</v>
      </c>
      <c r="M83" s="50" t="n">
        <f aca="false">IF(COUNT(G83:L83)&lt;6,"",ROUND((G83*Rubric!$D$5+H83*Rubric!$D$6+I83*Rubric!$D$7+J83*Rubric!$D$8+K83*Rubric!$D$9+L83*Rubric!$D$10)/5*100,1))</f>
        <v>50</v>
      </c>
      <c r="N83" s="37" t="str">
        <f aca="false">IF(OR(B83="",D83=""),"",IFERROR(IF(IF(E83="Primary",INDEX(Applications!$I$5:$I$600,MATCH(B83,Applications!$A$5:$A$600,0)),IF(E83="Secondary",INDEX(Applications!$J$5:$J$600,MATCH(B83,Applications!$A$5:$A$600,0)),INDEX(Applications!$K$5:$K$600,MATCH(B83,Applications!$A$5:$A$600,0))))=D83,"OK","Not assigned"),"Check ID"))</f>
        <v>OK</v>
      </c>
      <c r="O83" s="7"/>
    </row>
    <row r="84" customFormat="false" ht="15" hidden="false" customHeight="false" outlineLevel="0" collapsed="false">
      <c r="A84" s="35" t="s">
        <v>1478</v>
      </c>
      <c r="B84" s="35" t="s">
        <v>753</v>
      </c>
      <c r="C84" s="37" t="str">
        <f aca="false">IF(B84="","",IFERROR(INDEX(Applications!$B$5:$B$600,MATCH(B84,Applications!$A$5:$A$600,0)),"Application ID not found"))</f>
        <v>Tucson Food Bank</v>
      </c>
      <c r="D84" s="35" t="s">
        <v>78</v>
      </c>
      <c r="E84" s="35" t="s">
        <v>83</v>
      </c>
      <c r="F84" s="36" t="n">
        <v>45938</v>
      </c>
      <c r="G84" s="35" t="n">
        <v>4</v>
      </c>
      <c r="H84" s="35" t="n">
        <v>4</v>
      </c>
      <c r="I84" s="35" t="n">
        <v>5</v>
      </c>
      <c r="J84" s="35" t="n">
        <v>3</v>
      </c>
      <c r="K84" s="35" t="n">
        <v>4</v>
      </c>
      <c r="L84" s="35" t="n">
        <v>4</v>
      </c>
      <c r="M84" s="50" t="n">
        <f aca="false">IF(COUNT(G84:L84)&lt;6,"",ROUND((G84*Rubric!$D$5+H84*Rubric!$D$6+I84*Rubric!$D$7+J84*Rubric!$D$8+K84*Rubric!$D$9+L84*Rubric!$D$10)/5*100,1))</f>
        <v>81</v>
      </c>
      <c r="N84" s="37" t="str">
        <f aca="false">IF(OR(B84="",D84=""),"",IFERROR(IF(IF(E84="Primary",INDEX(Applications!$I$5:$I$600,MATCH(B84,Applications!$A$5:$A$600,0)),IF(E84="Secondary",INDEX(Applications!$J$5:$J$600,MATCH(B84,Applications!$A$5:$A$600,0)),INDEX(Applications!$K$5:$K$600,MATCH(B84,Applications!$A$5:$A$600,0))))=D84,"OK","Not assigned"),"Check ID"))</f>
        <v>OK</v>
      </c>
      <c r="O84" s="7"/>
    </row>
    <row r="85" customFormat="false" ht="15" hidden="false" customHeight="false" outlineLevel="0" collapsed="false">
      <c r="A85" s="35" t="s">
        <v>1479</v>
      </c>
      <c r="B85" s="35" t="s">
        <v>1107</v>
      </c>
      <c r="C85" s="37" t="str">
        <f aca="false">IF(B85="","",IFERROR(INDEX(Applications!$B$5:$B$600,MATCH(B85,Applications!$A$5:$A$600,0)),"Application ID not found"))</f>
        <v>Open Door Family Center</v>
      </c>
      <c r="D85" s="35" t="s">
        <v>78</v>
      </c>
      <c r="E85" s="35" t="s">
        <v>80</v>
      </c>
      <c r="F85" s="36" t="n">
        <v>45938</v>
      </c>
      <c r="G85" s="35" t="n">
        <v>3</v>
      </c>
      <c r="H85" s="35" t="n">
        <v>2</v>
      </c>
      <c r="I85" s="35" t="n">
        <v>3</v>
      </c>
      <c r="J85" s="35" t="n">
        <v>3</v>
      </c>
      <c r="K85" s="35" t="n">
        <v>2</v>
      </c>
      <c r="L85" s="35" t="n">
        <v>3</v>
      </c>
      <c r="M85" s="50" t="n">
        <f aca="false">IF(COUNT(G85:L85)&lt;6,"",ROUND((G85*Rubric!$D$5+H85*Rubric!$D$6+I85*Rubric!$D$7+J85*Rubric!$D$8+K85*Rubric!$D$9+L85*Rubric!$D$10)/5*100,1))</f>
        <v>54</v>
      </c>
      <c r="N85" s="37" t="str">
        <f aca="false">IF(OR(B85="",D85=""),"",IFERROR(IF(IF(E85="Primary",INDEX(Applications!$I$5:$I$600,MATCH(B85,Applications!$A$5:$A$600,0)),IF(E85="Secondary",INDEX(Applications!$J$5:$J$600,MATCH(B85,Applications!$A$5:$A$600,0)),INDEX(Applications!$K$5:$K$600,MATCH(B85,Applications!$A$5:$A$600,0))))=D85,"OK","Not assigned"),"Check ID"))</f>
        <v>OK</v>
      </c>
      <c r="O85" s="7"/>
    </row>
    <row r="86" customFormat="false" ht="15" hidden="false" customHeight="false" outlineLevel="0" collapsed="false">
      <c r="A86" s="35" t="s">
        <v>1480</v>
      </c>
      <c r="B86" s="35" t="s">
        <v>761</v>
      </c>
      <c r="C86" s="37" t="str">
        <f aca="false">IF(B86="","",IFERROR(INDEX(Applications!$B$5:$B$600,MATCH(B86,Applications!$A$5:$A$600,0)),"Application ID not found"))</f>
        <v>Open Door Bakery Collective</v>
      </c>
      <c r="D86" s="35" t="s">
        <v>78</v>
      </c>
      <c r="E86" s="35" t="s">
        <v>83</v>
      </c>
      <c r="F86" s="36" t="n">
        <v>45938</v>
      </c>
      <c r="G86" s="35" t="n">
        <v>3</v>
      </c>
      <c r="H86" s="35" t="n">
        <v>4</v>
      </c>
      <c r="I86" s="35" t="n">
        <v>4</v>
      </c>
      <c r="J86" s="35" t="n">
        <v>3</v>
      </c>
      <c r="K86" s="35" t="n">
        <v>4</v>
      </c>
      <c r="L86" s="35" t="n">
        <v>3</v>
      </c>
      <c r="M86" s="50" t="n">
        <f aca="false">IF(COUNT(G86:L86)&lt;6,"",ROUND((G86*Rubric!$D$5+H86*Rubric!$D$6+I86*Rubric!$D$7+J86*Rubric!$D$8+K86*Rubric!$D$9+L86*Rubric!$D$10)/5*100,1))</f>
        <v>70</v>
      </c>
      <c r="N86" s="37" t="str">
        <f aca="false">IF(OR(B86="",D86=""),"",IFERROR(IF(IF(E86="Primary",INDEX(Applications!$I$5:$I$600,MATCH(B86,Applications!$A$5:$A$600,0)),IF(E86="Secondary",INDEX(Applications!$J$5:$J$600,MATCH(B86,Applications!$A$5:$A$600,0)),INDEX(Applications!$K$5:$K$600,MATCH(B86,Applications!$A$5:$A$600,0))))=D86,"OK","Not assigned"),"Check ID"))</f>
        <v>OK</v>
      </c>
      <c r="O86" s="7"/>
    </row>
    <row r="87" customFormat="false" ht="15" hidden="false" customHeight="false" outlineLevel="0" collapsed="false">
      <c r="A87" s="35" t="s">
        <v>1481</v>
      </c>
      <c r="B87" s="35" t="s">
        <v>657</v>
      </c>
      <c r="C87" s="37" t="str">
        <f aca="false">IF(B87="","",IFERROR(INDEX(Applications!$B$5:$B$600,MATCH(B87,Applications!$A$5:$A$600,0)),"Application ID not found"))</f>
        <v>High Plains Market Gardens</v>
      </c>
      <c r="D87" s="35" t="s">
        <v>78</v>
      </c>
      <c r="E87" s="35" t="s">
        <v>80</v>
      </c>
      <c r="F87" s="36" t="n">
        <v>45938</v>
      </c>
      <c r="G87" s="35" t="n">
        <v>3</v>
      </c>
      <c r="H87" s="35" t="n">
        <v>4</v>
      </c>
      <c r="I87" s="35" t="n">
        <v>4</v>
      </c>
      <c r="J87" s="35" t="n">
        <v>4</v>
      </c>
      <c r="K87" s="35" t="n">
        <v>3</v>
      </c>
      <c r="L87" s="35" t="n">
        <v>4</v>
      </c>
      <c r="M87" s="50" t="n">
        <f aca="false">IF(COUNT(G87:L87)&lt;6,"",ROUND((G87*Rubric!$D$5+H87*Rubric!$D$6+I87*Rubric!$D$7+J87*Rubric!$D$8+K87*Rubric!$D$9+L87*Rubric!$D$10)/5*100,1))</f>
        <v>73</v>
      </c>
      <c r="N87" s="37" t="str">
        <f aca="false">IF(OR(B87="",D87=""),"",IFERROR(IF(IF(E87="Primary",INDEX(Applications!$I$5:$I$600,MATCH(B87,Applications!$A$5:$A$600,0)),IF(E87="Secondary",INDEX(Applications!$J$5:$J$600,MATCH(B87,Applications!$A$5:$A$600,0)),INDEX(Applications!$K$5:$K$600,MATCH(B87,Applications!$A$5:$A$600,0))))=D87,"OK","Not assigned"),"Check ID"))</f>
        <v>OK</v>
      </c>
      <c r="O87" s="7"/>
    </row>
    <row r="88" customFormat="false" ht="15" hidden="false" customHeight="false" outlineLevel="0" collapsed="false">
      <c r="A88" s="35" t="s">
        <v>1482</v>
      </c>
      <c r="B88" s="35" t="s">
        <v>442</v>
      </c>
      <c r="C88" s="37" t="str">
        <f aca="false">IF(B88="","",IFERROR(INDEX(Applications!$B$5:$B$600,MATCH(B88,Applications!$A$5:$A$600,0)),"Application ID not found"))</f>
        <v>Stonebridge Community Kitchen</v>
      </c>
      <c r="D88" s="35" t="s">
        <v>82</v>
      </c>
      <c r="E88" s="35" t="s">
        <v>83</v>
      </c>
      <c r="F88" s="36" t="n">
        <v>45938</v>
      </c>
      <c r="G88" s="35" t="n">
        <v>4</v>
      </c>
      <c r="H88" s="35" t="n">
        <v>3</v>
      </c>
      <c r="I88" s="35" t="n">
        <v>3</v>
      </c>
      <c r="J88" s="35" t="n">
        <v>3</v>
      </c>
      <c r="K88" s="35" t="n">
        <v>3</v>
      </c>
      <c r="L88" s="35" t="n">
        <v>3</v>
      </c>
      <c r="M88" s="50" t="n">
        <f aca="false">IF(COUNT(G88:L88)&lt;6,"",ROUND((G88*Rubric!$D$5+H88*Rubric!$D$6+I88*Rubric!$D$7+J88*Rubric!$D$8+K88*Rubric!$D$9+L88*Rubric!$D$10)/5*100,1))</f>
        <v>65</v>
      </c>
      <c r="N88" s="37" t="str">
        <f aca="false">IF(OR(B88="",D88=""),"",IFERROR(IF(IF(E88="Primary",INDEX(Applications!$I$5:$I$600,MATCH(B88,Applications!$A$5:$A$600,0)),IF(E88="Secondary",INDEX(Applications!$J$5:$J$600,MATCH(B88,Applications!$A$5:$A$600,0)),INDEX(Applications!$K$5:$K$600,MATCH(B88,Applications!$A$5:$A$600,0))))=D88,"OK","Not assigned"),"Check ID"))</f>
        <v>OK</v>
      </c>
      <c r="O88" s="7"/>
    </row>
    <row r="89" customFormat="false" ht="15" hidden="false" customHeight="false" outlineLevel="0" collapsed="false">
      <c r="A89" s="35" t="s">
        <v>1483</v>
      </c>
      <c r="B89" s="35" t="s">
        <v>422</v>
      </c>
      <c r="C89" s="37" t="str">
        <f aca="false">IF(B89="","",IFERROR(INDEX(Applications!$B$5:$B$600,MATCH(B89,Applications!$A$5:$A$600,0)),"Application ID not found"))</f>
        <v>Good Neighbor Pantry Network</v>
      </c>
      <c r="D89" s="35" t="s">
        <v>82</v>
      </c>
      <c r="E89" s="35" t="s">
        <v>83</v>
      </c>
      <c r="F89" s="36" t="n">
        <v>45938</v>
      </c>
      <c r="G89" s="35" t="n">
        <v>3</v>
      </c>
      <c r="H89" s="35" t="n">
        <v>4</v>
      </c>
      <c r="I89" s="35" t="n">
        <v>4</v>
      </c>
      <c r="J89" s="35" t="n">
        <v>3</v>
      </c>
      <c r="K89" s="35" t="n">
        <v>3</v>
      </c>
      <c r="L89" s="35" t="n">
        <v>4</v>
      </c>
      <c r="M89" s="50" t="n">
        <f aca="false">IF(COUNT(G89:L89)&lt;6,"",ROUND((G89*Rubric!$D$5+H89*Rubric!$D$6+I89*Rubric!$D$7+J89*Rubric!$D$8+K89*Rubric!$D$9+L89*Rubric!$D$10)/5*100,1))</f>
        <v>70</v>
      </c>
      <c r="N89" s="37" t="str">
        <f aca="false">IF(OR(B89="",D89=""),"",IFERROR(IF(IF(E89="Primary",INDEX(Applications!$I$5:$I$600,MATCH(B89,Applications!$A$5:$A$600,0)),IF(E89="Secondary",INDEX(Applications!$J$5:$J$600,MATCH(B89,Applications!$A$5:$A$600,0)),INDEX(Applications!$K$5:$K$600,MATCH(B89,Applications!$A$5:$A$600,0))))=D89,"OK","Not assigned"),"Check ID"))</f>
        <v>OK</v>
      </c>
      <c r="O89" s="7"/>
    </row>
    <row r="90" customFormat="false" ht="15" hidden="false" customHeight="false" outlineLevel="0" collapsed="false">
      <c r="A90" s="35" t="s">
        <v>1484</v>
      </c>
      <c r="B90" s="35" t="s">
        <v>488</v>
      </c>
      <c r="C90" s="37" t="str">
        <f aca="false">IF(B90="","",IFERROR(INDEX(Applications!$B$5:$B$600,MATCH(B90,Applications!$A$5:$A$600,0)),"Application ID not found"))</f>
        <v>Hamilton Schools Nutrition Fund</v>
      </c>
      <c r="D90" s="35" t="s">
        <v>82</v>
      </c>
      <c r="E90" s="35" t="s">
        <v>80</v>
      </c>
      <c r="F90" s="36" t="n">
        <v>45938</v>
      </c>
      <c r="G90" s="35" t="n">
        <v>3</v>
      </c>
      <c r="H90" s="35" t="n">
        <v>3</v>
      </c>
      <c r="I90" s="35" t="n">
        <v>2</v>
      </c>
      <c r="J90" s="35" t="n">
        <v>2</v>
      </c>
      <c r="K90" s="35" t="n">
        <v>3</v>
      </c>
      <c r="L90" s="35" t="n">
        <v>3</v>
      </c>
      <c r="M90" s="50" t="n">
        <f aca="false">IF(COUNT(G90:L90)&lt;6,"",ROUND((G90*Rubric!$D$5+H90*Rubric!$D$6+I90*Rubric!$D$7+J90*Rubric!$D$8+K90*Rubric!$D$9+L90*Rubric!$D$10)/5*100,1))</f>
        <v>53</v>
      </c>
      <c r="N90" s="37" t="str">
        <f aca="false">IF(OR(B90="",D90=""),"",IFERROR(IF(IF(E90="Primary",INDEX(Applications!$I$5:$I$600,MATCH(B90,Applications!$A$5:$A$600,0)),IF(E90="Secondary",INDEX(Applications!$J$5:$J$600,MATCH(B90,Applications!$A$5:$A$600,0)),INDEX(Applications!$K$5:$K$600,MATCH(B90,Applications!$A$5:$A$600,0))))=D90,"OK","Not assigned"),"Check ID"))</f>
        <v>OK</v>
      </c>
      <c r="O90" s="7"/>
    </row>
    <row r="91" customFormat="false" ht="15" hidden="false" customHeight="false" outlineLevel="0" collapsed="false">
      <c r="A91" s="35" t="s">
        <v>1485</v>
      </c>
      <c r="B91" s="35" t="s">
        <v>687</v>
      </c>
      <c r="C91" s="37" t="str">
        <f aca="false">IF(B91="","",IFERROR(INDEX(Applications!$B$5:$B$600,MATCH(B91,Applications!$A$5:$A$600,0)),"Application ID not found"))</f>
        <v>Denver Community Pantry</v>
      </c>
      <c r="D91" s="35" t="s">
        <v>82</v>
      </c>
      <c r="E91" s="35" t="s">
        <v>80</v>
      </c>
      <c r="F91" s="36" t="n">
        <v>45938</v>
      </c>
      <c r="G91" s="35" t="n">
        <v>4</v>
      </c>
      <c r="H91" s="35" t="n">
        <v>4</v>
      </c>
      <c r="I91" s="35" t="n">
        <v>4</v>
      </c>
      <c r="J91" s="35" t="n">
        <v>3</v>
      </c>
      <c r="K91" s="35" t="n">
        <v>4</v>
      </c>
      <c r="L91" s="35" t="n">
        <v>3</v>
      </c>
      <c r="M91" s="50" t="n">
        <f aca="false">IF(COUNT(G91:L91)&lt;6,"",ROUND((G91*Rubric!$D$5+H91*Rubric!$D$6+I91*Rubric!$D$7+J91*Rubric!$D$8+K91*Rubric!$D$9+L91*Rubric!$D$10)/5*100,1))</f>
        <v>75</v>
      </c>
      <c r="N91" s="37" t="str">
        <f aca="false">IF(OR(B91="",D91=""),"",IFERROR(IF(IF(E91="Primary",INDEX(Applications!$I$5:$I$600,MATCH(B91,Applications!$A$5:$A$600,0)),IF(E91="Secondary",INDEX(Applications!$J$5:$J$600,MATCH(B91,Applications!$A$5:$A$600,0)),INDEX(Applications!$K$5:$K$600,MATCH(B91,Applications!$A$5:$A$600,0))))=D91,"OK","Not assigned"),"Check ID"))</f>
        <v>OK</v>
      </c>
      <c r="O91" s="7"/>
    </row>
    <row r="92" customFormat="false" ht="15" hidden="false" customHeight="false" outlineLevel="0" collapsed="false">
      <c r="A92" s="35" t="s">
        <v>1486</v>
      </c>
      <c r="B92" s="35" t="s">
        <v>603</v>
      </c>
      <c r="C92" s="37" t="str">
        <f aca="false">IF(B92="","",IFERROR(INDEX(Applications!$B$5:$B$600,MATCH(B92,Applications!$A$5:$A$600,0)),"Application ID not found"))</f>
        <v>Tidewater Meals Project</v>
      </c>
      <c r="D92" s="35" t="s">
        <v>82</v>
      </c>
      <c r="E92" s="35" t="s">
        <v>80</v>
      </c>
      <c r="F92" s="36" t="n">
        <v>45938</v>
      </c>
      <c r="G92" s="35" t="n">
        <v>4</v>
      </c>
      <c r="H92" s="35" t="n">
        <v>4</v>
      </c>
      <c r="I92" s="35" t="n">
        <v>4</v>
      </c>
      <c r="J92" s="35" t="n">
        <v>4</v>
      </c>
      <c r="K92" s="35" t="n">
        <v>4</v>
      </c>
      <c r="L92" s="35" t="n">
        <v>4</v>
      </c>
      <c r="M92" s="50" t="n">
        <f aca="false">IF(COUNT(G92:L92)&lt;6,"",ROUND((G92*Rubric!$D$5+H92*Rubric!$D$6+I92*Rubric!$D$7+J92*Rubric!$D$8+K92*Rubric!$D$9+L92*Rubric!$D$10)/5*100,1))</f>
        <v>80</v>
      </c>
      <c r="N92" s="37" t="str">
        <f aca="false">IF(OR(B92="",D92=""),"",IFERROR(IF(IF(E92="Primary",INDEX(Applications!$I$5:$I$600,MATCH(B92,Applications!$A$5:$A$600,0)),IF(E92="Secondary",INDEX(Applications!$J$5:$J$600,MATCH(B92,Applications!$A$5:$A$600,0)),INDEX(Applications!$K$5:$K$600,MATCH(B92,Applications!$A$5:$A$600,0))))=D92,"OK","Not assigned"),"Check ID"))</f>
        <v>OK</v>
      </c>
      <c r="O92" s="7"/>
    </row>
    <row r="93" customFormat="false" ht="15" hidden="false" customHeight="false" outlineLevel="0" collapsed="false">
      <c r="A93" s="35" t="s">
        <v>1487</v>
      </c>
      <c r="B93" s="35" t="s">
        <v>1279</v>
      </c>
      <c r="C93" s="37" t="str">
        <f aca="false">IF(B93="","",IFERROR(INDEX(Applications!$B$5:$B$600,MATCH(B93,Applications!$A$5:$A$600,0)),"Application ID not found"))</f>
        <v>Two Rivers Cafe Training Program</v>
      </c>
      <c r="D93" s="35" t="s">
        <v>82</v>
      </c>
      <c r="E93" s="35" t="s">
        <v>83</v>
      </c>
      <c r="F93" s="36" t="n">
        <v>45938</v>
      </c>
      <c r="G93" s="35" t="n">
        <v>5</v>
      </c>
      <c r="H93" s="35" t="n">
        <v>4</v>
      </c>
      <c r="I93" s="35" t="n">
        <v>4</v>
      </c>
      <c r="J93" s="35" t="n">
        <v>5</v>
      </c>
      <c r="K93" s="35" t="n">
        <v>4</v>
      </c>
      <c r="L93" s="35" t="n">
        <v>5</v>
      </c>
      <c r="M93" s="50" t="n">
        <f aca="false">IF(COUNT(G93:L93)&lt;6,"",ROUND((G93*Rubric!$D$5+H93*Rubric!$D$6+I93*Rubric!$D$7+J93*Rubric!$D$8+K93*Rubric!$D$9+L93*Rubric!$D$10)/5*100,1))</f>
        <v>90</v>
      </c>
      <c r="N93" s="37" t="str">
        <f aca="false">IF(OR(B93="",D93=""),"",IFERROR(IF(IF(E93="Primary",INDEX(Applications!$I$5:$I$600,MATCH(B93,Applications!$A$5:$A$600,0)),IF(E93="Secondary",INDEX(Applications!$J$5:$J$600,MATCH(B93,Applications!$A$5:$A$600,0)),INDEX(Applications!$K$5:$K$600,MATCH(B93,Applications!$A$5:$A$600,0))))=D93,"OK","Not assigned"),"Check ID"))</f>
        <v>OK</v>
      </c>
      <c r="O93" s="7"/>
    </row>
    <row r="94" customFormat="false" ht="15" hidden="false" customHeight="false" outlineLevel="0" collapsed="false">
      <c r="A94" s="35" t="s">
        <v>1488</v>
      </c>
      <c r="B94" s="35" t="s">
        <v>478</v>
      </c>
      <c r="C94" s="37" t="str">
        <f aca="false">IF(B94="","",IFERROR(INDEX(Applications!$B$5:$B$600,MATCH(B94,Applications!$A$5:$A$600,0)),"Application ID not found"))</f>
        <v>Oak Hollow Family Center</v>
      </c>
      <c r="D94" s="35" t="s">
        <v>82</v>
      </c>
      <c r="E94" s="35" t="s">
        <v>83</v>
      </c>
      <c r="F94" s="36" t="n">
        <v>45938</v>
      </c>
      <c r="G94" s="35" t="n">
        <v>2</v>
      </c>
      <c r="H94" s="35" t="n">
        <v>1</v>
      </c>
      <c r="I94" s="35" t="n">
        <v>2</v>
      </c>
      <c r="J94" s="35" t="n">
        <v>2</v>
      </c>
      <c r="K94" s="35" t="n">
        <v>2</v>
      </c>
      <c r="L94" s="35" t="n">
        <v>2</v>
      </c>
      <c r="M94" s="50" t="n">
        <f aca="false">IF(COUNT(G94:L94)&lt;6,"",ROUND((G94*Rubric!$D$5+H94*Rubric!$D$6+I94*Rubric!$D$7+J94*Rubric!$D$8+K94*Rubric!$D$9+L94*Rubric!$D$10)/5*100,1))</f>
        <v>36</v>
      </c>
      <c r="N94" s="37" t="str">
        <f aca="false">IF(OR(B94="",D94=""),"",IFERROR(IF(IF(E94="Primary",INDEX(Applications!$I$5:$I$600,MATCH(B94,Applications!$A$5:$A$600,0)),IF(E94="Secondary",INDEX(Applications!$J$5:$J$600,MATCH(B94,Applications!$A$5:$A$600,0)),INDEX(Applications!$K$5:$K$600,MATCH(B94,Applications!$A$5:$A$600,0))))=D94,"OK","Not assigned"),"Check ID"))</f>
        <v>OK</v>
      </c>
      <c r="O94" s="7"/>
    </row>
    <row r="95" customFormat="false" ht="15" hidden="false" customHeight="false" outlineLevel="0" collapsed="false">
      <c r="A95" s="35" t="s">
        <v>1489</v>
      </c>
      <c r="B95" s="35" t="s">
        <v>420</v>
      </c>
      <c r="C95" s="37" t="str">
        <f aca="false">IF(B95="","",IFERROR(INDEX(Applications!$B$5:$B$600,MATCH(B95,Applications!$A$5:$A$600,0)),"Application ID not found"))</f>
        <v>Prairie Farm School</v>
      </c>
      <c r="D95" s="35" t="s">
        <v>82</v>
      </c>
      <c r="E95" s="35" t="s">
        <v>83</v>
      </c>
      <c r="F95" s="36" t="n">
        <v>45938</v>
      </c>
      <c r="G95" s="35" t="n">
        <v>2</v>
      </c>
      <c r="H95" s="35" t="n">
        <v>2</v>
      </c>
      <c r="I95" s="35" t="n">
        <v>3</v>
      </c>
      <c r="J95" s="35" t="n">
        <v>2</v>
      </c>
      <c r="K95" s="35" t="n">
        <v>2</v>
      </c>
      <c r="L95" s="35" t="n">
        <v>2</v>
      </c>
      <c r="M95" s="50" t="n">
        <f aca="false">IF(COUNT(G95:L95)&lt;6,"",ROUND((G95*Rubric!$D$5+H95*Rubric!$D$6+I95*Rubric!$D$7+J95*Rubric!$D$8+K95*Rubric!$D$9+L95*Rubric!$D$10)/5*100,1))</f>
        <v>44</v>
      </c>
      <c r="N95" s="37" t="str">
        <f aca="false">IF(OR(B95="",D95=""),"",IFERROR(IF(IF(E95="Primary",INDEX(Applications!$I$5:$I$600,MATCH(B95,Applications!$A$5:$A$600,0)),IF(E95="Secondary",INDEX(Applications!$J$5:$J$600,MATCH(B95,Applications!$A$5:$A$600,0)),INDEX(Applications!$K$5:$K$600,MATCH(B95,Applications!$A$5:$A$600,0))))=D95,"OK","Not assigned"),"Check ID"))</f>
        <v>OK</v>
      </c>
      <c r="O95" s="7"/>
    </row>
    <row r="96" customFormat="false" ht="15" hidden="false" customHeight="false" outlineLevel="0" collapsed="false">
      <c r="A96" s="35" t="s">
        <v>1490</v>
      </c>
      <c r="B96" s="35" t="s">
        <v>1337</v>
      </c>
      <c r="C96" s="37" t="str">
        <f aca="false">IF(B96="","",IFERROR(INDEX(Applications!$B$5:$B$600,MATCH(B96,Applications!$A$5:$A$600,0)),"Application ID not found"))</f>
        <v>Buffalo Farm School</v>
      </c>
      <c r="D96" s="35" t="s">
        <v>82</v>
      </c>
      <c r="E96" s="35" t="s">
        <v>80</v>
      </c>
      <c r="F96" s="36" t="n">
        <v>45938</v>
      </c>
      <c r="G96" s="35" t="n">
        <v>3</v>
      </c>
      <c r="H96" s="35" t="n">
        <v>4</v>
      </c>
      <c r="I96" s="35" t="n">
        <v>4</v>
      </c>
      <c r="J96" s="35" t="n">
        <v>4</v>
      </c>
      <c r="K96" s="35" t="n">
        <v>4</v>
      </c>
      <c r="L96" s="35" t="n">
        <v>4</v>
      </c>
      <c r="M96" s="50" t="n">
        <f aca="false">IF(COUNT(G96:L96)&lt;6,"",ROUND((G96*Rubric!$D$5+H96*Rubric!$D$6+I96*Rubric!$D$7+J96*Rubric!$D$8+K96*Rubric!$D$9+L96*Rubric!$D$10)/5*100,1))</f>
        <v>75</v>
      </c>
      <c r="N96" s="37" t="str">
        <f aca="false">IF(OR(B96="",D96=""),"",IFERROR(IF(IF(E96="Primary",INDEX(Applications!$I$5:$I$600,MATCH(B96,Applications!$A$5:$A$600,0)),IF(E96="Secondary",INDEX(Applications!$J$5:$J$600,MATCH(B96,Applications!$A$5:$A$600,0)),INDEX(Applications!$K$5:$K$600,MATCH(B96,Applications!$A$5:$A$600,0))))=D96,"OK","Not assigned"),"Check ID"))</f>
        <v>OK</v>
      </c>
      <c r="O96" s="7" t="s">
        <v>1428</v>
      </c>
    </row>
    <row r="97" customFormat="false" ht="15" hidden="false" customHeight="false" outlineLevel="0" collapsed="false">
      <c r="A97" s="35" t="s">
        <v>1491</v>
      </c>
      <c r="B97" s="35" t="s">
        <v>707</v>
      </c>
      <c r="C97" s="37" t="str">
        <f aca="false">IF(B97="","",IFERROR(INDEX(Applications!$B$5:$B$600,MATCH(B97,Applications!$A$5:$A$600,0)),"Application ID not found"))</f>
        <v>Utrecht Meals Project</v>
      </c>
      <c r="D97" s="35" t="s">
        <v>82</v>
      </c>
      <c r="E97" s="35" t="s">
        <v>80</v>
      </c>
      <c r="F97" s="36" t="n">
        <v>45938</v>
      </c>
      <c r="G97" s="35" t="n">
        <v>3</v>
      </c>
      <c r="H97" s="35" t="n">
        <v>3</v>
      </c>
      <c r="I97" s="35" t="n">
        <v>4</v>
      </c>
      <c r="J97" s="35" t="n">
        <v>4</v>
      </c>
      <c r="K97" s="35" t="n">
        <v>3</v>
      </c>
      <c r="L97" s="35" t="n">
        <v>3</v>
      </c>
      <c r="M97" s="50" t="n">
        <f aca="false">IF(COUNT(G97:L97)&lt;6,"",ROUND((G97*Rubric!$D$5+H97*Rubric!$D$6+I97*Rubric!$D$7+J97*Rubric!$D$8+K97*Rubric!$D$9+L97*Rubric!$D$10)/5*100,1))</f>
        <v>67</v>
      </c>
      <c r="N97" s="37" t="str">
        <f aca="false">IF(OR(B97="",D97=""),"",IFERROR(IF(IF(E97="Primary",INDEX(Applications!$I$5:$I$600,MATCH(B97,Applications!$A$5:$A$600,0)),IF(E97="Secondary",INDEX(Applications!$J$5:$J$600,MATCH(B97,Applications!$A$5:$A$600,0)),INDEX(Applications!$K$5:$K$600,MATCH(B97,Applications!$A$5:$A$600,0))))=D97,"OK","Not assigned"),"Check ID"))</f>
        <v>OK</v>
      </c>
      <c r="O97" s="7" t="s">
        <v>1402</v>
      </c>
    </row>
    <row r="98" customFormat="false" ht="15" hidden="false" customHeight="false" outlineLevel="0" collapsed="false">
      <c r="A98" s="35" t="s">
        <v>1492</v>
      </c>
      <c r="B98" s="35" t="s">
        <v>861</v>
      </c>
      <c r="C98" s="37" t="str">
        <f aca="false">IF(B98="","",IFERROR(INDEX(Applications!$B$5:$B$600,MATCH(B98,Applications!$A$5:$A$600,0)),"Application ID not found"))</f>
        <v>Old Town Community Pantry</v>
      </c>
      <c r="D98" s="35" t="s">
        <v>82</v>
      </c>
      <c r="E98" s="35" t="s">
        <v>83</v>
      </c>
      <c r="F98" s="36" t="n">
        <v>45938</v>
      </c>
      <c r="G98" s="35" t="n">
        <v>4</v>
      </c>
      <c r="H98" s="35" t="n">
        <v>4</v>
      </c>
      <c r="I98" s="35" t="n">
        <v>4</v>
      </c>
      <c r="J98" s="35" t="n">
        <v>4</v>
      </c>
      <c r="K98" s="35" t="n">
        <v>4</v>
      </c>
      <c r="L98" s="35" t="n">
        <v>3</v>
      </c>
      <c r="M98" s="50" t="n">
        <f aca="false">IF(COUNT(G98:L98)&lt;6,"",ROUND((G98*Rubric!$D$5+H98*Rubric!$D$6+I98*Rubric!$D$7+J98*Rubric!$D$8+K98*Rubric!$D$9+L98*Rubric!$D$10)/5*100,1))</f>
        <v>78</v>
      </c>
      <c r="N98" s="37" t="str">
        <f aca="false">IF(OR(B98="",D98=""),"",IFERROR(IF(IF(E98="Primary",INDEX(Applications!$I$5:$I$600,MATCH(B98,Applications!$A$5:$A$600,0)),IF(E98="Secondary",INDEX(Applications!$J$5:$J$600,MATCH(B98,Applications!$A$5:$A$600,0)),INDEX(Applications!$K$5:$K$600,MATCH(B98,Applications!$A$5:$A$600,0))))=D98,"OK","Not assigned"),"Check ID"))</f>
        <v>OK</v>
      </c>
      <c r="O98" s="7" t="s">
        <v>1493</v>
      </c>
    </row>
    <row r="99" customFormat="false" ht="15" hidden="false" customHeight="false" outlineLevel="0" collapsed="false">
      <c r="A99" s="35" t="s">
        <v>1494</v>
      </c>
      <c r="B99" s="35" t="s">
        <v>1115</v>
      </c>
      <c r="C99" s="37" t="str">
        <f aca="false">IF(B99="","",IFERROR(INDEX(Applications!$B$5:$B$600,MATCH(B99,Applications!$A$5:$A$600,0)),"Application ID not found"))</f>
        <v>Calgary Bakery Collective</v>
      </c>
      <c r="D99" s="35" t="s">
        <v>82</v>
      </c>
      <c r="E99" s="35" t="s">
        <v>80</v>
      </c>
      <c r="F99" s="36" t="n">
        <v>45938</v>
      </c>
      <c r="G99" s="35" t="n">
        <v>4</v>
      </c>
      <c r="H99" s="35" t="n">
        <v>4</v>
      </c>
      <c r="I99" s="35" t="n">
        <v>5</v>
      </c>
      <c r="J99" s="35" t="n">
        <v>3</v>
      </c>
      <c r="K99" s="35" t="n">
        <v>4</v>
      </c>
      <c r="L99" s="35" t="n">
        <v>4</v>
      </c>
      <c r="M99" s="50" t="n">
        <f aca="false">IF(COUNT(G99:L99)&lt;6,"",ROUND((G99*Rubric!$D$5+H99*Rubric!$D$6+I99*Rubric!$D$7+J99*Rubric!$D$8+K99*Rubric!$D$9+L99*Rubric!$D$10)/5*100,1))</f>
        <v>81</v>
      </c>
      <c r="N99" s="37" t="str">
        <f aca="false">IF(OR(B99="",D99=""),"",IFERROR(IF(IF(E99="Primary",INDEX(Applications!$I$5:$I$600,MATCH(B99,Applications!$A$5:$A$600,0)),IF(E99="Secondary",INDEX(Applications!$J$5:$J$600,MATCH(B99,Applications!$A$5:$A$600,0)),INDEX(Applications!$K$5:$K$600,MATCH(B99,Applications!$A$5:$A$600,0))))=D99,"OK","Not assigned"),"Check ID"))</f>
        <v>OK</v>
      </c>
      <c r="O99" s="7"/>
    </row>
    <row r="100" customFormat="false" ht="15" hidden="false" customHeight="false" outlineLevel="0" collapsed="false">
      <c r="A100" s="35" t="s">
        <v>1495</v>
      </c>
      <c r="B100" s="35" t="s">
        <v>821</v>
      </c>
      <c r="C100" s="37" t="str">
        <f aca="false">IF(B100="","",IFERROR(INDEX(Applications!$B$5:$B$600,MATCH(B100,Applications!$A$5:$A$600,0)),"Application ID not found"))</f>
        <v>Union Square Cafe Training Program</v>
      </c>
      <c r="D100" s="35" t="s">
        <v>82</v>
      </c>
      <c r="E100" s="35" t="s">
        <v>83</v>
      </c>
      <c r="F100" s="36" t="n">
        <v>45938</v>
      </c>
      <c r="G100" s="35" t="n">
        <v>3</v>
      </c>
      <c r="H100" s="35" t="n">
        <v>4</v>
      </c>
      <c r="I100" s="35" t="n">
        <v>4</v>
      </c>
      <c r="J100" s="35" t="n">
        <v>4</v>
      </c>
      <c r="K100" s="35" t="n">
        <v>3</v>
      </c>
      <c r="L100" s="35" t="n">
        <v>4</v>
      </c>
      <c r="M100" s="50" t="n">
        <f aca="false">IF(COUNT(G100:L100)&lt;6,"",ROUND((G100*Rubric!$D$5+H100*Rubric!$D$6+I100*Rubric!$D$7+J100*Rubric!$D$8+K100*Rubric!$D$9+L100*Rubric!$D$10)/5*100,1))</f>
        <v>73</v>
      </c>
      <c r="N100" s="37" t="str">
        <f aca="false">IF(OR(B100="",D100=""),"",IFERROR(IF(IF(E100="Primary",INDEX(Applications!$I$5:$I$600,MATCH(B100,Applications!$A$5:$A$600,0)),IF(E100="Secondary",INDEX(Applications!$J$5:$J$600,MATCH(B100,Applications!$A$5:$A$600,0)),INDEX(Applications!$K$5:$K$600,MATCH(B100,Applications!$A$5:$A$600,0))))=D100,"OK","Not assigned"),"Check ID"))</f>
        <v>OK</v>
      </c>
      <c r="O100" s="7" t="s">
        <v>1426</v>
      </c>
    </row>
    <row r="101" customFormat="false" ht="15" hidden="false" customHeight="false" outlineLevel="0" collapsed="false">
      <c r="A101" s="35" t="s">
        <v>1496</v>
      </c>
      <c r="B101" s="35" t="s">
        <v>1297</v>
      </c>
      <c r="C101" s="37" t="str">
        <f aca="false">IF(B101="","",IFERROR(INDEX(Applications!$B$5:$B$600,MATCH(B101,Applications!$A$5:$A$600,0)),"Application ID not found"))</f>
        <v>Tucson Kitchen Project</v>
      </c>
      <c r="D101" s="35" t="s">
        <v>82</v>
      </c>
      <c r="E101" s="35" t="s">
        <v>80</v>
      </c>
      <c r="F101" s="36" t="n">
        <v>45938</v>
      </c>
      <c r="G101" s="35" t="n">
        <v>4</v>
      </c>
      <c r="H101" s="35" t="n">
        <v>3</v>
      </c>
      <c r="I101" s="35" t="n">
        <v>4</v>
      </c>
      <c r="J101" s="35" t="n">
        <v>3</v>
      </c>
      <c r="K101" s="35" t="n">
        <v>3</v>
      </c>
      <c r="L101" s="35" t="n">
        <v>3</v>
      </c>
      <c r="M101" s="50" t="n">
        <f aca="false">IF(COUNT(G101:L101)&lt;6,"",ROUND((G101*Rubric!$D$5+H101*Rubric!$D$6+I101*Rubric!$D$7+J101*Rubric!$D$8+K101*Rubric!$D$9+L101*Rubric!$D$10)/5*100,1))</f>
        <v>69</v>
      </c>
      <c r="N101" s="37" t="str">
        <f aca="false">IF(OR(B101="",D101=""),"",IFERROR(IF(IF(E101="Primary",INDEX(Applications!$I$5:$I$600,MATCH(B101,Applications!$A$5:$A$600,0)),IF(E101="Secondary",INDEX(Applications!$J$5:$J$600,MATCH(B101,Applications!$A$5:$A$600,0)),INDEX(Applications!$K$5:$K$600,MATCH(B101,Applications!$A$5:$A$600,0))))=D101,"OK","Not assigned"),"Check ID"))</f>
        <v>OK</v>
      </c>
      <c r="O101" s="7"/>
    </row>
    <row r="102" customFormat="false" ht="15" hidden="false" customHeight="false" outlineLevel="0" collapsed="false">
      <c r="A102" s="35" t="s">
        <v>1497</v>
      </c>
      <c r="B102" s="35" t="s">
        <v>327</v>
      </c>
      <c r="C102" s="37" t="str">
        <f aca="false">IF(B102="","",IFERROR(INDEX(Applications!$B$5:$B$600,MATCH(B102,Applications!$A$5:$A$600,0)),"Application ID not found"))</f>
        <v>Cali Family Center</v>
      </c>
      <c r="D102" s="35" t="s">
        <v>88</v>
      </c>
      <c r="E102" s="35" t="s">
        <v>80</v>
      </c>
      <c r="F102" s="36" t="n">
        <v>45938</v>
      </c>
      <c r="G102" s="35" t="n">
        <v>4</v>
      </c>
      <c r="H102" s="35" t="n">
        <v>4</v>
      </c>
      <c r="I102" s="35" t="n">
        <v>3</v>
      </c>
      <c r="J102" s="35" t="n">
        <v>4</v>
      </c>
      <c r="K102" s="35" t="n">
        <v>3</v>
      </c>
      <c r="L102" s="35" t="n">
        <v>4</v>
      </c>
      <c r="M102" s="50" t="n">
        <f aca="false">IF(COUNT(G102:L102)&lt;6,"",ROUND((G102*Rubric!$D$5+H102*Rubric!$D$6+I102*Rubric!$D$7+J102*Rubric!$D$8+K102*Rubric!$D$9+L102*Rubric!$D$10)/5*100,1))</f>
        <v>74</v>
      </c>
      <c r="N102" s="37" t="str">
        <f aca="false">IF(OR(B102="",D102=""),"",IFERROR(IF(IF(E102="Primary",INDEX(Applications!$I$5:$I$600,MATCH(B102,Applications!$A$5:$A$600,0)),IF(E102="Secondary",INDEX(Applications!$J$5:$J$600,MATCH(B102,Applications!$A$5:$A$600,0)),INDEX(Applications!$K$5:$K$600,MATCH(B102,Applications!$A$5:$A$600,0))))=D102,"OK","Not assigned"),"Check ID"))</f>
        <v>OK</v>
      </c>
      <c r="O102" s="7"/>
    </row>
    <row r="103" customFormat="false" ht="15" hidden="false" customHeight="false" outlineLevel="0" collapsed="false">
      <c r="A103" s="35" t="s">
        <v>1498</v>
      </c>
      <c r="B103" s="35" t="s">
        <v>877</v>
      </c>
      <c r="C103" s="37" t="str">
        <f aca="false">IF(B103="","",IFERROR(INDEX(Applications!$B$5:$B$600,MATCH(B103,Applications!$A$5:$A$600,0)),"Application ID not found"))</f>
        <v>Northside Bakery Collective</v>
      </c>
      <c r="D103" s="35" t="s">
        <v>88</v>
      </c>
      <c r="E103" s="35" t="s">
        <v>83</v>
      </c>
      <c r="F103" s="36" t="n">
        <v>45938</v>
      </c>
      <c r="G103" s="35" t="n">
        <v>3</v>
      </c>
      <c r="H103" s="35" t="n">
        <v>3</v>
      </c>
      <c r="I103" s="35" t="n">
        <v>4</v>
      </c>
      <c r="J103" s="35" t="n">
        <v>4</v>
      </c>
      <c r="K103" s="35" t="n">
        <v>4</v>
      </c>
      <c r="L103" s="35" t="n">
        <v>4</v>
      </c>
      <c r="M103" s="50" t="n">
        <f aca="false">IF(COUNT(G103:L103)&lt;6,"",ROUND((G103*Rubric!$D$5+H103*Rubric!$D$6+I103*Rubric!$D$7+J103*Rubric!$D$8+K103*Rubric!$D$9+L103*Rubric!$D$10)/5*100,1))</f>
        <v>71</v>
      </c>
      <c r="N103" s="37" t="str">
        <f aca="false">IF(OR(B103="",D103=""),"",IFERROR(IF(IF(E103="Primary",INDEX(Applications!$I$5:$I$600,MATCH(B103,Applications!$A$5:$A$600,0)),IF(E103="Secondary",INDEX(Applications!$J$5:$J$600,MATCH(B103,Applications!$A$5:$A$600,0)),INDEX(Applications!$K$5:$K$600,MATCH(B103,Applications!$A$5:$A$600,0))))=D103,"OK","Not assigned"),"Check ID"))</f>
        <v>OK</v>
      </c>
      <c r="O103" s="7"/>
    </row>
    <row r="104" customFormat="false" ht="15" hidden="false" customHeight="false" outlineLevel="0" collapsed="false">
      <c r="A104" s="35" t="s">
        <v>1499</v>
      </c>
      <c r="B104" s="35" t="s">
        <v>522</v>
      </c>
      <c r="C104" s="37" t="str">
        <f aca="false">IF(B104="","",IFERROR(INDEX(Applications!$B$5:$B$600,MATCH(B104,Applications!$A$5:$A$600,0)),"Application ID not found"))</f>
        <v>Northside Farm Collective</v>
      </c>
      <c r="D104" s="35" t="s">
        <v>88</v>
      </c>
      <c r="E104" s="35" t="s">
        <v>83</v>
      </c>
      <c r="F104" s="36" t="n">
        <v>45938</v>
      </c>
      <c r="G104" s="35" t="n">
        <v>4</v>
      </c>
      <c r="H104" s="35" t="n">
        <v>4</v>
      </c>
      <c r="I104" s="35" t="n">
        <v>4</v>
      </c>
      <c r="J104" s="35" t="n">
        <v>3</v>
      </c>
      <c r="K104" s="35" t="n">
        <v>5</v>
      </c>
      <c r="L104" s="35" t="n">
        <v>4</v>
      </c>
      <c r="M104" s="50" t="n">
        <f aca="false">IF(COUNT(G104:L104)&lt;6,"",ROUND((G104*Rubric!$D$5+H104*Rubric!$D$6+I104*Rubric!$D$7+J104*Rubric!$D$8+K104*Rubric!$D$9+L104*Rubric!$D$10)/5*100,1))</f>
        <v>79</v>
      </c>
      <c r="N104" s="37" t="str">
        <f aca="false">IF(OR(B104="",D104=""),"",IFERROR(IF(IF(E104="Primary",INDEX(Applications!$I$5:$I$600,MATCH(B104,Applications!$A$5:$A$600,0)),IF(E104="Secondary",INDEX(Applications!$J$5:$J$600,MATCH(B104,Applications!$A$5:$A$600,0)),INDEX(Applications!$K$5:$K$600,MATCH(B104,Applications!$A$5:$A$600,0))))=D104,"OK","Not assigned"),"Check ID"))</f>
        <v>OK</v>
      </c>
      <c r="O104" s="7"/>
    </row>
    <row r="105" customFormat="false" ht="15" hidden="false" customHeight="false" outlineLevel="0" collapsed="false">
      <c r="A105" s="35" t="s">
        <v>1500</v>
      </c>
      <c r="B105" s="35" t="s">
        <v>797</v>
      </c>
      <c r="C105" s="37" t="str">
        <f aca="false">IF(B105="","",IFERROR(INDEX(Applications!$B$5:$B$600,MATCH(B105,Applications!$A$5:$A$600,0)),"Application ID not found"))</f>
        <v>Mombasa Cafe Training Program</v>
      </c>
      <c r="D105" s="35" t="s">
        <v>88</v>
      </c>
      <c r="E105" s="35" t="s">
        <v>80</v>
      </c>
      <c r="F105" s="36" t="n">
        <v>45938</v>
      </c>
      <c r="G105" s="35" t="n">
        <v>4</v>
      </c>
      <c r="H105" s="35" t="n">
        <v>3</v>
      </c>
      <c r="I105" s="35" t="n">
        <v>4</v>
      </c>
      <c r="J105" s="35" t="n">
        <v>4</v>
      </c>
      <c r="K105" s="35" t="n">
        <v>3</v>
      </c>
      <c r="L105" s="35" t="n">
        <v>3</v>
      </c>
      <c r="M105" s="50" t="n">
        <f aca="false">IF(COUNT(G105:L105)&lt;6,"",ROUND((G105*Rubric!$D$5+H105*Rubric!$D$6+I105*Rubric!$D$7+J105*Rubric!$D$8+K105*Rubric!$D$9+L105*Rubric!$D$10)/5*100,1))</f>
        <v>72</v>
      </c>
      <c r="N105" s="37" t="str">
        <f aca="false">IF(OR(B105="",D105=""),"",IFERROR(IF(IF(E105="Primary",INDEX(Applications!$I$5:$I$600,MATCH(B105,Applications!$A$5:$A$600,0)),IF(E105="Secondary",INDEX(Applications!$J$5:$J$600,MATCH(B105,Applications!$A$5:$A$600,0)),INDEX(Applications!$K$5:$K$600,MATCH(B105,Applications!$A$5:$A$600,0))))=D105,"OK","Not assigned"),"Check ID"))</f>
        <v>OK</v>
      </c>
      <c r="O105" s="7"/>
    </row>
    <row r="106" customFormat="false" ht="15" hidden="false" customHeight="false" outlineLevel="0" collapsed="false">
      <c r="A106" s="35" t="s">
        <v>1501</v>
      </c>
      <c r="B106" s="35" t="s">
        <v>1069</v>
      </c>
      <c r="C106" s="37" t="str">
        <f aca="false">IF(B106="","",IFERROR(INDEX(Applications!$B$5:$B$600,MATCH(B106,Applications!$A$5:$A$600,0)),"Application ID not found"))</f>
        <v>Kestrel Kitchen Project</v>
      </c>
      <c r="D106" s="35" t="s">
        <v>88</v>
      </c>
      <c r="E106" s="35" t="s">
        <v>83</v>
      </c>
      <c r="F106" s="36" t="n">
        <v>45938</v>
      </c>
      <c r="G106" s="35" t="n">
        <v>1</v>
      </c>
      <c r="H106" s="35" t="n">
        <v>2</v>
      </c>
      <c r="I106" s="35" t="n">
        <v>2</v>
      </c>
      <c r="J106" s="35" t="n">
        <v>1</v>
      </c>
      <c r="K106" s="35" t="n">
        <v>1</v>
      </c>
      <c r="L106" s="35" t="n">
        <v>2</v>
      </c>
      <c r="M106" s="50" t="n">
        <f aca="false">IF(COUNT(G106:L106)&lt;6,"",ROUND((G106*Rubric!$D$5+H106*Rubric!$D$6+I106*Rubric!$D$7+J106*Rubric!$D$8+K106*Rubric!$D$9+L106*Rubric!$D$10)/5*100,1))</f>
        <v>30</v>
      </c>
      <c r="N106" s="37" t="str">
        <f aca="false">IF(OR(B106="",D106=""),"",IFERROR(IF(IF(E106="Primary",INDEX(Applications!$I$5:$I$600,MATCH(B106,Applications!$A$5:$A$600,0)),IF(E106="Secondary",INDEX(Applications!$J$5:$J$600,MATCH(B106,Applications!$A$5:$A$600,0)),INDEX(Applications!$K$5:$K$600,MATCH(B106,Applications!$A$5:$A$600,0))))=D106,"OK","Not assigned"),"Check ID"))</f>
        <v>OK</v>
      </c>
      <c r="O106" s="7"/>
    </row>
    <row r="107" customFormat="false" ht="15" hidden="false" customHeight="false" outlineLevel="0" collapsed="false">
      <c r="A107" s="35" t="s">
        <v>1502</v>
      </c>
      <c r="B107" s="35" t="s">
        <v>847</v>
      </c>
      <c r="C107" s="37" t="str">
        <f aca="false">IF(B107="","",IFERROR(INDEX(Applications!$B$5:$B$600,MATCH(B107,Applications!$A$5:$A$600,0)),"Application ID not found"))</f>
        <v>Lima Farm School</v>
      </c>
      <c r="D107" s="35" t="s">
        <v>88</v>
      </c>
      <c r="E107" s="35" t="s">
        <v>80</v>
      </c>
      <c r="F107" s="36" t="n">
        <v>45938</v>
      </c>
      <c r="G107" s="35" t="n">
        <v>4</v>
      </c>
      <c r="H107" s="35" t="n">
        <v>4</v>
      </c>
      <c r="I107" s="35" t="n">
        <v>4</v>
      </c>
      <c r="J107" s="35" t="n">
        <v>4</v>
      </c>
      <c r="K107" s="35" t="n">
        <v>5</v>
      </c>
      <c r="L107" s="35" t="n">
        <v>4</v>
      </c>
      <c r="M107" s="50" t="n">
        <f aca="false">IF(COUNT(G107:L107)&lt;6,"",ROUND((G107*Rubric!$D$5+H107*Rubric!$D$6+I107*Rubric!$D$7+J107*Rubric!$D$8+K107*Rubric!$D$9+L107*Rubric!$D$10)/5*100,1))</f>
        <v>82</v>
      </c>
      <c r="N107" s="37" t="str">
        <f aca="false">IF(OR(B107="",D107=""),"",IFERROR(IF(IF(E107="Primary",INDEX(Applications!$I$5:$I$600,MATCH(B107,Applications!$A$5:$A$600,0)),IF(E107="Secondary",INDEX(Applications!$J$5:$J$600,MATCH(B107,Applications!$A$5:$A$600,0)),INDEX(Applications!$K$5:$K$600,MATCH(B107,Applications!$A$5:$A$600,0))))=D107,"OK","Not assigned"),"Check ID"))</f>
        <v>OK</v>
      </c>
      <c r="O107" s="7"/>
    </row>
    <row r="108" customFormat="false" ht="15" hidden="false" customHeight="false" outlineLevel="0" collapsed="false">
      <c r="A108" s="35" t="s">
        <v>1503</v>
      </c>
      <c r="B108" s="35" t="s">
        <v>496</v>
      </c>
      <c r="C108" s="37" t="str">
        <f aca="false">IF(B108="","",IFERROR(INDEX(Applications!$B$5:$B$600,MATCH(B108,Applications!$A$5:$A$600,0)),"Application ID not found"))</f>
        <v>Buffalo Youth Food Lab</v>
      </c>
      <c r="D108" s="35" t="s">
        <v>88</v>
      </c>
      <c r="E108" s="35" t="s">
        <v>80</v>
      </c>
      <c r="F108" s="36" t="n">
        <v>45938</v>
      </c>
      <c r="G108" s="35" t="n">
        <v>5</v>
      </c>
      <c r="H108" s="35" t="n">
        <v>5</v>
      </c>
      <c r="I108" s="35" t="n">
        <v>5</v>
      </c>
      <c r="J108" s="35" t="n">
        <v>5</v>
      </c>
      <c r="K108" s="35" t="n">
        <v>5</v>
      </c>
      <c r="L108" s="35" t="n">
        <v>5</v>
      </c>
      <c r="M108" s="50" t="n">
        <f aca="false">IF(COUNT(G108:L108)&lt;6,"",ROUND((G108*Rubric!$D$5+H108*Rubric!$D$6+I108*Rubric!$D$7+J108*Rubric!$D$8+K108*Rubric!$D$9+L108*Rubric!$D$10)/5*100,1))</f>
        <v>100</v>
      </c>
      <c r="N108" s="37" t="str">
        <f aca="false">IF(OR(B108="",D108=""),"",IFERROR(IF(IF(E108="Primary",INDEX(Applications!$I$5:$I$600,MATCH(B108,Applications!$A$5:$A$600,0)),IF(E108="Secondary",INDEX(Applications!$J$5:$J$600,MATCH(B108,Applications!$A$5:$A$600,0)),INDEX(Applications!$K$5:$K$600,MATCH(B108,Applications!$A$5:$A$600,0))))=D108,"OK","Not assigned"),"Check ID"))</f>
        <v>OK</v>
      </c>
      <c r="O108" s="7"/>
    </row>
    <row r="109" customFormat="false" ht="15" hidden="false" customHeight="false" outlineLevel="0" collapsed="false">
      <c r="A109" s="35" t="s">
        <v>1504</v>
      </c>
      <c r="B109" s="35" t="s">
        <v>1237</v>
      </c>
      <c r="C109" s="37" t="str">
        <f aca="false">IF(B109="","",IFERROR(INDEX(Applications!$B$5:$B$600,MATCH(B109,Applications!$A$5:$A$600,0)),"Application ID not found"))</f>
        <v>Yakima Food Bank</v>
      </c>
      <c r="D109" s="35" t="s">
        <v>88</v>
      </c>
      <c r="E109" s="35" t="s">
        <v>83</v>
      </c>
      <c r="F109" s="36" t="n">
        <v>45938</v>
      </c>
      <c r="G109" s="35" t="n">
        <v>3</v>
      </c>
      <c r="H109" s="35" t="n">
        <v>3</v>
      </c>
      <c r="I109" s="35" t="n">
        <v>3</v>
      </c>
      <c r="J109" s="35" t="n">
        <v>2</v>
      </c>
      <c r="K109" s="35" t="n">
        <v>4</v>
      </c>
      <c r="L109" s="35" t="n">
        <v>3</v>
      </c>
      <c r="M109" s="50" t="n">
        <f aca="false">IF(COUNT(G109:L109)&lt;6,"",ROUND((G109*Rubric!$D$5+H109*Rubric!$D$6+I109*Rubric!$D$7+J109*Rubric!$D$8+K109*Rubric!$D$9+L109*Rubric!$D$10)/5*100,1))</f>
        <v>59</v>
      </c>
      <c r="N109" s="37" t="str">
        <f aca="false">IF(OR(B109="",D109=""),"",IFERROR(IF(IF(E109="Primary",INDEX(Applications!$I$5:$I$600,MATCH(B109,Applications!$A$5:$A$600,0)),IF(E109="Secondary",INDEX(Applications!$J$5:$J$600,MATCH(B109,Applications!$A$5:$A$600,0)),INDEX(Applications!$K$5:$K$600,MATCH(B109,Applications!$A$5:$A$600,0))))=D109,"OK","Not assigned"),"Check ID"))</f>
        <v>OK</v>
      </c>
      <c r="O109" s="7"/>
    </row>
    <row r="110" customFormat="false" ht="15" hidden="false" customHeight="false" outlineLevel="0" collapsed="false">
      <c r="A110" s="35" t="s">
        <v>1505</v>
      </c>
      <c r="B110" s="35" t="s">
        <v>188</v>
      </c>
      <c r="C110" s="37" t="str">
        <f aca="false">IF(B110="","",IFERROR(INDEX(Applications!$B$5:$B$600,MATCH(B110,Applications!$A$5:$A$600,0)),"Application ID not found"))</f>
        <v>Prairie Schools Nutrition Fund</v>
      </c>
      <c r="D110" s="35" t="s">
        <v>88</v>
      </c>
      <c r="E110" s="35" t="s">
        <v>83</v>
      </c>
      <c r="F110" s="36" t="n">
        <v>45938</v>
      </c>
      <c r="G110" s="35" t="n">
        <v>4</v>
      </c>
      <c r="H110" s="35" t="n">
        <v>4</v>
      </c>
      <c r="I110" s="35" t="n">
        <v>4</v>
      </c>
      <c r="J110" s="35" t="n">
        <v>4</v>
      </c>
      <c r="K110" s="35" t="n">
        <v>3</v>
      </c>
      <c r="L110" s="35" t="n">
        <v>5</v>
      </c>
      <c r="M110" s="50" t="n">
        <f aca="false">IF(COUNT(G110:L110)&lt;6,"",ROUND((G110*Rubric!$D$5+H110*Rubric!$D$6+I110*Rubric!$D$7+J110*Rubric!$D$8+K110*Rubric!$D$9+L110*Rubric!$D$10)/5*100,1))</f>
        <v>80</v>
      </c>
      <c r="N110" s="37" t="str">
        <f aca="false">IF(OR(B110="",D110=""),"",IFERROR(IF(IF(E110="Primary",INDEX(Applications!$I$5:$I$600,MATCH(B110,Applications!$A$5:$A$600,0)),IF(E110="Secondary",INDEX(Applications!$J$5:$J$600,MATCH(B110,Applications!$A$5:$A$600,0)),INDEX(Applications!$K$5:$K$600,MATCH(B110,Applications!$A$5:$A$600,0))))=D110,"OK","Not assigned"),"Check ID"))</f>
        <v>OK</v>
      </c>
      <c r="O110" s="7"/>
    </row>
    <row r="111" customFormat="false" ht="15" hidden="false" customHeight="false" outlineLevel="0" collapsed="false">
      <c r="A111" s="35" t="s">
        <v>1506</v>
      </c>
      <c r="B111" s="35" t="s">
        <v>233</v>
      </c>
      <c r="C111" s="37" t="str">
        <f aca="false">IF(B111="","",IFERROR(INDEX(Applications!$B$5:$B$600,MATCH(B111,Applications!$A$5:$A$600,0)),"Application ID not found"))</f>
        <v>Tucson Meals Project</v>
      </c>
      <c r="D111" s="35" t="s">
        <v>88</v>
      </c>
      <c r="E111" s="35" t="s">
        <v>80</v>
      </c>
      <c r="F111" s="36" t="n">
        <v>45938</v>
      </c>
      <c r="G111" s="35" t="n">
        <v>5</v>
      </c>
      <c r="H111" s="35" t="n">
        <v>5</v>
      </c>
      <c r="I111" s="35" t="n">
        <v>5</v>
      </c>
      <c r="J111" s="35" t="n">
        <v>4</v>
      </c>
      <c r="K111" s="35" t="n">
        <v>5</v>
      </c>
      <c r="L111" s="35" t="n">
        <v>4</v>
      </c>
      <c r="M111" s="50" t="n">
        <f aca="false">IF(COUNT(G111:L111)&lt;6,"",ROUND((G111*Rubric!$D$5+H111*Rubric!$D$6+I111*Rubric!$D$7+J111*Rubric!$D$8+K111*Rubric!$D$9+L111*Rubric!$D$10)/5*100,1))</f>
        <v>95</v>
      </c>
      <c r="N111" s="37" t="str">
        <f aca="false">IF(OR(B111="",D111=""),"",IFERROR(IF(IF(E111="Primary",INDEX(Applications!$I$5:$I$600,MATCH(B111,Applications!$A$5:$A$600,0)),IF(E111="Secondary",INDEX(Applications!$J$5:$J$600,MATCH(B111,Applications!$A$5:$A$600,0)),INDEX(Applications!$K$5:$K$600,MATCH(B111,Applications!$A$5:$A$600,0))))=D111,"OK","Not assigned"),"Check ID"))</f>
        <v>OK</v>
      </c>
      <c r="O111" s="7"/>
    </row>
    <row r="112" customFormat="false" ht="15" hidden="false" customHeight="false" outlineLevel="0" collapsed="false">
      <c r="A112" s="35" t="s">
        <v>1507</v>
      </c>
      <c r="B112" s="35" t="s">
        <v>913</v>
      </c>
      <c r="C112" s="37" t="str">
        <f aca="false">IF(B112="","",IFERROR(INDEX(Applications!$B$5:$B$600,MATCH(B112,Applications!$A$5:$A$600,0)),"Application ID not found"))</f>
        <v>Des Moines Seed Library</v>
      </c>
      <c r="D112" s="35" t="s">
        <v>88</v>
      </c>
      <c r="E112" s="35" t="s">
        <v>80</v>
      </c>
      <c r="F112" s="36" t="n">
        <v>45938</v>
      </c>
      <c r="G112" s="35" t="n">
        <v>3</v>
      </c>
      <c r="H112" s="35" t="n">
        <v>4</v>
      </c>
      <c r="I112" s="35" t="n">
        <v>3</v>
      </c>
      <c r="J112" s="35" t="n">
        <v>3</v>
      </c>
      <c r="K112" s="35" t="n">
        <v>4</v>
      </c>
      <c r="L112" s="35" t="n">
        <v>4</v>
      </c>
      <c r="M112" s="50" t="n">
        <f aca="false">IF(COUNT(G112:L112)&lt;6,"",ROUND((G112*Rubric!$D$5+H112*Rubric!$D$6+I112*Rubric!$D$7+J112*Rubric!$D$8+K112*Rubric!$D$9+L112*Rubric!$D$10)/5*100,1))</f>
        <v>68</v>
      </c>
      <c r="N112" s="37" t="str">
        <f aca="false">IF(OR(B112="",D112=""),"",IFERROR(IF(IF(E112="Primary",INDEX(Applications!$I$5:$I$600,MATCH(B112,Applications!$A$5:$A$600,0)),IF(E112="Secondary",INDEX(Applications!$J$5:$J$600,MATCH(B112,Applications!$A$5:$A$600,0)),INDEX(Applications!$K$5:$K$600,MATCH(B112,Applications!$A$5:$A$600,0))))=D112,"OK","Not assigned"),"Check ID"))</f>
        <v>OK</v>
      </c>
      <c r="O112" s="7"/>
    </row>
    <row r="113" customFormat="false" ht="15" hidden="false" customHeight="false" outlineLevel="0" collapsed="false">
      <c r="A113" s="35" t="s">
        <v>1508</v>
      </c>
      <c r="B113" s="35" t="s">
        <v>370</v>
      </c>
      <c r="C113" s="37" t="str">
        <f aca="false">IF(B113="","",IFERROR(INDEX(Applications!$B$5:$B$600,MATCH(B113,Applications!$A$5:$A$600,0)),"Application ID not found"))</f>
        <v>Marigold Youth Food Lab</v>
      </c>
      <c r="D113" s="35" t="s">
        <v>88</v>
      </c>
      <c r="E113" s="35" t="s">
        <v>80</v>
      </c>
      <c r="F113" s="36" t="n">
        <v>45938</v>
      </c>
      <c r="G113" s="35" t="n">
        <v>3</v>
      </c>
      <c r="H113" s="35" t="n">
        <v>3</v>
      </c>
      <c r="I113" s="35" t="n">
        <v>4</v>
      </c>
      <c r="J113" s="35" t="n">
        <v>3</v>
      </c>
      <c r="K113" s="35" t="n">
        <v>4</v>
      </c>
      <c r="L113" s="35" t="n">
        <v>3</v>
      </c>
      <c r="M113" s="50" t="n">
        <f aca="false">IF(COUNT(G113:L113)&lt;6,"",ROUND((G113*Rubric!$D$5+H113*Rubric!$D$6+I113*Rubric!$D$7+J113*Rubric!$D$8+K113*Rubric!$D$9+L113*Rubric!$D$10)/5*100,1))</f>
        <v>66</v>
      </c>
      <c r="N113" s="37" t="str">
        <f aca="false">IF(OR(B113="",D113=""),"",IFERROR(IF(IF(E113="Primary",INDEX(Applications!$I$5:$I$600,MATCH(B113,Applications!$A$5:$A$600,0)),IF(E113="Secondary",INDEX(Applications!$J$5:$J$600,MATCH(B113,Applications!$A$5:$A$600,0)),INDEX(Applications!$K$5:$K$600,MATCH(B113,Applications!$A$5:$A$600,0))))=D113,"OK","Not assigned"),"Check ID"))</f>
        <v>OK</v>
      </c>
      <c r="O113" s="7"/>
    </row>
    <row r="114" customFormat="false" ht="15" hidden="false" customHeight="false" outlineLevel="0" collapsed="false">
      <c r="A114" s="35" t="s">
        <v>1509</v>
      </c>
      <c r="B114" s="35" t="s">
        <v>1119</v>
      </c>
      <c r="C114" s="37" t="str">
        <f aca="false">IF(B114="","",IFERROR(INDEX(Applications!$B$5:$B$600,MATCH(B114,Applications!$A$5:$A$600,0)),"Application ID not found"))</f>
        <v>Milwaukee Seed Library</v>
      </c>
      <c r="D114" s="35" t="s">
        <v>91</v>
      </c>
      <c r="E114" s="35" t="s">
        <v>83</v>
      </c>
      <c r="F114" s="36" t="n">
        <v>45938</v>
      </c>
      <c r="G114" s="35" t="n">
        <v>4</v>
      </c>
      <c r="H114" s="35" t="n">
        <v>4</v>
      </c>
      <c r="I114" s="35" t="n">
        <v>4</v>
      </c>
      <c r="J114" s="35" t="n">
        <v>4</v>
      </c>
      <c r="K114" s="35" t="n">
        <v>4</v>
      </c>
      <c r="L114" s="35" t="n">
        <v>5</v>
      </c>
      <c r="M114" s="50" t="n">
        <f aca="false">IF(COUNT(G114:L114)&lt;6,"",ROUND((G114*Rubric!$D$5+H114*Rubric!$D$6+I114*Rubric!$D$7+J114*Rubric!$D$8+K114*Rubric!$D$9+L114*Rubric!$D$10)/5*100,1))</f>
        <v>82</v>
      </c>
      <c r="N114" s="37" t="str">
        <f aca="false">IF(OR(B114="",D114=""),"",IFERROR(IF(IF(E114="Primary",INDEX(Applications!$I$5:$I$600,MATCH(B114,Applications!$A$5:$A$600,0)),IF(E114="Secondary",INDEX(Applications!$J$5:$J$600,MATCH(B114,Applications!$A$5:$A$600,0)),INDEX(Applications!$K$5:$K$600,MATCH(B114,Applications!$A$5:$A$600,0))))=D114,"OK","Not assigned"),"Check ID"))</f>
        <v>OK</v>
      </c>
      <c r="O114" s="7"/>
    </row>
    <row r="115" customFormat="false" ht="15" hidden="false" customHeight="false" outlineLevel="0" collapsed="false">
      <c r="A115" s="35" t="s">
        <v>1510</v>
      </c>
      <c r="B115" s="35" t="s">
        <v>343</v>
      </c>
      <c r="C115" s="37" t="str">
        <f aca="false">IF(B115="","",IFERROR(INDEX(Applications!$B$5:$B$600,MATCH(B115,Applications!$A$5:$A$600,0)),"Application ID not found"))</f>
        <v>Linden Youth Food Lab</v>
      </c>
      <c r="D115" s="35" t="s">
        <v>91</v>
      </c>
      <c r="E115" s="35" t="s">
        <v>80</v>
      </c>
      <c r="F115" s="36" t="n">
        <v>45938</v>
      </c>
      <c r="G115" s="35" t="n">
        <v>3</v>
      </c>
      <c r="H115" s="35" t="n">
        <v>3</v>
      </c>
      <c r="I115" s="35" t="n">
        <v>3</v>
      </c>
      <c r="J115" s="35" t="n">
        <v>3</v>
      </c>
      <c r="K115" s="35" t="n">
        <v>3</v>
      </c>
      <c r="L115" s="35" t="n">
        <v>3</v>
      </c>
      <c r="M115" s="50" t="n">
        <f aca="false">IF(COUNT(G115:L115)&lt;6,"",ROUND((G115*Rubric!$D$5+H115*Rubric!$D$6+I115*Rubric!$D$7+J115*Rubric!$D$8+K115*Rubric!$D$9+L115*Rubric!$D$10)/5*100,1))</f>
        <v>60</v>
      </c>
      <c r="N115" s="37" t="str">
        <f aca="false">IF(OR(B115="",D115=""),"",IFERROR(IF(IF(E115="Primary",INDEX(Applications!$I$5:$I$600,MATCH(B115,Applications!$A$5:$A$600,0)),IF(E115="Secondary",INDEX(Applications!$J$5:$J$600,MATCH(B115,Applications!$A$5:$A$600,0)),INDEX(Applications!$K$5:$K$600,MATCH(B115,Applications!$A$5:$A$600,0))))=D115,"OK","Not assigned"),"Check ID"))</f>
        <v>OK</v>
      </c>
      <c r="O115" s="7" t="s">
        <v>1418</v>
      </c>
    </row>
    <row r="116" customFormat="false" ht="15" hidden="false" customHeight="false" outlineLevel="0" collapsed="false">
      <c r="A116" s="35" t="s">
        <v>1511</v>
      </c>
      <c r="B116" s="35" t="s">
        <v>1101</v>
      </c>
      <c r="C116" s="37" t="str">
        <f aca="false">IF(B116="","",IFERROR(INDEX(Applications!$B$5:$B$600,MATCH(B116,Applications!$A$5:$A$600,0)),"Application ID not found"))</f>
        <v>Riverbend Farm Collective</v>
      </c>
      <c r="D116" s="35" t="s">
        <v>91</v>
      </c>
      <c r="E116" s="35" t="s">
        <v>83</v>
      </c>
      <c r="F116" s="36" t="n">
        <v>45938</v>
      </c>
      <c r="G116" s="35" t="n">
        <v>2</v>
      </c>
      <c r="H116" s="35" t="n">
        <v>3</v>
      </c>
      <c r="I116" s="35" t="n">
        <v>3</v>
      </c>
      <c r="J116" s="35" t="n">
        <v>3</v>
      </c>
      <c r="K116" s="35" t="n">
        <v>3</v>
      </c>
      <c r="L116" s="35" t="n">
        <v>3</v>
      </c>
      <c r="M116" s="50" t="n">
        <f aca="false">IF(COUNT(G116:L116)&lt;6,"",ROUND((G116*Rubric!$D$5+H116*Rubric!$D$6+I116*Rubric!$D$7+J116*Rubric!$D$8+K116*Rubric!$D$9+L116*Rubric!$D$10)/5*100,1))</f>
        <v>55</v>
      </c>
      <c r="N116" s="37" t="str">
        <f aca="false">IF(OR(B116="",D116=""),"",IFERROR(IF(IF(E116="Primary",INDEX(Applications!$I$5:$I$600,MATCH(B116,Applications!$A$5:$A$600,0)),IF(E116="Secondary",INDEX(Applications!$J$5:$J$600,MATCH(B116,Applications!$A$5:$A$600,0)),INDEX(Applications!$K$5:$K$600,MATCH(B116,Applications!$A$5:$A$600,0))))=D116,"OK","Not assigned"),"Check ID"))</f>
        <v>OK</v>
      </c>
      <c r="O116" s="7"/>
    </row>
    <row r="117" customFormat="false" ht="15" hidden="false" customHeight="false" outlineLevel="0" collapsed="false">
      <c r="A117" s="35" t="s">
        <v>1512</v>
      </c>
      <c r="B117" s="35" t="s">
        <v>681</v>
      </c>
      <c r="C117" s="37" t="str">
        <f aca="false">IF(B117="","",IFERROR(INDEX(Applications!$B$5:$B$600,MATCH(B117,Applications!$A$5:$A$600,0)),"Application ID not found"))</f>
        <v>Louisville Schools Nutrition Fund</v>
      </c>
      <c r="D117" s="35" t="s">
        <v>91</v>
      </c>
      <c r="E117" s="35" t="s">
        <v>83</v>
      </c>
      <c r="F117" s="36" t="n">
        <v>45938</v>
      </c>
      <c r="G117" s="35" t="n">
        <v>4</v>
      </c>
      <c r="H117" s="35" t="n">
        <v>4</v>
      </c>
      <c r="I117" s="35" t="n">
        <v>4</v>
      </c>
      <c r="J117" s="35" t="n">
        <v>4</v>
      </c>
      <c r="K117" s="35" t="n">
        <v>5</v>
      </c>
      <c r="L117" s="35" t="n">
        <v>4</v>
      </c>
      <c r="M117" s="50" t="n">
        <f aca="false">IF(COUNT(G117:L117)&lt;6,"",ROUND((G117*Rubric!$D$5+H117*Rubric!$D$6+I117*Rubric!$D$7+J117*Rubric!$D$8+K117*Rubric!$D$9+L117*Rubric!$D$10)/5*100,1))</f>
        <v>82</v>
      </c>
      <c r="N117" s="37" t="str">
        <f aca="false">IF(OR(B117="",D117=""),"",IFERROR(IF(IF(E117="Primary",INDEX(Applications!$I$5:$I$600,MATCH(B117,Applications!$A$5:$A$600,0)),IF(E117="Secondary",INDEX(Applications!$J$5:$J$600,MATCH(B117,Applications!$A$5:$A$600,0)),INDEX(Applications!$K$5:$K$600,MATCH(B117,Applications!$A$5:$A$600,0))))=D117,"OK","Not assigned"),"Check ID"))</f>
        <v>OK</v>
      </c>
      <c r="O117" s="7" t="s">
        <v>1426</v>
      </c>
    </row>
    <row r="118" customFormat="false" ht="15" hidden="false" customHeight="false" outlineLevel="0" collapsed="false">
      <c r="A118" s="35" t="s">
        <v>1513</v>
      </c>
      <c r="B118" s="35" t="s">
        <v>331</v>
      </c>
      <c r="C118" s="37" t="str">
        <f aca="false">IF(B118="","",IFERROR(INDEX(Applications!$B$5:$B$600,MATCH(B118,Applications!$A$5:$A$600,0)),"Application ID not found"))</f>
        <v>Durham Youth Food Lab</v>
      </c>
      <c r="D118" s="35" t="s">
        <v>91</v>
      </c>
      <c r="E118" s="35" t="s">
        <v>80</v>
      </c>
      <c r="F118" s="36" t="n">
        <v>45938</v>
      </c>
      <c r="G118" s="35" t="n">
        <v>4</v>
      </c>
      <c r="H118" s="35" t="n">
        <v>4</v>
      </c>
      <c r="I118" s="35" t="n">
        <v>4</v>
      </c>
      <c r="J118" s="35" t="n">
        <v>4</v>
      </c>
      <c r="K118" s="35" t="n">
        <v>4</v>
      </c>
      <c r="L118" s="35" t="n">
        <v>5</v>
      </c>
      <c r="M118" s="50" t="n">
        <f aca="false">IF(COUNT(G118:L118)&lt;6,"",ROUND((G118*Rubric!$D$5+H118*Rubric!$D$6+I118*Rubric!$D$7+J118*Rubric!$D$8+K118*Rubric!$D$9+L118*Rubric!$D$10)/5*100,1))</f>
        <v>82</v>
      </c>
      <c r="N118" s="37" t="str">
        <f aca="false">IF(OR(B118="",D118=""),"",IFERROR(IF(IF(E118="Primary",INDEX(Applications!$I$5:$I$600,MATCH(B118,Applications!$A$5:$A$600,0)),IF(E118="Secondary",INDEX(Applications!$J$5:$J$600,MATCH(B118,Applications!$A$5:$A$600,0)),INDEX(Applications!$K$5:$K$600,MATCH(B118,Applications!$A$5:$A$600,0))))=D118,"OK","Not assigned"),"Check ID"))</f>
        <v>OK</v>
      </c>
      <c r="O118" s="7"/>
    </row>
    <row r="119" customFormat="false" ht="15" hidden="false" customHeight="false" outlineLevel="0" collapsed="false">
      <c r="A119" s="35" t="s">
        <v>1514</v>
      </c>
      <c r="B119" s="35" t="s">
        <v>544</v>
      </c>
      <c r="C119" s="37" t="str">
        <f aca="false">IF(B119="","",IFERROR(INDEX(Applications!$B$5:$B$600,MATCH(B119,Applications!$A$5:$A$600,0)),"Application ID not found"))</f>
        <v>Utrecht Youth Food Lab</v>
      </c>
      <c r="D119" s="35" t="s">
        <v>91</v>
      </c>
      <c r="E119" s="35" t="s">
        <v>80</v>
      </c>
      <c r="F119" s="36" t="n">
        <v>45938</v>
      </c>
      <c r="G119" s="35" t="n">
        <v>4</v>
      </c>
      <c r="H119" s="35" t="n">
        <v>4</v>
      </c>
      <c r="I119" s="35" t="n">
        <v>4</v>
      </c>
      <c r="J119" s="35" t="n">
        <v>5</v>
      </c>
      <c r="K119" s="35" t="n">
        <v>4</v>
      </c>
      <c r="L119" s="35" t="n">
        <v>4</v>
      </c>
      <c r="M119" s="50" t="n">
        <f aca="false">IF(COUNT(G119:L119)&lt;6,"",ROUND((G119*Rubric!$D$5+H119*Rubric!$D$6+I119*Rubric!$D$7+J119*Rubric!$D$8+K119*Rubric!$D$9+L119*Rubric!$D$10)/5*100,1))</f>
        <v>83</v>
      </c>
      <c r="N119" s="37" t="str">
        <f aca="false">IF(OR(B119="",D119=""),"",IFERROR(IF(IF(E119="Primary",INDEX(Applications!$I$5:$I$600,MATCH(B119,Applications!$A$5:$A$600,0)),IF(E119="Secondary",INDEX(Applications!$J$5:$J$600,MATCH(B119,Applications!$A$5:$A$600,0)),INDEX(Applications!$K$5:$K$600,MATCH(B119,Applications!$A$5:$A$600,0))))=D119,"OK","Not assigned"),"Check ID"))</f>
        <v>OK</v>
      </c>
      <c r="O119" s="7"/>
    </row>
    <row r="120" customFormat="false" ht="15" hidden="false" customHeight="false" outlineLevel="0" collapsed="false">
      <c r="A120" s="35" t="s">
        <v>1515</v>
      </c>
      <c r="B120" s="35" t="s">
        <v>1269</v>
      </c>
      <c r="C120" s="37" t="str">
        <f aca="false">IF(B120="","",IFERROR(INDEX(Applications!$B$5:$B$600,MATCH(B120,Applications!$A$5:$A$600,0)),"Application ID not found"))</f>
        <v>Copper Hill Cafe Training Program</v>
      </c>
      <c r="D120" s="35" t="s">
        <v>91</v>
      </c>
      <c r="E120" s="35" t="s">
        <v>83</v>
      </c>
      <c r="F120" s="36" t="n">
        <v>45938</v>
      </c>
      <c r="G120" s="35" t="n">
        <v>2</v>
      </c>
      <c r="H120" s="35" t="n">
        <v>3</v>
      </c>
      <c r="I120" s="35" t="n">
        <v>2</v>
      </c>
      <c r="J120" s="35" t="n">
        <v>3</v>
      </c>
      <c r="K120" s="35" t="n">
        <v>2</v>
      </c>
      <c r="L120" s="35" t="n">
        <v>2</v>
      </c>
      <c r="M120" s="50" t="n">
        <f aca="false">IF(COUNT(G120:L120)&lt;6,"",ROUND((G120*Rubric!$D$5+H120*Rubric!$D$6+I120*Rubric!$D$7+J120*Rubric!$D$8+K120*Rubric!$D$9+L120*Rubric!$D$10)/5*100,1))</f>
        <v>47</v>
      </c>
      <c r="N120" s="37" t="str">
        <f aca="false">IF(OR(B120="",D120=""),"",IFERROR(IF(IF(E120="Primary",INDEX(Applications!$I$5:$I$600,MATCH(B120,Applications!$A$5:$A$600,0)),IF(E120="Secondary",INDEX(Applications!$J$5:$J$600,MATCH(B120,Applications!$A$5:$A$600,0)),INDEX(Applications!$K$5:$K$600,MATCH(B120,Applications!$A$5:$A$600,0))))=D120,"OK","Not assigned"),"Check ID"))</f>
        <v>OK</v>
      </c>
      <c r="O120" s="7"/>
    </row>
    <row r="121" customFormat="false" ht="15" hidden="false" customHeight="false" outlineLevel="0" collapsed="false">
      <c r="A121" s="35" t="s">
        <v>1516</v>
      </c>
      <c r="B121" s="35" t="s">
        <v>1371</v>
      </c>
      <c r="C121" s="37" t="str">
        <f aca="false">IF(B121="","",IFERROR(INDEX(Applications!$B$5:$B$600,MATCH(B121,Applications!$A$5:$A$600,0)),"Application ID not found"))</f>
        <v>Marigold Kitchen Project</v>
      </c>
      <c r="D121" s="35" t="s">
        <v>91</v>
      </c>
      <c r="E121" s="35" t="s">
        <v>80</v>
      </c>
      <c r="F121" s="36" t="n">
        <v>45938</v>
      </c>
      <c r="G121" s="35" t="n">
        <v>5</v>
      </c>
      <c r="H121" s="35" t="n">
        <v>4</v>
      </c>
      <c r="I121" s="35" t="n">
        <v>4</v>
      </c>
      <c r="J121" s="35" t="n">
        <v>3</v>
      </c>
      <c r="K121" s="35" t="n">
        <v>4</v>
      </c>
      <c r="L121" s="35" t="n">
        <v>4</v>
      </c>
      <c r="M121" s="50" t="n">
        <f aca="false">IF(COUNT(G121:L121)&lt;6,"",ROUND((G121*Rubric!$D$5+H121*Rubric!$D$6+I121*Rubric!$D$7+J121*Rubric!$D$8+K121*Rubric!$D$9+L121*Rubric!$D$10)/5*100,1))</f>
        <v>82</v>
      </c>
      <c r="N121" s="37" t="str">
        <f aca="false">IF(OR(B121="",D121=""),"",IFERROR(IF(IF(E121="Primary",INDEX(Applications!$I$5:$I$600,MATCH(B121,Applications!$A$5:$A$600,0)),IF(E121="Secondary",INDEX(Applications!$J$5:$J$600,MATCH(B121,Applications!$A$5:$A$600,0)),INDEX(Applications!$K$5:$K$600,MATCH(B121,Applications!$A$5:$A$600,0))))=D121,"OK","Not assigned"),"Check ID"))</f>
        <v>OK</v>
      </c>
      <c r="O121" s="7"/>
    </row>
    <row r="122" customFormat="false" ht="15" hidden="false" customHeight="false" outlineLevel="0" collapsed="false">
      <c r="A122" s="35" t="s">
        <v>1517</v>
      </c>
      <c r="B122" s="35" t="s">
        <v>370</v>
      </c>
      <c r="C122" s="37" t="str">
        <f aca="false">IF(B122="","",IFERROR(INDEX(Applications!$B$5:$B$600,MATCH(B122,Applications!$A$5:$A$600,0)),"Application ID not found"))</f>
        <v>Marigold Youth Food Lab</v>
      </c>
      <c r="D122" s="35" t="s">
        <v>91</v>
      </c>
      <c r="E122" s="35" t="s">
        <v>83</v>
      </c>
      <c r="F122" s="36" t="n">
        <v>45938</v>
      </c>
      <c r="G122" s="35" t="n">
        <v>4</v>
      </c>
      <c r="H122" s="35" t="n">
        <v>4</v>
      </c>
      <c r="I122" s="35" t="n">
        <v>3</v>
      </c>
      <c r="J122" s="35" t="n">
        <v>3</v>
      </c>
      <c r="K122" s="35" t="n">
        <v>4</v>
      </c>
      <c r="L122" s="35" t="n">
        <v>3</v>
      </c>
      <c r="M122" s="50" t="n">
        <f aca="false">IF(COUNT(G122:L122)&lt;6,"",ROUND((G122*Rubric!$D$5+H122*Rubric!$D$6+I122*Rubric!$D$7+J122*Rubric!$D$8+K122*Rubric!$D$9+L122*Rubric!$D$10)/5*100,1))</f>
        <v>71</v>
      </c>
      <c r="N122" s="37" t="str">
        <f aca="false">IF(OR(B122="",D122=""),"",IFERROR(IF(IF(E122="Primary",INDEX(Applications!$I$5:$I$600,MATCH(B122,Applications!$A$5:$A$600,0)),IF(E122="Secondary",INDEX(Applications!$J$5:$J$600,MATCH(B122,Applications!$A$5:$A$600,0)),INDEX(Applications!$K$5:$K$600,MATCH(B122,Applications!$A$5:$A$600,0))))=D122,"OK","Not assigned"),"Check ID"))</f>
        <v>OK</v>
      </c>
      <c r="O122" s="7"/>
    </row>
    <row r="123" customFormat="false" ht="15" hidden="false" customHeight="false" outlineLevel="0" collapsed="false">
      <c r="A123" s="35" t="s">
        <v>1518</v>
      </c>
      <c r="B123" s="35" t="s">
        <v>280</v>
      </c>
      <c r="C123" s="37" t="str">
        <f aca="false">IF(B123="","",IFERROR(INDEX(Applications!$B$5:$B$600,MATCH(B123,Applications!$A$5:$A$600,0)),"Application ID not found"))</f>
        <v>Chennai Meals Project</v>
      </c>
      <c r="D123" s="35" t="s">
        <v>91</v>
      </c>
      <c r="E123" s="35" t="s">
        <v>83</v>
      </c>
      <c r="F123" s="36" t="n">
        <v>45938</v>
      </c>
      <c r="G123" s="35" t="n">
        <v>3</v>
      </c>
      <c r="H123" s="35" t="n">
        <v>3</v>
      </c>
      <c r="I123" s="35" t="n">
        <v>3</v>
      </c>
      <c r="J123" s="35" t="n">
        <v>3</v>
      </c>
      <c r="K123" s="35" t="n">
        <v>3</v>
      </c>
      <c r="L123" s="35" t="n">
        <v>3</v>
      </c>
      <c r="M123" s="50" t="n">
        <f aca="false">IF(COUNT(G123:L123)&lt;6,"",ROUND((G123*Rubric!$D$5+H123*Rubric!$D$6+I123*Rubric!$D$7+J123*Rubric!$D$8+K123*Rubric!$D$9+L123*Rubric!$D$10)/5*100,1))</f>
        <v>60</v>
      </c>
      <c r="N123" s="37" t="str">
        <f aca="false">IF(OR(B123="",D123=""),"",IFERROR(IF(IF(E123="Primary",INDEX(Applications!$I$5:$I$600,MATCH(B123,Applications!$A$5:$A$600,0)),IF(E123="Secondary",INDEX(Applications!$J$5:$J$600,MATCH(B123,Applications!$A$5:$A$600,0)),INDEX(Applications!$K$5:$K$600,MATCH(B123,Applications!$A$5:$A$600,0))))=D123,"OK","Not assigned"),"Check ID"))</f>
        <v>OK</v>
      </c>
      <c r="O123" s="7"/>
    </row>
    <row r="124" customFormat="false" ht="15" hidden="false" customHeight="false" outlineLevel="0" collapsed="false">
      <c r="A124" s="35" t="s">
        <v>1519</v>
      </c>
      <c r="B124" s="35" t="s">
        <v>520</v>
      </c>
      <c r="C124" s="37" t="str">
        <f aca="false">IF(B124="","",IFERROR(INDEX(Applications!$B$5:$B$600,MATCH(B124,Applications!$A$5:$A$600,0)),"Application ID not found"))</f>
        <v>Northside Youth Food Lab</v>
      </c>
      <c r="D124" s="35" t="s">
        <v>91</v>
      </c>
      <c r="E124" s="35" t="s">
        <v>83</v>
      </c>
      <c r="F124" s="36" t="n">
        <v>45938</v>
      </c>
      <c r="G124" s="35" t="n">
        <v>3</v>
      </c>
      <c r="H124" s="35" t="n">
        <v>2</v>
      </c>
      <c r="I124" s="35" t="n">
        <v>2</v>
      </c>
      <c r="J124" s="35" t="n">
        <v>3</v>
      </c>
      <c r="K124" s="35" t="n">
        <v>3</v>
      </c>
      <c r="L124" s="35" t="n">
        <v>2</v>
      </c>
      <c r="M124" s="50" t="n">
        <f aca="false">IF(COUNT(G124:L124)&lt;6,"",ROUND((G124*Rubric!$D$5+H124*Rubric!$D$6+I124*Rubric!$D$7+J124*Rubric!$D$8+K124*Rubric!$D$9+L124*Rubric!$D$10)/5*100,1))</f>
        <v>50</v>
      </c>
      <c r="N124" s="37" t="str">
        <f aca="false">IF(OR(B124="",D124=""),"",IFERROR(IF(IF(E124="Primary",INDEX(Applications!$I$5:$I$600,MATCH(B124,Applications!$A$5:$A$600,0)),IF(E124="Secondary",INDEX(Applications!$J$5:$J$600,MATCH(B124,Applications!$A$5:$A$600,0)),INDEX(Applications!$K$5:$K$600,MATCH(B124,Applications!$A$5:$A$600,0))))=D124,"OK","Not assigned"),"Check ID"))</f>
        <v>OK</v>
      </c>
      <c r="O124" s="7"/>
    </row>
    <row r="125" customFormat="false" ht="15" hidden="false" customHeight="false" outlineLevel="0" collapsed="false">
      <c r="A125" s="35" t="s">
        <v>1520</v>
      </c>
      <c r="B125" s="35" t="s">
        <v>452</v>
      </c>
      <c r="C125" s="37" t="str">
        <f aca="false">IF(B125="","",IFERROR(INDEX(Applications!$B$5:$B$600,MATCH(B125,Applications!$A$5:$A$600,0)),"Application ID not found"))</f>
        <v>Bridgeview Meals Project</v>
      </c>
      <c r="D125" s="35" t="s">
        <v>91</v>
      </c>
      <c r="E125" s="35" t="s">
        <v>80</v>
      </c>
      <c r="F125" s="36" t="n">
        <v>45938</v>
      </c>
      <c r="G125" s="35" t="n">
        <v>4</v>
      </c>
      <c r="H125" s="35" t="n">
        <v>4</v>
      </c>
      <c r="I125" s="35" t="n">
        <v>4</v>
      </c>
      <c r="J125" s="35" t="n">
        <v>4</v>
      </c>
      <c r="K125" s="35" t="n">
        <v>3</v>
      </c>
      <c r="L125" s="35" t="n">
        <v>4</v>
      </c>
      <c r="M125" s="50" t="n">
        <f aca="false">IF(COUNT(G125:L125)&lt;6,"",ROUND((G125*Rubric!$D$5+H125*Rubric!$D$6+I125*Rubric!$D$7+J125*Rubric!$D$8+K125*Rubric!$D$9+L125*Rubric!$D$10)/5*100,1))</f>
        <v>78</v>
      </c>
      <c r="N125" s="37" t="str">
        <f aca="false">IF(OR(B125="",D125=""),"",IFERROR(IF(IF(E125="Primary",INDEX(Applications!$I$5:$I$600,MATCH(B125,Applications!$A$5:$A$600,0)),IF(E125="Secondary",INDEX(Applications!$J$5:$J$600,MATCH(B125,Applications!$A$5:$A$600,0)),INDEX(Applications!$K$5:$K$600,MATCH(B125,Applications!$A$5:$A$600,0))))=D125,"OK","Not assigned"),"Check ID"))</f>
        <v>OK</v>
      </c>
      <c r="O125" s="7"/>
    </row>
    <row r="126" customFormat="false" ht="15" hidden="false" customHeight="false" outlineLevel="0" collapsed="false">
      <c r="A126" s="35" t="s">
        <v>1521</v>
      </c>
      <c r="B126" s="35" t="s">
        <v>480</v>
      </c>
      <c r="C126" s="37" t="str">
        <f aca="false">IF(B126="","",IFERROR(INDEX(Applications!$B$5:$B$600,MATCH(B126,Applications!$A$5:$A$600,0)),"Application ID not found"))</f>
        <v>Hamilton Mobile Market</v>
      </c>
      <c r="D126" s="35" t="s">
        <v>91</v>
      </c>
      <c r="E126" s="35" t="s">
        <v>80</v>
      </c>
      <c r="F126" s="36" t="n">
        <v>45938</v>
      </c>
      <c r="G126" s="35" t="n">
        <v>3</v>
      </c>
      <c r="H126" s="35" t="n">
        <v>3</v>
      </c>
      <c r="I126" s="35" t="n">
        <v>3</v>
      </c>
      <c r="J126" s="35" t="n">
        <v>4</v>
      </c>
      <c r="K126" s="35" t="n">
        <v>3</v>
      </c>
      <c r="L126" s="35" t="n">
        <v>3</v>
      </c>
      <c r="M126" s="50" t="n">
        <f aca="false">IF(COUNT(G126:L126)&lt;6,"",ROUND((G126*Rubric!$D$5+H126*Rubric!$D$6+I126*Rubric!$D$7+J126*Rubric!$D$8+K126*Rubric!$D$9+L126*Rubric!$D$10)/5*100,1))</f>
        <v>63</v>
      </c>
      <c r="N126" s="37" t="str">
        <f aca="false">IF(OR(B126="",D126=""),"",IFERROR(IF(IF(E126="Primary",INDEX(Applications!$I$5:$I$600,MATCH(B126,Applications!$A$5:$A$600,0)),IF(E126="Secondary",INDEX(Applications!$J$5:$J$600,MATCH(B126,Applications!$A$5:$A$600,0)),INDEX(Applications!$K$5:$K$600,MATCH(B126,Applications!$A$5:$A$600,0))))=D126,"OK","Not assigned"),"Check ID"))</f>
        <v>OK</v>
      </c>
      <c r="O126" s="7"/>
    </row>
    <row r="127" customFormat="false" ht="15" hidden="false" customHeight="false" outlineLevel="0" collapsed="false">
      <c r="A127" s="35" t="s">
        <v>1522</v>
      </c>
      <c r="B127" s="35" t="s">
        <v>1021</v>
      </c>
      <c r="C127" s="37" t="str">
        <f aca="false">IF(B127="","",IFERROR(INDEX(Applications!$B$5:$B$600,MATCH(B127,Applications!$A$5:$A$600,0)),"Application ID not found"))</f>
        <v>Greenway Cafe Training Program</v>
      </c>
      <c r="D127" s="35" t="s">
        <v>85</v>
      </c>
      <c r="E127" s="35" t="s">
        <v>80</v>
      </c>
      <c r="F127" s="36" t="n">
        <v>45938</v>
      </c>
      <c r="G127" s="35" t="n">
        <v>4</v>
      </c>
      <c r="H127" s="35" t="n">
        <v>3</v>
      </c>
      <c r="I127" s="35" t="n">
        <v>3</v>
      </c>
      <c r="J127" s="35" t="n">
        <v>3</v>
      </c>
      <c r="K127" s="35" t="n">
        <v>3</v>
      </c>
      <c r="L127" s="35" t="n">
        <v>3</v>
      </c>
      <c r="M127" s="50" t="n">
        <f aca="false">IF(COUNT(G127:L127)&lt;6,"",ROUND((G127*Rubric!$D$5+H127*Rubric!$D$6+I127*Rubric!$D$7+J127*Rubric!$D$8+K127*Rubric!$D$9+L127*Rubric!$D$10)/5*100,1))</f>
        <v>65</v>
      </c>
      <c r="N127" s="37" t="str">
        <f aca="false">IF(OR(B127="",D127=""),"",IFERROR(IF(IF(E127="Primary",INDEX(Applications!$I$5:$I$600,MATCH(B127,Applications!$A$5:$A$600,0)),IF(E127="Secondary",INDEX(Applications!$J$5:$J$600,MATCH(B127,Applications!$A$5:$A$600,0)),INDEX(Applications!$K$5:$K$600,MATCH(B127,Applications!$A$5:$A$600,0))))=D127,"OK","Not assigned"),"Check ID"))</f>
        <v>OK</v>
      </c>
      <c r="O127" s="7"/>
    </row>
    <row r="128" customFormat="false" ht="15" hidden="false" customHeight="false" outlineLevel="0" collapsed="false">
      <c r="A128" s="35" t="s">
        <v>1523</v>
      </c>
      <c r="B128" s="35" t="s">
        <v>581</v>
      </c>
      <c r="C128" s="37" t="str">
        <f aca="false">IF(B128="","",IFERROR(INDEX(Applications!$B$5:$B$600,MATCH(B128,Applications!$A$5:$A$600,0)),"Application ID not found"))</f>
        <v>Cedar Food Bank</v>
      </c>
      <c r="D128" s="35" t="s">
        <v>85</v>
      </c>
      <c r="E128" s="35" t="s">
        <v>80</v>
      </c>
      <c r="F128" s="36" t="n">
        <v>45938</v>
      </c>
      <c r="G128" s="35" t="n">
        <v>3</v>
      </c>
      <c r="H128" s="35" t="n">
        <v>3</v>
      </c>
      <c r="I128" s="35" t="n">
        <v>3</v>
      </c>
      <c r="J128" s="35" t="n">
        <v>3</v>
      </c>
      <c r="K128" s="35" t="n">
        <v>3</v>
      </c>
      <c r="L128" s="35" t="n">
        <v>4</v>
      </c>
      <c r="M128" s="50" t="n">
        <f aca="false">IF(COUNT(G128:L128)&lt;6,"",ROUND((G128*Rubric!$D$5+H128*Rubric!$D$6+I128*Rubric!$D$7+J128*Rubric!$D$8+K128*Rubric!$D$9+L128*Rubric!$D$10)/5*100,1))</f>
        <v>62</v>
      </c>
      <c r="N128" s="37" t="str">
        <f aca="false">IF(OR(B128="",D128=""),"",IFERROR(IF(IF(E128="Primary",INDEX(Applications!$I$5:$I$600,MATCH(B128,Applications!$A$5:$A$600,0)),IF(E128="Secondary",INDEX(Applications!$J$5:$J$600,MATCH(B128,Applications!$A$5:$A$600,0)),INDEX(Applications!$K$5:$K$600,MATCH(B128,Applications!$A$5:$A$600,0))))=D128,"OK","Not assigned"),"Check ID"))</f>
        <v>OK</v>
      </c>
      <c r="O128" s="7" t="s">
        <v>1418</v>
      </c>
    </row>
    <row r="129" customFormat="false" ht="15" hidden="false" customHeight="false" outlineLevel="0" collapsed="false">
      <c r="A129" s="35" t="s">
        <v>1524</v>
      </c>
      <c r="B129" s="35" t="s">
        <v>408</v>
      </c>
      <c r="C129" s="37" t="str">
        <f aca="false">IF(B129="","",IFERROR(INDEX(Applications!$B$5:$B$600,MATCH(B129,Applications!$A$5:$A$600,0)),"Application ID not found"))</f>
        <v>Mombasa Youth Food Lab</v>
      </c>
      <c r="D129" s="35" t="s">
        <v>85</v>
      </c>
      <c r="E129" s="35" t="s">
        <v>80</v>
      </c>
      <c r="F129" s="36" t="n">
        <v>45938</v>
      </c>
      <c r="G129" s="35" t="n">
        <v>3</v>
      </c>
      <c r="H129" s="35" t="n">
        <v>2</v>
      </c>
      <c r="I129" s="35" t="n">
        <v>3</v>
      </c>
      <c r="J129" s="35" t="n">
        <v>3</v>
      </c>
      <c r="K129" s="35" t="n">
        <v>3</v>
      </c>
      <c r="L129" s="35" t="n">
        <v>3</v>
      </c>
      <c r="M129" s="50" t="n">
        <f aca="false">IF(COUNT(G129:L129)&lt;6,"",ROUND((G129*Rubric!$D$5+H129*Rubric!$D$6+I129*Rubric!$D$7+J129*Rubric!$D$8+K129*Rubric!$D$9+L129*Rubric!$D$10)/5*100,1))</f>
        <v>56</v>
      </c>
      <c r="N129" s="37" t="str">
        <f aca="false">IF(OR(B129="",D129=""),"",IFERROR(IF(IF(E129="Primary",INDEX(Applications!$I$5:$I$600,MATCH(B129,Applications!$A$5:$A$600,0)),IF(E129="Secondary",INDEX(Applications!$J$5:$J$600,MATCH(B129,Applications!$A$5:$A$600,0)),INDEX(Applications!$K$5:$K$600,MATCH(B129,Applications!$A$5:$A$600,0))))=D129,"OK","Not assigned"),"Check ID"))</f>
        <v>OK</v>
      </c>
      <c r="O129" s="7"/>
    </row>
    <row r="130" customFormat="false" ht="15" hidden="false" customHeight="false" outlineLevel="0" collapsed="false">
      <c r="A130" s="35" t="s">
        <v>1525</v>
      </c>
      <c r="B130" s="35" t="s">
        <v>216</v>
      </c>
      <c r="C130" s="37" t="str">
        <f aca="false">IF(B130="","",IFERROR(INDEX(Applications!$B$5:$B$600,MATCH(B130,Applications!$A$5:$A$600,0)),"Application ID not found"))</f>
        <v>Southfield Family Center</v>
      </c>
      <c r="D130" s="35" t="s">
        <v>85</v>
      </c>
      <c r="E130" s="35" t="s">
        <v>83</v>
      </c>
      <c r="F130" s="36" t="n">
        <v>45938</v>
      </c>
      <c r="G130" s="35" t="n">
        <v>2</v>
      </c>
      <c r="H130" s="35" t="n">
        <v>2</v>
      </c>
      <c r="I130" s="35" t="n">
        <v>2</v>
      </c>
      <c r="J130" s="35" t="n">
        <v>2</v>
      </c>
      <c r="K130" s="35" t="n">
        <v>2</v>
      </c>
      <c r="L130" s="35" t="n">
        <v>2</v>
      </c>
      <c r="M130" s="50" t="n">
        <f aca="false">IF(COUNT(G130:L130)&lt;6,"",ROUND((G130*Rubric!$D$5+H130*Rubric!$D$6+I130*Rubric!$D$7+J130*Rubric!$D$8+K130*Rubric!$D$9+L130*Rubric!$D$10)/5*100,1))</f>
        <v>40</v>
      </c>
      <c r="N130" s="37" t="str">
        <f aca="false">IF(OR(B130="",D130=""),"",IFERROR(IF(IF(E130="Primary",INDEX(Applications!$I$5:$I$600,MATCH(B130,Applications!$A$5:$A$600,0)),IF(E130="Secondary",INDEX(Applications!$J$5:$J$600,MATCH(B130,Applications!$A$5:$A$600,0)),INDEX(Applications!$K$5:$K$600,MATCH(B130,Applications!$A$5:$A$600,0))))=D130,"OK","Not assigned"),"Check ID"))</f>
        <v>OK</v>
      </c>
      <c r="O130" s="7"/>
    </row>
    <row r="131" customFormat="false" ht="15" hidden="false" customHeight="false" outlineLevel="0" collapsed="false">
      <c r="A131" s="35" t="s">
        <v>1526</v>
      </c>
      <c r="B131" s="35" t="s">
        <v>941</v>
      </c>
      <c r="C131" s="37" t="str">
        <f aca="false">IF(B131="","",IFERROR(INDEX(Applications!$B$5:$B$600,MATCH(B131,Applications!$A$5:$A$600,0)),"Application ID not found"))</f>
        <v>Commonground Community Pantry</v>
      </c>
      <c r="D131" s="35" t="s">
        <v>85</v>
      </c>
      <c r="E131" s="35" t="s">
        <v>80</v>
      </c>
      <c r="F131" s="36" t="n">
        <v>45938</v>
      </c>
      <c r="G131" s="35" t="n">
        <v>3</v>
      </c>
      <c r="H131" s="35" t="n">
        <v>4</v>
      </c>
      <c r="I131" s="35" t="n">
        <v>4</v>
      </c>
      <c r="J131" s="35" t="n">
        <v>4</v>
      </c>
      <c r="K131" s="35" t="n">
        <v>4</v>
      </c>
      <c r="L131" s="35" t="n">
        <v>4</v>
      </c>
      <c r="M131" s="50" t="n">
        <f aca="false">IF(COUNT(G131:L131)&lt;6,"",ROUND((G131*Rubric!$D$5+H131*Rubric!$D$6+I131*Rubric!$D$7+J131*Rubric!$D$8+K131*Rubric!$D$9+L131*Rubric!$D$10)/5*100,1))</f>
        <v>75</v>
      </c>
      <c r="N131" s="37" t="str">
        <f aca="false">IF(OR(B131="",D131=""),"",IFERROR(IF(IF(E131="Primary",INDEX(Applications!$I$5:$I$600,MATCH(B131,Applications!$A$5:$A$600,0)),IF(E131="Secondary",INDEX(Applications!$J$5:$J$600,MATCH(B131,Applications!$A$5:$A$600,0)),INDEX(Applications!$K$5:$K$600,MATCH(B131,Applications!$A$5:$A$600,0))))=D131,"OK","Not assigned"),"Check ID"))</f>
        <v>OK</v>
      </c>
      <c r="O131" s="7"/>
    </row>
    <row r="132" customFormat="false" ht="15" hidden="false" customHeight="false" outlineLevel="0" collapsed="false">
      <c r="A132" s="35" t="s">
        <v>1527</v>
      </c>
      <c r="B132" s="35" t="s">
        <v>1207</v>
      </c>
      <c r="C132" s="37" t="str">
        <f aca="false">IF(B132="","",IFERROR(INDEX(Applications!$B$5:$B$600,MATCH(B132,Applications!$A$5:$A$600,0)),"Application ID not found"))</f>
        <v>Columbus Food Bank</v>
      </c>
      <c r="D132" s="35" t="s">
        <v>85</v>
      </c>
      <c r="E132" s="35" t="s">
        <v>83</v>
      </c>
      <c r="F132" s="36" t="n">
        <v>45938</v>
      </c>
      <c r="G132" s="35" t="n">
        <v>2</v>
      </c>
      <c r="H132" s="35" t="n">
        <v>3</v>
      </c>
      <c r="I132" s="35" t="n">
        <v>3</v>
      </c>
      <c r="J132" s="35" t="n">
        <v>2</v>
      </c>
      <c r="K132" s="35" t="n">
        <v>2</v>
      </c>
      <c r="L132" s="35" t="n">
        <v>3</v>
      </c>
      <c r="M132" s="50" t="n">
        <f aca="false">IF(COUNT(G132:L132)&lt;6,"",ROUND((G132*Rubric!$D$5+H132*Rubric!$D$6+I132*Rubric!$D$7+J132*Rubric!$D$8+K132*Rubric!$D$9+L132*Rubric!$D$10)/5*100,1))</f>
        <v>50</v>
      </c>
      <c r="N132" s="37" t="str">
        <f aca="false">IF(OR(B132="",D132=""),"",IFERROR(IF(IF(E132="Primary",INDEX(Applications!$I$5:$I$600,MATCH(B132,Applications!$A$5:$A$600,0)),IF(E132="Secondary",INDEX(Applications!$J$5:$J$600,MATCH(B132,Applications!$A$5:$A$600,0)),INDEX(Applications!$K$5:$K$600,MATCH(B132,Applications!$A$5:$A$600,0))))=D132,"OK","Not assigned"),"Check ID"))</f>
        <v>OK</v>
      </c>
      <c r="O132" s="7"/>
    </row>
    <row r="133" customFormat="false" ht="15" hidden="false" customHeight="false" outlineLevel="0" collapsed="false">
      <c r="A133" s="35" t="s">
        <v>1528</v>
      </c>
      <c r="B133" s="35" t="s">
        <v>603</v>
      </c>
      <c r="C133" s="37" t="str">
        <f aca="false">IF(B133="","",IFERROR(INDEX(Applications!$B$5:$B$600,MATCH(B133,Applications!$A$5:$A$600,0)),"Application ID not found"))</f>
        <v>Tidewater Meals Project</v>
      </c>
      <c r="D133" s="35" t="s">
        <v>85</v>
      </c>
      <c r="E133" s="35" t="s">
        <v>83</v>
      </c>
      <c r="F133" s="36" t="n">
        <v>45938</v>
      </c>
      <c r="G133" s="35" t="n">
        <v>3</v>
      </c>
      <c r="H133" s="35" t="n">
        <v>3</v>
      </c>
      <c r="I133" s="35" t="n">
        <v>3</v>
      </c>
      <c r="J133" s="35" t="n">
        <v>3</v>
      </c>
      <c r="K133" s="35" t="n">
        <v>4</v>
      </c>
      <c r="L133" s="35" t="n">
        <v>3</v>
      </c>
      <c r="M133" s="50" t="n">
        <f aca="false">IF(COUNT(G133:L133)&lt;6,"",ROUND((G133*Rubric!$D$5+H133*Rubric!$D$6+I133*Rubric!$D$7+J133*Rubric!$D$8+K133*Rubric!$D$9+L133*Rubric!$D$10)/5*100,1))</f>
        <v>62</v>
      </c>
      <c r="N133" s="37" t="str">
        <f aca="false">IF(OR(B133="",D133=""),"",IFERROR(IF(IF(E133="Primary",INDEX(Applications!$I$5:$I$600,MATCH(B133,Applications!$A$5:$A$600,0)),IF(E133="Secondary",INDEX(Applications!$J$5:$J$600,MATCH(B133,Applications!$A$5:$A$600,0)),INDEX(Applications!$K$5:$K$600,MATCH(B133,Applications!$A$5:$A$600,0))))=D133,"OK","Not assigned"),"Check ID"))</f>
        <v>OK</v>
      </c>
      <c r="O133" s="7"/>
    </row>
    <row r="134" customFormat="false" ht="15" hidden="false" customHeight="false" outlineLevel="0" collapsed="false">
      <c r="A134" s="35" t="s">
        <v>1529</v>
      </c>
      <c r="B134" s="35" t="s">
        <v>951</v>
      </c>
      <c r="C134" s="37" t="str">
        <f aca="false">IF(B134="","",IFERROR(INDEX(Applications!$B$5:$B$600,MATCH(B134,Applications!$A$5:$A$600,0)),"Application ID not found"))</f>
        <v>Bridgeview Pantry Network</v>
      </c>
      <c r="D134" s="35" t="s">
        <v>85</v>
      </c>
      <c r="E134" s="35" t="s">
        <v>80</v>
      </c>
      <c r="F134" s="36" t="n">
        <v>45938</v>
      </c>
      <c r="G134" s="35" t="n">
        <v>3</v>
      </c>
      <c r="H134" s="35" t="n">
        <v>2</v>
      </c>
      <c r="I134" s="35" t="n">
        <v>3</v>
      </c>
      <c r="J134" s="35" t="n">
        <v>3</v>
      </c>
      <c r="K134" s="35" t="n">
        <v>3</v>
      </c>
      <c r="L134" s="35" t="n">
        <v>3</v>
      </c>
      <c r="M134" s="50" t="n">
        <f aca="false">IF(COUNT(G134:L134)&lt;6,"",ROUND((G134*Rubric!$D$5+H134*Rubric!$D$6+I134*Rubric!$D$7+J134*Rubric!$D$8+K134*Rubric!$D$9+L134*Rubric!$D$10)/5*100,1))</f>
        <v>56</v>
      </c>
      <c r="N134" s="37" t="str">
        <f aca="false">IF(OR(B134="",D134=""),"",IFERROR(IF(IF(E134="Primary",INDEX(Applications!$I$5:$I$600,MATCH(B134,Applications!$A$5:$A$600,0)),IF(E134="Secondary",INDEX(Applications!$J$5:$J$600,MATCH(B134,Applications!$A$5:$A$600,0)),INDEX(Applications!$K$5:$K$600,MATCH(B134,Applications!$A$5:$A$600,0))))=D134,"OK","Not assigned"),"Check ID"))</f>
        <v>OK</v>
      </c>
      <c r="O134" s="7"/>
    </row>
    <row r="135" customFormat="false" ht="15" hidden="false" customHeight="false" outlineLevel="0" collapsed="false">
      <c r="A135" s="35" t="s">
        <v>1530</v>
      </c>
      <c r="B135" s="35" t="s">
        <v>1047</v>
      </c>
      <c r="C135" s="37" t="str">
        <f aca="false">IF(B135="","",IFERROR(INDEX(Applications!$B$5:$B$600,MATCH(B135,Applications!$A$5:$A$600,0)),"Application ID not found"))</f>
        <v>Willow Run Mobile Market</v>
      </c>
      <c r="D135" s="35" t="s">
        <v>85</v>
      </c>
      <c r="E135" s="35" t="s">
        <v>83</v>
      </c>
      <c r="F135" s="36" t="n">
        <v>45938</v>
      </c>
      <c r="G135" s="35" t="n">
        <v>4</v>
      </c>
      <c r="H135" s="35" t="n">
        <v>4</v>
      </c>
      <c r="I135" s="35" t="n">
        <v>4</v>
      </c>
      <c r="J135" s="35" t="n">
        <v>4</v>
      </c>
      <c r="K135" s="35" t="n">
        <v>3</v>
      </c>
      <c r="L135" s="35" t="n">
        <v>4</v>
      </c>
      <c r="M135" s="50" t="n">
        <f aca="false">IF(COUNT(G135:L135)&lt;6,"",ROUND((G135*Rubric!$D$5+H135*Rubric!$D$6+I135*Rubric!$D$7+J135*Rubric!$D$8+K135*Rubric!$D$9+L135*Rubric!$D$10)/5*100,1))</f>
        <v>78</v>
      </c>
      <c r="N135" s="37" t="str">
        <f aca="false">IF(OR(B135="",D135=""),"",IFERROR(IF(IF(E135="Primary",INDEX(Applications!$I$5:$I$600,MATCH(B135,Applications!$A$5:$A$600,0)),IF(E135="Secondary",INDEX(Applications!$J$5:$J$600,MATCH(B135,Applications!$A$5:$A$600,0)),INDEX(Applications!$K$5:$K$600,MATCH(B135,Applications!$A$5:$A$600,0))))=D135,"OK","Not assigned"),"Check ID"))</f>
        <v>OK</v>
      </c>
      <c r="O135" s="7"/>
    </row>
    <row r="136" customFormat="false" ht="15" hidden="false" customHeight="false" outlineLevel="0" collapsed="false">
      <c r="A136" s="35" t="s">
        <v>1531</v>
      </c>
      <c r="B136" s="35" t="s">
        <v>1335</v>
      </c>
      <c r="C136" s="37" t="str">
        <f aca="false">IF(B136="","",IFERROR(INDEX(Applications!$B$5:$B$600,MATCH(B136,Applications!$A$5:$A$600,0)),"Application ID not found"))</f>
        <v>Fairmount Community Pantry</v>
      </c>
      <c r="D136" s="35" t="s">
        <v>85</v>
      </c>
      <c r="E136" s="35" t="s">
        <v>80</v>
      </c>
      <c r="F136" s="36" t="n">
        <v>45938</v>
      </c>
      <c r="G136" s="35" t="n">
        <v>2</v>
      </c>
      <c r="H136" s="35" t="n">
        <v>2</v>
      </c>
      <c r="I136" s="35" t="n">
        <v>3</v>
      </c>
      <c r="J136" s="35" t="n">
        <v>2</v>
      </c>
      <c r="K136" s="35" t="n">
        <v>3</v>
      </c>
      <c r="L136" s="35" t="n">
        <v>3</v>
      </c>
      <c r="M136" s="50" t="n">
        <f aca="false">IF(COUNT(G136:L136)&lt;6,"",ROUND((G136*Rubric!$D$5+H136*Rubric!$D$6+I136*Rubric!$D$7+J136*Rubric!$D$8+K136*Rubric!$D$9+L136*Rubric!$D$10)/5*100,1))</f>
        <v>48</v>
      </c>
      <c r="N136" s="37" t="str">
        <f aca="false">IF(OR(B136="",D136=""),"",IFERROR(IF(IF(E136="Primary",INDEX(Applications!$I$5:$I$600,MATCH(B136,Applications!$A$5:$A$600,0)),IF(E136="Secondary",INDEX(Applications!$J$5:$J$600,MATCH(B136,Applications!$A$5:$A$600,0)),INDEX(Applications!$K$5:$K$600,MATCH(B136,Applications!$A$5:$A$600,0))))=D136,"OK","Not assigned"),"Check ID"))</f>
        <v>OK</v>
      </c>
      <c r="O136" s="7"/>
    </row>
    <row r="137" customFormat="false" ht="15" hidden="false" customHeight="false" outlineLevel="0" collapsed="false">
      <c r="A137" s="35" t="s">
        <v>1532</v>
      </c>
      <c r="B137" s="35" t="s">
        <v>305</v>
      </c>
      <c r="C137" s="37" t="str">
        <f aca="false">IF(B137="","",IFERROR(INDEX(Applications!$B$5:$B$600,MATCH(B137,Applications!$A$5:$A$600,0)),"Application ID not found"))</f>
        <v>Cedar Market Gardens</v>
      </c>
      <c r="D137" s="35" t="s">
        <v>85</v>
      </c>
      <c r="E137" s="35" t="s">
        <v>80</v>
      </c>
      <c r="F137" s="36" t="n">
        <v>45938</v>
      </c>
      <c r="G137" s="35" t="n">
        <v>3</v>
      </c>
      <c r="H137" s="35" t="n">
        <v>2</v>
      </c>
      <c r="I137" s="35" t="n">
        <v>2</v>
      </c>
      <c r="J137" s="35" t="n">
        <v>3</v>
      </c>
      <c r="K137" s="35" t="n">
        <v>3</v>
      </c>
      <c r="L137" s="35" t="n">
        <v>2</v>
      </c>
      <c r="M137" s="50" t="n">
        <f aca="false">IF(COUNT(G137:L137)&lt;6,"",ROUND((G137*Rubric!$D$5+H137*Rubric!$D$6+I137*Rubric!$D$7+J137*Rubric!$D$8+K137*Rubric!$D$9+L137*Rubric!$D$10)/5*100,1))</f>
        <v>50</v>
      </c>
      <c r="N137" s="37" t="str">
        <f aca="false">IF(OR(B137="",D137=""),"",IFERROR(IF(IF(E137="Primary",INDEX(Applications!$I$5:$I$600,MATCH(B137,Applications!$A$5:$A$600,0)),IF(E137="Secondary",INDEX(Applications!$J$5:$J$600,MATCH(B137,Applications!$A$5:$A$600,0)),INDEX(Applications!$K$5:$K$600,MATCH(B137,Applications!$A$5:$A$600,0))))=D137,"OK","Not assigned"),"Check ID"))</f>
        <v>OK</v>
      </c>
      <c r="O137" s="7"/>
    </row>
    <row r="138" customFormat="false" ht="15" hidden="false" customHeight="false" outlineLevel="0" collapsed="false">
      <c r="A138" s="35" t="s">
        <v>1533</v>
      </c>
      <c r="B138" s="35" t="s">
        <v>276</v>
      </c>
      <c r="C138" s="37" t="str">
        <f aca="false">IF(B138="","",IFERROR(INDEX(Applications!$B$5:$B$600,MATCH(B138,Applications!$A$5:$A$600,0)),"Application ID not found"))</f>
        <v>Columbus Youth Food Lab</v>
      </c>
      <c r="D138" s="35" t="s">
        <v>85</v>
      </c>
      <c r="E138" s="35" t="s">
        <v>80</v>
      </c>
      <c r="F138" s="36" t="n">
        <v>45938</v>
      </c>
      <c r="G138" s="35" t="n">
        <v>5</v>
      </c>
      <c r="H138" s="35" t="n">
        <v>4</v>
      </c>
      <c r="I138" s="35" t="n">
        <v>4</v>
      </c>
      <c r="J138" s="35" t="n">
        <v>5</v>
      </c>
      <c r="K138" s="35" t="n">
        <v>4</v>
      </c>
      <c r="L138" s="35" t="n">
        <v>5</v>
      </c>
      <c r="M138" s="50" t="n">
        <f aca="false">IF(COUNT(G138:L138)&lt;6,"",ROUND((G138*Rubric!$D$5+H138*Rubric!$D$6+I138*Rubric!$D$7+J138*Rubric!$D$8+K138*Rubric!$D$9+L138*Rubric!$D$10)/5*100,1))</f>
        <v>90</v>
      </c>
      <c r="N138" s="37" t="str">
        <f aca="false">IF(OR(B138="",D138=""),"",IFERROR(IF(IF(E138="Primary",INDEX(Applications!$I$5:$I$600,MATCH(B138,Applications!$A$5:$A$600,0)),IF(E138="Secondary",INDEX(Applications!$J$5:$J$600,MATCH(B138,Applications!$A$5:$A$600,0)),INDEX(Applications!$K$5:$K$600,MATCH(B138,Applications!$A$5:$A$600,0))))=D138,"OK","Not assigned"),"Check ID"))</f>
        <v>OK</v>
      </c>
      <c r="O138" s="7"/>
    </row>
    <row r="139" customFormat="false" ht="15" hidden="false" customHeight="false" outlineLevel="0" collapsed="false">
      <c r="A139" s="35" t="s">
        <v>1534</v>
      </c>
      <c r="B139" s="35" t="s">
        <v>1187</v>
      </c>
      <c r="C139" s="37" t="str">
        <f aca="false">IF(B139="","",IFERROR(INDEX(Applications!$B$5:$B$600,MATCH(B139,Applications!$A$5:$A$600,0)),"Application ID not found"))</f>
        <v>Halifax Food Bank</v>
      </c>
      <c r="D139" s="35" t="s">
        <v>85</v>
      </c>
      <c r="E139" s="35" t="s">
        <v>80</v>
      </c>
      <c r="F139" s="36" t="n">
        <v>45938</v>
      </c>
      <c r="G139" s="35" t="n">
        <v>3</v>
      </c>
      <c r="H139" s="35" t="n">
        <v>3</v>
      </c>
      <c r="I139" s="35" t="n">
        <v>3</v>
      </c>
      <c r="J139" s="35" t="n">
        <v>3</v>
      </c>
      <c r="K139" s="35" t="n">
        <v>3</v>
      </c>
      <c r="L139" s="35" t="n">
        <v>4</v>
      </c>
      <c r="M139" s="50" t="n">
        <f aca="false">IF(COUNT(G139:L139)&lt;6,"",ROUND((G139*Rubric!$D$5+H139*Rubric!$D$6+I139*Rubric!$D$7+J139*Rubric!$D$8+K139*Rubric!$D$9+L139*Rubric!$D$10)/5*100,1))</f>
        <v>62</v>
      </c>
      <c r="N139" s="37" t="str">
        <f aca="false">IF(OR(B139="",D139=""),"",IFERROR(IF(IF(E139="Primary",INDEX(Applications!$I$5:$I$600,MATCH(B139,Applications!$A$5:$A$600,0)),IF(E139="Secondary",INDEX(Applications!$J$5:$J$600,MATCH(B139,Applications!$A$5:$A$600,0)),INDEX(Applications!$K$5:$K$600,MATCH(B139,Applications!$A$5:$A$600,0))))=D139,"OK","Not assigned"),"Check ID"))</f>
        <v>OK</v>
      </c>
      <c r="O139" s="7" t="s">
        <v>1428</v>
      </c>
    </row>
    <row r="140" customFormat="false" ht="15" hidden="false" customHeight="false" outlineLevel="0" collapsed="false">
      <c r="A140" s="35" t="s">
        <v>1535</v>
      </c>
      <c r="B140" s="35" t="s">
        <v>995</v>
      </c>
      <c r="C140" s="37" t="str">
        <f aca="false">IF(B140="","",IFERROR(INDEX(Applications!$B$5:$B$600,MATCH(B140,Applications!$A$5:$A$600,0)),"Application ID not found"))</f>
        <v>Crossroads Pantry Network</v>
      </c>
      <c r="D140" s="35" t="s">
        <v>85</v>
      </c>
      <c r="E140" s="35" t="s">
        <v>83</v>
      </c>
      <c r="F140" s="36" t="n">
        <v>45938</v>
      </c>
      <c r="G140" s="35" t="n">
        <v>3</v>
      </c>
      <c r="H140" s="35" t="n">
        <v>2</v>
      </c>
      <c r="I140" s="35" t="n">
        <v>2</v>
      </c>
      <c r="J140" s="35" t="n">
        <v>2</v>
      </c>
      <c r="K140" s="35" t="n">
        <v>2</v>
      </c>
      <c r="L140" s="35" t="n">
        <v>2</v>
      </c>
      <c r="M140" s="50" t="n">
        <f aca="false">IF(COUNT(G140:L140)&lt;6,"",ROUND((G140*Rubric!$D$5+H140*Rubric!$D$6+I140*Rubric!$D$7+J140*Rubric!$D$8+K140*Rubric!$D$9+L140*Rubric!$D$10)/5*100,1))</f>
        <v>45</v>
      </c>
      <c r="N140" s="37" t="str">
        <f aca="false">IF(OR(B140="",D140=""),"",IFERROR(IF(IF(E140="Primary",INDEX(Applications!$I$5:$I$600,MATCH(B140,Applications!$A$5:$A$600,0)),IF(E140="Secondary",INDEX(Applications!$J$5:$J$600,MATCH(B140,Applications!$A$5:$A$600,0)),INDEX(Applications!$K$5:$K$600,MATCH(B140,Applications!$A$5:$A$600,0))))=D140,"OK","Not assigned"),"Check ID"))</f>
        <v>OK</v>
      </c>
      <c r="O140" s="7" t="s">
        <v>1416</v>
      </c>
    </row>
    <row r="141" customFormat="false" ht="15" hidden="false" customHeight="false" outlineLevel="0" collapsed="false">
      <c r="A141" s="35" t="s">
        <v>1536</v>
      </c>
      <c r="B141" s="35" t="s">
        <v>1169</v>
      </c>
      <c r="C141" s="37" t="str">
        <f aca="false">IF(B141="","",IFERROR(INDEX(Applications!$B$5:$B$600,MATCH(B141,Applications!$A$5:$A$600,0)),"Application ID not found"))</f>
        <v>Bluestem Market Gardens</v>
      </c>
      <c r="D141" s="35" t="s">
        <v>85</v>
      </c>
      <c r="E141" s="35" t="s">
        <v>83</v>
      </c>
      <c r="F141" s="36" t="n">
        <v>45938</v>
      </c>
      <c r="G141" s="35" t="n">
        <v>4</v>
      </c>
      <c r="H141" s="35" t="n">
        <v>4</v>
      </c>
      <c r="I141" s="35" t="n">
        <v>4</v>
      </c>
      <c r="J141" s="35" t="n">
        <v>4</v>
      </c>
      <c r="K141" s="35" t="n">
        <v>4</v>
      </c>
      <c r="L141" s="35" t="n">
        <v>4</v>
      </c>
      <c r="M141" s="50" t="n">
        <f aca="false">IF(COUNT(G141:L141)&lt;6,"",ROUND((G141*Rubric!$D$5+H141*Rubric!$D$6+I141*Rubric!$D$7+J141*Rubric!$D$8+K141*Rubric!$D$9+L141*Rubric!$D$10)/5*100,1))</f>
        <v>80</v>
      </c>
      <c r="N141" s="37" t="str">
        <f aca="false">IF(OR(B141="",D141=""),"",IFERROR(IF(IF(E141="Primary",INDEX(Applications!$I$5:$I$600,MATCH(B141,Applications!$A$5:$A$600,0)),IF(E141="Secondary",INDEX(Applications!$J$5:$J$600,MATCH(B141,Applications!$A$5:$A$600,0)),INDEX(Applications!$K$5:$K$600,MATCH(B141,Applications!$A$5:$A$600,0))))=D141,"OK","Not assigned"),"Check ID"))</f>
        <v>OK</v>
      </c>
      <c r="O141" s="7"/>
    </row>
    <row r="142" customFormat="false" ht="15" hidden="false" customHeight="false" outlineLevel="0" collapsed="false">
      <c r="A142" s="35" t="s">
        <v>1537</v>
      </c>
      <c r="B142" s="35" t="s">
        <v>883</v>
      </c>
      <c r="C142" s="37" t="str">
        <f aca="false">IF(B142="","",IFERROR(INDEX(Applications!$B$5:$B$600,MATCH(B142,Applications!$A$5:$A$600,0)),"Application ID not found"))</f>
        <v>Bluestem Youth Food Lab</v>
      </c>
      <c r="D142" s="35" t="s">
        <v>78</v>
      </c>
      <c r="E142" s="35" t="s">
        <v>83</v>
      </c>
      <c r="F142" s="36" t="n">
        <v>45939</v>
      </c>
      <c r="G142" s="35" t="n">
        <v>4</v>
      </c>
      <c r="H142" s="35" t="n">
        <v>4</v>
      </c>
      <c r="I142" s="35" t="n">
        <v>4</v>
      </c>
      <c r="J142" s="35" t="n">
        <v>3</v>
      </c>
      <c r="K142" s="35" t="n">
        <v>4</v>
      </c>
      <c r="L142" s="35" t="n">
        <v>3</v>
      </c>
      <c r="M142" s="50" t="n">
        <f aca="false">IF(COUNT(G142:L142)&lt;6,"",ROUND((G142*Rubric!$D$5+H142*Rubric!$D$6+I142*Rubric!$D$7+J142*Rubric!$D$8+K142*Rubric!$D$9+L142*Rubric!$D$10)/5*100,1))</f>
        <v>75</v>
      </c>
      <c r="N142" s="37" t="str">
        <f aca="false">IF(OR(B142="",D142=""),"",IFERROR(IF(IF(E142="Primary",INDEX(Applications!$I$5:$I$600,MATCH(B142,Applications!$A$5:$A$600,0)),IF(E142="Secondary",INDEX(Applications!$J$5:$J$600,MATCH(B142,Applications!$A$5:$A$600,0)),INDEX(Applications!$K$5:$K$600,MATCH(B142,Applications!$A$5:$A$600,0))))=D142,"OK","Not assigned"),"Check ID"))</f>
        <v>OK</v>
      </c>
      <c r="O142" s="7" t="s">
        <v>1437</v>
      </c>
    </row>
    <row r="143" customFormat="false" ht="15" hidden="false" customHeight="false" outlineLevel="0" collapsed="false">
      <c r="A143" s="35" t="s">
        <v>1538</v>
      </c>
      <c r="B143" s="35" t="s">
        <v>727</v>
      </c>
      <c r="C143" s="37" t="str">
        <f aca="false">IF(B143="","",IFERROR(INDEX(Applications!$B$5:$B$600,MATCH(B143,Applications!$A$5:$A$600,0)),"Application ID not found"))</f>
        <v>Winnipeg Community Kitchen</v>
      </c>
      <c r="D143" s="35" t="s">
        <v>78</v>
      </c>
      <c r="E143" s="35" t="s">
        <v>80</v>
      </c>
      <c r="F143" s="36" t="n">
        <v>45939</v>
      </c>
      <c r="G143" s="35" t="n">
        <v>2</v>
      </c>
      <c r="H143" s="35" t="n">
        <v>2</v>
      </c>
      <c r="I143" s="35" t="n">
        <v>2</v>
      </c>
      <c r="J143" s="35" t="n">
        <v>3</v>
      </c>
      <c r="K143" s="35" t="n">
        <v>2</v>
      </c>
      <c r="L143" s="35" t="n">
        <v>2</v>
      </c>
      <c r="M143" s="50" t="n">
        <f aca="false">IF(COUNT(G143:L143)&lt;6,"",ROUND((G143*Rubric!$D$5+H143*Rubric!$D$6+I143*Rubric!$D$7+J143*Rubric!$D$8+K143*Rubric!$D$9+L143*Rubric!$D$10)/5*100,1))</f>
        <v>43</v>
      </c>
      <c r="N143" s="37" t="str">
        <f aca="false">IF(OR(B143="",D143=""),"",IFERROR(IF(IF(E143="Primary",INDEX(Applications!$I$5:$I$600,MATCH(B143,Applications!$A$5:$A$600,0)),IF(E143="Secondary",INDEX(Applications!$J$5:$J$600,MATCH(B143,Applications!$A$5:$A$600,0)),INDEX(Applications!$K$5:$K$600,MATCH(B143,Applications!$A$5:$A$600,0))))=D143,"OK","Not assigned"),"Check ID"))</f>
        <v>OK</v>
      </c>
      <c r="O143" s="7"/>
    </row>
    <row r="144" customFormat="false" ht="15" hidden="false" customHeight="false" outlineLevel="0" collapsed="false">
      <c r="A144" s="35" t="s">
        <v>1539</v>
      </c>
      <c r="B144" s="35" t="s">
        <v>1307</v>
      </c>
      <c r="C144" s="37" t="str">
        <f aca="false">IF(B144="","",IFERROR(INDEX(Applications!$B$5:$B$600,MATCH(B144,Applications!$A$5:$A$600,0)),"Application ID not found"))</f>
        <v>Monterrey Kitchen Project</v>
      </c>
      <c r="D144" s="35" t="s">
        <v>78</v>
      </c>
      <c r="E144" s="35" t="s">
        <v>83</v>
      </c>
      <c r="F144" s="36" t="n">
        <v>45939</v>
      </c>
      <c r="G144" s="35" t="n">
        <v>1</v>
      </c>
      <c r="H144" s="35" t="n">
        <v>2</v>
      </c>
      <c r="I144" s="35" t="n">
        <v>2</v>
      </c>
      <c r="J144" s="35" t="n">
        <v>3</v>
      </c>
      <c r="K144" s="35" t="n">
        <v>2</v>
      </c>
      <c r="L144" s="35" t="n">
        <v>2</v>
      </c>
      <c r="M144" s="50" t="n">
        <f aca="false">IF(COUNT(G144:L144)&lt;6,"",ROUND((G144*Rubric!$D$5+H144*Rubric!$D$6+I144*Rubric!$D$7+J144*Rubric!$D$8+K144*Rubric!$D$9+L144*Rubric!$D$10)/5*100,1))</f>
        <v>38</v>
      </c>
      <c r="N144" s="37" t="str">
        <f aca="false">IF(OR(B144="",D144=""),"",IFERROR(IF(IF(E144="Primary",INDEX(Applications!$I$5:$I$600,MATCH(B144,Applications!$A$5:$A$600,0)),IF(E144="Secondary",INDEX(Applications!$J$5:$J$600,MATCH(B144,Applications!$A$5:$A$600,0)),INDEX(Applications!$K$5:$K$600,MATCH(B144,Applications!$A$5:$A$600,0))))=D144,"OK","Not assigned"),"Check ID"))</f>
        <v>OK</v>
      </c>
      <c r="O144" s="7" t="s">
        <v>1418</v>
      </c>
    </row>
    <row r="145" customFormat="false" ht="15" hidden="false" customHeight="false" outlineLevel="0" collapsed="false">
      <c r="A145" s="35" t="s">
        <v>1540</v>
      </c>
      <c r="B145" s="35" t="s">
        <v>225</v>
      </c>
      <c r="C145" s="37" t="str">
        <f aca="false">IF(B145="","",IFERROR(INDEX(Applications!$B$5:$B$600,MATCH(B145,Applications!$A$5:$A$600,0)),"Application ID not found"))</f>
        <v>High Plains Farm Collective</v>
      </c>
      <c r="D145" s="35" t="s">
        <v>78</v>
      </c>
      <c r="E145" s="35" t="s">
        <v>83</v>
      </c>
      <c r="F145" s="36" t="n">
        <v>45939</v>
      </c>
      <c r="G145" s="35" t="n">
        <v>3</v>
      </c>
      <c r="H145" s="35" t="n">
        <v>4</v>
      </c>
      <c r="I145" s="35" t="n">
        <v>3</v>
      </c>
      <c r="J145" s="35" t="n">
        <v>3</v>
      </c>
      <c r="K145" s="35" t="n">
        <v>3</v>
      </c>
      <c r="L145" s="35" t="n">
        <v>3</v>
      </c>
      <c r="M145" s="50" t="n">
        <f aca="false">IF(COUNT(G145:L145)&lt;6,"",ROUND((G145*Rubric!$D$5+H145*Rubric!$D$6+I145*Rubric!$D$7+J145*Rubric!$D$8+K145*Rubric!$D$9+L145*Rubric!$D$10)/5*100,1))</f>
        <v>64</v>
      </c>
      <c r="N145" s="37" t="str">
        <f aca="false">IF(OR(B145="",D145=""),"",IFERROR(IF(IF(E145="Primary",INDEX(Applications!$I$5:$I$600,MATCH(B145,Applications!$A$5:$A$600,0)),IF(E145="Secondary",INDEX(Applications!$J$5:$J$600,MATCH(B145,Applications!$A$5:$A$600,0)),INDEX(Applications!$K$5:$K$600,MATCH(B145,Applications!$A$5:$A$600,0))))=D145,"OK","Not assigned"),"Check ID"))</f>
        <v>OK</v>
      </c>
      <c r="O145" s="7"/>
    </row>
    <row r="146" customFormat="false" ht="15" hidden="false" customHeight="false" outlineLevel="0" collapsed="false">
      <c r="A146" s="35" t="s">
        <v>1541</v>
      </c>
      <c r="B146" s="35" t="s">
        <v>921</v>
      </c>
      <c r="C146" s="37" t="str">
        <f aca="false">IF(B146="","",IFERROR(INDEX(Applications!$B$5:$B$600,MATCH(B146,Applications!$A$5:$A$600,0)),"Application ID not found"))</f>
        <v>Prairie Seed Library</v>
      </c>
      <c r="D146" s="35" t="s">
        <v>78</v>
      </c>
      <c r="E146" s="35" t="s">
        <v>83</v>
      </c>
      <c r="F146" s="36" t="n">
        <v>45939</v>
      </c>
      <c r="G146" s="35" t="n">
        <v>5</v>
      </c>
      <c r="H146" s="35" t="n">
        <v>5</v>
      </c>
      <c r="I146" s="35" t="n">
        <v>5</v>
      </c>
      <c r="J146" s="35" t="n">
        <v>4</v>
      </c>
      <c r="K146" s="35" t="n">
        <v>5</v>
      </c>
      <c r="L146" s="35" t="n">
        <v>5</v>
      </c>
      <c r="M146" s="50" t="n">
        <f aca="false">IF(COUNT(G146:L146)&lt;6,"",ROUND((G146*Rubric!$D$5+H146*Rubric!$D$6+I146*Rubric!$D$7+J146*Rubric!$D$8+K146*Rubric!$D$9+L146*Rubric!$D$10)/5*100,1))</f>
        <v>97</v>
      </c>
      <c r="N146" s="37" t="str">
        <f aca="false">IF(OR(B146="",D146=""),"",IFERROR(IF(IF(E146="Primary",INDEX(Applications!$I$5:$I$600,MATCH(B146,Applications!$A$5:$A$600,0)),IF(E146="Secondary",INDEX(Applications!$J$5:$J$600,MATCH(B146,Applications!$A$5:$A$600,0)),INDEX(Applications!$K$5:$K$600,MATCH(B146,Applications!$A$5:$A$600,0))))=D146,"OK","Not assigned"),"Check ID"))</f>
        <v>OK</v>
      </c>
      <c r="O146" s="7" t="s">
        <v>1402</v>
      </c>
    </row>
    <row r="147" customFormat="false" ht="15" hidden="false" customHeight="false" outlineLevel="0" collapsed="false">
      <c r="A147" s="35" t="s">
        <v>1542</v>
      </c>
      <c r="B147" s="35" t="s">
        <v>299</v>
      </c>
      <c r="C147" s="37" t="str">
        <f aca="false">IF(B147="","",IFERROR(INDEX(Applications!$B$5:$B$600,MATCH(B147,Applications!$A$5:$A$600,0)),"Application ID not found"))</f>
        <v>Lakeshore Schools Nutrition Fund</v>
      </c>
      <c r="D147" s="35" t="s">
        <v>78</v>
      </c>
      <c r="E147" s="35" t="s">
        <v>83</v>
      </c>
      <c r="F147" s="36" t="n">
        <v>45939</v>
      </c>
      <c r="G147" s="35" t="n">
        <v>4</v>
      </c>
      <c r="H147" s="35" t="n">
        <v>4</v>
      </c>
      <c r="I147" s="35" t="n">
        <v>3</v>
      </c>
      <c r="J147" s="35" t="n">
        <v>4</v>
      </c>
      <c r="K147" s="35" t="n">
        <v>4</v>
      </c>
      <c r="L147" s="35" t="n">
        <v>4</v>
      </c>
      <c r="M147" s="50" t="n">
        <f aca="false">IF(COUNT(G147:L147)&lt;6,"",ROUND((G147*Rubric!$D$5+H147*Rubric!$D$6+I147*Rubric!$D$7+J147*Rubric!$D$8+K147*Rubric!$D$9+L147*Rubric!$D$10)/5*100,1))</f>
        <v>76</v>
      </c>
      <c r="N147" s="37" t="str">
        <f aca="false">IF(OR(B147="",D147=""),"",IFERROR(IF(IF(E147="Primary",INDEX(Applications!$I$5:$I$600,MATCH(B147,Applications!$A$5:$A$600,0)),IF(E147="Secondary",INDEX(Applications!$J$5:$J$600,MATCH(B147,Applications!$A$5:$A$600,0)),INDEX(Applications!$K$5:$K$600,MATCH(B147,Applications!$A$5:$A$600,0))))=D147,"OK","Not assigned"),"Check ID"))</f>
        <v>OK</v>
      </c>
      <c r="O147" s="7"/>
    </row>
    <row r="148" customFormat="false" ht="15" hidden="false" customHeight="false" outlineLevel="0" collapsed="false">
      <c r="A148" s="35" t="s">
        <v>1543</v>
      </c>
      <c r="B148" s="35" t="s">
        <v>649</v>
      </c>
      <c r="C148" s="37" t="str">
        <f aca="false">IF(B148="","",IFERROR(INDEX(Applications!$B$5:$B$600,MATCH(B148,Applications!$A$5:$A$600,0)),"Application ID not found"))</f>
        <v>Maple Street Community Pantry</v>
      </c>
      <c r="D148" s="35" t="s">
        <v>78</v>
      </c>
      <c r="E148" s="35" t="s">
        <v>80</v>
      </c>
      <c r="F148" s="36" t="n">
        <v>45939</v>
      </c>
      <c r="G148" s="35" t="n">
        <v>3</v>
      </c>
      <c r="H148" s="35" t="n">
        <v>4</v>
      </c>
      <c r="I148" s="35" t="n">
        <v>3</v>
      </c>
      <c r="J148" s="35" t="n">
        <v>4</v>
      </c>
      <c r="K148" s="35" t="n">
        <v>4</v>
      </c>
      <c r="L148" s="35" t="n">
        <v>3</v>
      </c>
      <c r="M148" s="50" t="n">
        <f aca="false">IF(COUNT(G148:L148)&lt;6,"",ROUND((G148*Rubric!$D$5+H148*Rubric!$D$6+I148*Rubric!$D$7+J148*Rubric!$D$8+K148*Rubric!$D$9+L148*Rubric!$D$10)/5*100,1))</f>
        <v>69</v>
      </c>
      <c r="N148" s="37" t="str">
        <f aca="false">IF(OR(B148="",D148=""),"",IFERROR(IF(IF(E148="Primary",INDEX(Applications!$I$5:$I$600,MATCH(B148,Applications!$A$5:$A$600,0)),IF(E148="Secondary",INDEX(Applications!$J$5:$J$600,MATCH(B148,Applications!$A$5:$A$600,0)),INDEX(Applications!$K$5:$K$600,MATCH(B148,Applications!$A$5:$A$600,0))))=D148,"OK","Not assigned"),"Check ID"))</f>
        <v>OK</v>
      </c>
      <c r="O148" s="7"/>
    </row>
    <row r="149" customFormat="false" ht="15" hidden="false" customHeight="false" outlineLevel="0" collapsed="false">
      <c r="A149" s="35" t="s">
        <v>1544</v>
      </c>
      <c r="B149" s="35" t="s">
        <v>374</v>
      </c>
      <c r="C149" s="37" t="str">
        <f aca="false">IF(B149="","",IFERROR(INDEX(Applications!$B$5:$B$600,MATCH(B149,Applications!$A$5:$A$600,0)),"Application ID not found"))</f>
        <v>Memphis Kitchen Project</v>
      </c>
      <c r="D149" s="35" t="s">
        <v>78</v>
      </c>
      <c r="E149" s="35" t="s">
        <v>80</v>
      </c>
      <c r="F149" s="36" t="n">
        <v>45939</v>
      </c>
      <c r="G149" s="35" t="n">
        <v>2</v>
      </c>
      <c r="H149" s="35" t="n">
        <v>3</v>
      </c>
      <c r="I149" s="35" t="n">
        <v>3</v>
      </c>
      <c r="J149" s="35" t="n">
        <v>2</v>
      </c>
      <c r="K149" s="35" t="n">
        <v>3</v>
      </c>
      <c r="L149" s="35" t="n">
        <v>2</v>
      </c>
      <c r="M149" s="50" t="n">
        <f aca="false">IF(COUNT(G149:L149)&lt;6,"",ROUND((G149*Rubric!$D$5+H149*Rubric!$D$6+I149*Rubric!$D$7+J149*Rubric!$D$8+K149*Rubric!$D$9+L149*Rubric!$D$10)/5*100,1))</f>
        <v>50</v>
      </c>
      <c r="N149" s="37" t="str">
        <f aca="false">IF(OR(B149="",D149=""),"",IFERROR(IF(IF(E149="Primary",INDEX(Applications!$I$5:$I$600,MATCH(B149,Applications!$A$5:$A$600,0)),IF(E149="Secondary",INDEX(Applications!$J$5:$J$600,MATCH(B149,Applications!$A$5:$A$600,0)),INDEX(Applications!$K$5:$K$600,MATCH(B149,Applications!$A$5:$A$600,0))))=D149,"OK","Not assigned"),"Check ID"))</f>
        <v>OK</v>
      </c>
      <c r="O149" s="7" t="s">
        <v>1402</v>
      </c>
    </row>
    <row r="150" customFormat="false" ht="15" hidden="false" customHeight="false" outlineLevel="0" collapsed="false">
      <c r="A150" s="35" t="s">
        <v>1545</v>
      </c>
      <c r="B150" s="35" t="s">
        <v>1323</v>
      </c>
      <c r="C150" s="37" t="str">
        <f aca="false">IF(B150="","",IFERROR(INDEX(Applications!$B$5:$B$600,MATCH(B150,Applications!$A$5:$A$600,0)),"Application ID not found"))</f>
        <v>Guadalajara Seed Library</v>
      </c>
      <c r="D150" s="35" t="s">
        <v>78</v>
      </c>
      <c r="E150" s="35" t="s">
        <v>80</v>
      </c>
      <c r="F150" s="36" t="n">
        <v>45939</v>
      </c>
      <c r="G150" s="35" t="n">
        <v>4</v>
      </c>
      <c r="H150" s="35" t="n">
        <v>3</v>
      </c>
      <c r="I150" s="35" t="n">
        <v>3</v>
      </c>
      <c r="J150" s="35" t="n">
        <v>2</v>
      </c>
      <c r="K150" s="35" t="n">
        <v>3</v>
      </c>
      <c r="L150" s="35" t="n">
        <v>3</v>
      </c>
      <c r="M150" s="50" t="n">
        <f aca="false">IF(COUNT(G150:L150)&lt;6,"",ROUND((G150*Rubric!$D$5+H150*Rubric!$D$6+I150*Rubric!$D$7+J150*Rubric!$D$8+K150*Rubric!$D$9+L150*Rubric!$D$10)/5*100,1))</f>
        <v>62</v>
      </c>
      <c r="N150" s="37" t="str">
        <f aca="false">IF(OR(B150="",D150=""),"",IFERROR(IF(IF(E150="Primary",INDEX(Applications!$I$5:$I$600,MATCH(B150,Applications!$A$5:$A$600,0)),IF(E150="Secondary",INDEX(Applications!$J$5:$J$600,MATCH(B150,Applications!$A$5:$A$600,0)),INDEX(Applications!$K$5:$K$600,MATCH(B150,Applications!$A$5:$A$600,0))))=D150,"OK","Not assigned"),"Check ID"))</f>
        <v>OK</v>
      </c>
      <c r="O150" s="7"/>
    </row>
    <row r="151" customFormat="false" ht="15" hidden="false" customHeight="false" outlineLevel="0" collapsed="false">
      <c r="A151" s="35" t="s">
        <v>1546</v>
      </c>
      <c r="B151" s="35" t="s">
        <v>1361</v>
      </c>
      <c r="C151" s="37" t="str">
        <f aca="false">IF(B151="","",IFERROR(INDEX(Applications!$B$5:$B$600,MATCH(B151,Applications!$A$5:$A$600,0)),"Application ID not found"))</f>
        <v>Chennai Community Kitchen</v>
      </c>
      <c r="D151" s="35" t="s">
        <v>78</v>
      </c>
      <c r="E151" s="35" t="s">
        <v>83</v>
      </c>
      <c r="F151" s="36" t="n">
        <v>45939</v>
      </c>
      <c r="G151" s="35" t="n">
        <v>2</v>
      </c>
      <c r="H151" s="35" t="n">
        <v>2</v>
      </c>
      <c r="I151" s="35" t="n">
        <v>3</v>
      </c>
      <c r="J151" s="35" t="n">
        <v>2</v>
      </c>
      <c r="K151" s="35" t="n">
        <v>3</v>
      </c>
      <c r="L151" s="35" t="n">
        <v>3</v>
      </c>
      <c r="M151" s="50" t="n">
        <f aca="false">IF(COUNT(G151:L151)&lt;6,"",ROUND((G151*Rubric!$D$5+H151*Rubric!$D$6+I151*Rubric!$D$7+J151*Rubric!$D$8+K151*Rubric!$D$9+L151*Rubric!$D$10)/5*100,1))</f>
        <v>48</v>
      </c>
      <c r="N151" s="37" t="str">
        <f aca="false">IF(OR(B151="",D151=""),"",IFERROR(IF(IF(E151="Primary",INDEX(Applications!$I$5:$I$600,MATCH(B151,Applications!$A$5:$A$600,0)),IF(E151="Secondary",INDEX(Applications!$J$5:$J$600,MATCH(B151,Applications!$A$5:$A$600,0)),INDEX(Applications!$K$5:$K$600,MATCH(B151,Applications!$A$5:$A$600,0))))=D151,"OK","Not assigned"),"Check ID"))</f>
        <v>OK</v>
      </c>
      <c r="O151" s="7"/>
    </row>
    <row r="152" customFormat="false" ht="15" hidden="false" customHeight="false" outlineLevel="0" collapsed="false">
      <c r="A152" s="35" t="s">
        <v>1547</v>
      </c>
      <c r="B152" s="35" t="s">
        <v>546</v>
      </c>
      <c r="C152" s="37" t="str">
        <f aca="false">IF(B152="","",IFERROR(INDEX(Applications!$B$5:$B$600,MATCH(B152,Applications!$A$5:$A$600,0)),"Application ID not found"))</f>
        <v>Copper Hill Farm Collective</v>
      </c>
      <c r="D152" s="35" t="s">
        <v>78</v>
      </c>
      <c r="E152" s="35" t="s">
        <v>80</v>
      </c>
      <c r="F152" s="36" t="n">
        <v>45939</v>
      </c>
      <c r="G152" s="35" t="n">
        <v>2</v>
      </c>
      <c r="H152" s="35" t="n">
        <v>4</v>
      </c>
      <c r="I152" s="35" t="n">
        <v>3</v>
      </c>
      <c r="J152" s="35" t="n">
        <v>3</v>
      </c>
      <c r="K152" s="35" t="n">
        <v>3</v>
      </c>
      <c r="L152" s="35" t="n">
        <v>3</v>
      </c>
      <c r="M152" s="50" t="n">
        <f aca="false">IF(COUNT(G152:L152)&lt;6,"",ROUND((G152*Rubric!$D$5+H152*Rubric!$D$6+I152*Rubric!$D$7+J152*Rubric!$D$8+K152*Rubric!$D$9+L152*Rubric!$D$10)/5*100,1))</f>
        <v>59</v>
      </c>
      <c r="N152" s="37" t="str">
        <f aca="false">IF(OR(B152="",D152=""),"",IFERROR(IF(IF(E152="Primary",INDEX(Applications!$I$5:$I$600,MATCH(B152,Applications!$A$5:$A$600,0)),IF(E152="Secondary",INDEX(Applications!$J$5:$J$600,MATCH(B152,Applications!$A$5:$A$600,0)),INDEX(Applications!$K$5:$K$600,MATCH(B152,Applications!$A$5:$A$600,0))))=D152,"OK","Not assigned"),"Check ID"))</f>
        <v>OK</v>
      </c>
      <c r="O152" s="7"/>
    </row>
    <row r="153" customFormat="false" ht="15" hidden="false" customHeight="false" outlineLevel="0" collapsed="false">
      <c r="A153" s="35" t="s">
        <v>1548</v>
      </c>
      <c r="B153" s="35" t="s">
        <v>1133</v>
      </c>
      <c r="C153" s="37" t="str">
        <f aca="false">IF(B153="","",IFERROR(INDEX(Applications!$B$5:$B$600,MATCH(B153,Applications!$A$5:$A$600,0)),"Application ID not found"))</f>
        <v>Des Moines Food Shelf</v>
      </c>
      <c r="D153" s="35" t="s">
        <v>78</v>
      </c>
      <c r="E153" s="35" t="s">
        <v>83</v>
      </c>
      <c r="F153" s="36" t="n">
        <v>45939</v>
      </c>
      <c r="G153" s="35" t="n">
        <v>3</v>
      </c>
      <c r="H153" s="35" t="n">
        <v>4</v>
      </c>
      <c r="I153" s="35" t="n">
        <v>3</v>
      </c>
      <c r="J153" s="35" t="n">
        <v>4</v>
      </c>
      <c r="K153" s="35" t="n">
        <v>3</v>
      </c>
      <c r="L153" s="35" t="n">
        <v>3</v>
      </c>
      <c r="M153" s="50" t="n">
        <f aca="false">IF(COUNT(G153:L153)&lt;6,"",ROUND((G153*Rubric!$D$5+H153*Rubric!$D$6+I153*Rubric!$D$7+J153*Rubric!$D$8+K153*Rubric!$D$9+L153*Rubric!$D$10)/5*100,1))</f>
        <v>67</v>
      </c>
      <c r="N153" s="37" t="str">
        <f aca="false">IF(OR(B153="",D153=""),"",IFERROR(IF(IF(E153="Primary",INDEX(Applications!$I$5:$I$600,MATCH(B153,Applications!$A$5:$A$600,0)),IF(E153="Secondary",INDEX(Applications!$J$5:$J$600,MATCH(B153,Applications!$A$5:$A$600,0)),INDEX(Applications!$K$5:$K$600,MATCH(B153,Applications!$A$5:$A$600,0))))=D153,"OK","Not assigned"),"Check ID"))</f>
        <v>OK</v>
      </c>
      <c r="O153" s="7" t="s">
        <v>1418</v>
      </c>
    </row>
    <row r="154" customFormat="false" ht="15" hidden="false" customHeight="false" outlineLevel="0" collapsed="false">
      <c r="A154" s="35" t="s">
        <v>1549</v>
      </c>
      <c r="B154" s="35" t="s">
        <v>230</v>
      </c>
      <c r="C154" s="37" t="str">
        <f aca="false">IF(B154="","",IFERROR(INDEX(Applications!$B$5:$B$600,MATCH(B154,Applications!$A$5:$A$600,0)),"Application ID not found"))</f>
        <v>Halifax Food Ventures</v>
      </c>
      <c r="D154" s="35" t="s">
        <v>78</v>
      </c>
      <c r="E154" s="35" t="s">
        <v>83</v>
      </c>
      <c r="F154" s="36" t="n">
        <v>45939</v>
      </c>
      <c r="G154" s="35" t="n">
        <v>4</v>
      </c>
      <c r="H154" s="35" t="n">
        <v>4</v>
      </c>
      <c r="I154" s="35" t="n">
        <v>4</v>
      </c>
      <c r="J154" s="35" t="n">
        <v>3</v>
      </c>
      <c r="K154" s="35" t="n">
        <v>4</v>
      </c>
      <c r="L154" s="35" t="n">
        <v>3</v>
      </c>
      <c r="M154" s="50" t="n">
        <f aca="false">IF(COUNT(G154:L154)&lt;6,"",ROUND((G154*Rubric!$D$5+H154*Rubric!$D$6+I154*Rubric!$D$7+J154*Rubric!$D$8+K154*Rubric!$D$9+L154*Rubric!$D$10)/5*100,1))</f>
        <v>75</v>
      </c>
      <c r="N154" s="37" t="str">
        <f aca="false">IF(OR(B154="",D154=""),"",IFERROR(IF(IF(E154="Primary",INDEX(Applications!$I$5:$I$600,MATCH(B154,Applications!$A$5:$A$600,0)),IF(E154="Secondary",INDEX(Applications!$J$5:$J$600,MATCH(B154,Applications!$A$5:$A$600,0)),INDEX(Applications!$K$5:$K$600,MATCH(B154,Applications!$A$5:$A$600,0))))=D154,"OK","Not assigned"),"Check ID"))</f>
        <v>OK</v>
      </c>
      <c r="O154" s="7"/>
    </row>
    <row r="155" customFormat="false" ht="15" hidden="false" customHeight="false" outlineLevel="0" collapsed="false">
      <c r="A155" s="35" t="s">
        <v>1550</v>
      </c>
      <c r="B155" s="35" t="s">
        <v>1183</v>
      </c>
      <c r="C155" s="37" t="str">
        <f aca="false">IF(B155="","",IFERROR(INDEX(Applications!$B$5:$B$600,MATCH(B155,Applications!$A$5:$A$600,0)),"Application ID not found"))</f>
        <v>Lakeshore Community Pantry</v>
      </c>
      <c r="D155" s="35" t="s">
        <v>78</v>
      </c>
      <c r="E155" s="35" t="s">
        <v>83</v>
      </c>
      <c r="F155" s="36" t="n">
        <v>45939</v>
      </c>
      <c r="G155" s="35" t="n">
        <v>4</v>
      </c>
      <c r="H155" s="35" t="n">
        <v>4</v>
      </c>
      <c r="I155" s="35" t="n">
        <v>4</v>
      </c>
      <c r="J155" s="35" t="n">
        <v>4</v>
      </c>
      <c r="K155" s="35" t="n">
        <v>4</v>
      </c>
      <c r="L155" s="35" t="n">
        <v>3</v>
      </c>
      <c r="M155" s="50" t="n">
        <f aca="false">IF(COUNT(G155:L155)&lt;6,"",ROUND((G155*Rubric!$D$5+H155*Rubric!$D$6+I155*Rubric!$D$7+J155*Rubric!$D$8+K155*Rubric!$D$9+L155*Rubric!$D$10)/5*100,1))</f>
        <v>78</v>
      </c>
      <c r="N155" s="37" t="str">
        <f aca="false">IF(OR(B155="",D155=""),"",IFERROR(IF(IF(E155="Primary",INDEX(Applications!$I$5:$I$600,MATCH(B155,Applications!$A$5:$A$600,0)),IF(E155="Secondary",INDEX(Applications!$J$5:$J$600,MATCH(B155,Applications!$A$5:$A$600,0)),INDEX(Applications!$K$5:$K$600,MATCH(B155,Applications!$A$5:$A$600,0))))=D155,"OK","Not assigned"),"Check ID"))</f>
        <v>OK</v>
      </c>
      <c r="O155" s="7"/>
    </row>
    <row r="156" customFormat="false" ht="15" hidden="false" customHeight="false" outlineLevel="0" collapsed="false">
      <c r="A156" s="35" t="s">
        <v>1551</v>
      </c>
      <c r="B156" s="35" t="s">
        <v>597</v>
      </c>
      <c r="C156" s="37" t="str">
        <f aca="false">IF(B156="","",IFERROR(INDEX(Applications!$B$5:$B$600,MATCH(B156,Applications!$A$5:$A$600,0)),"Application ID not found"))</f>
        <v>Open Door Schools Nutrition Fund</v>
      </c>
      <c r="D156" s="35" t="s">
        <v>82</v>
      </c>
      <c r="E156" s="35" t="s">
        <v>83</v>
      </c>
      <c r="F156" s="36" t="n">
        <v>45939</v>
      </c>
      <c r="G156" s="35" t="n">
        <v>4</v>
      </c>
      <c r="H156" s="35" t="n">
        <v>5</v>
      </c>
      <c r="I156" s="35" t="n">
        <v>3</v>
      </c>
      <c r="J156" s="35" t="n">
        <v>4</v>
      </c>
      <c r="K156" s="35" t="n">
        <v>4</v>
      </c>
      <c r="L156" s="35" t="n">
        <v>4</v>
      </c>
      <c r="M156" s="50" t="n">
        <f aca="false">IF(COUNT(G156:L156)&lt;6,"",ROUND((G156*Rubric!$D$5+H156*Rubric!$D$6+I156*Rubric!$D$7+J156*Rubric!$D$8+K156*Rubric!$D$9+L156*Rubric!$D$10)/5*100,1))</f>
        <v>80</v>
      </c>
      <c r="N156" s="37" t="str">
        <f aca="false">IF(OR(B156="",D156=""),"",IFERROR(IF(IF(E156="Primary",INDEX(Applications!$I$5:$I$600,MATCH(B156,Applications!$A$5:$A$600,0)),IF(E156="Secondary",INDEX(Applications!$J$5:$J$600,MATCH(B156,Applications!$A$5:$A$600,0)),INDEX(Applications!$K$5:$K$600,MATCH(B156,Applications!$A$5:$A$600,0))))=D156,"OK","Not assigned"),"Check ID"))</f>
        <v>OK</v>
      </c>
      <c r="O156" s="7"/>
    </row>
    <row r="157" customFormat="false" ht="15" hidden="false" customHeight="false" outlineLevel="0" collapsed="false">
      <c r="A157" s="35" t="s">
        <v>1552</v>
      </c>
      <c r="B157" s="35" t="s">
        <v>1017</v>
      </c>
      <c r="C157" s="37" t="str">
        <f aca="false">IF(B157="","",IFERROR(INDEX(Applications!$B$5:$B$600,MATCH(B157,Applications!$A$5:$A$600,0)),"Application ID not found"))</f>
        <v>Copper Hill Youth Food Lab</v>
      </c>
      <c r="D157" s="35" t="s">
        <v>82</v>
      </c>
      <c r="E157" s="35" t="s">
        <v>80</v>
      </c>
      <c r="F157" s="36" t="n">
        <v>45939</v>
      </c>
      <c r="G157" s="35" t="n">
        <v>3</v>
      </c>
      <c r="H157" s="35" t="n">
        <v>4</v>
      </c>
      <c r="I157" s="35" t="n">
        <v>3</v>
      </c>
      <c r="J157" s="35" t="n">
        <v>4</v>
      </c>
      <c r="K157" s="35" t="n">
        <v>3</v>
      </c>
      <c r="L157" s="35" t="n">
        <v>4</v>
      </c>
      <c r="M157" s="50" t="n">
        <f aca="false">IF(COUNT(G157:L157)&lt;6,"",ROUND((G157*Rubric!$D$5+H157*Rubric!$D$6+I157*Rubric!$D$7+J157*Rubric!$D$8+K157*Rubric!$D$9+L157*Rubric!$D$10)/5*100,1))</f>
        <v>69</v>
      </c>
      <c r="N157" s="37" t="str">
        <f aca="false">IF(OR(B157="",D157=""),"",IFERROR(IF(IF(E157="Primary",INDEX(Applications!$I$5:$I$600,MATCH(B157,Applications!$A$5:$A$600,0)),IF(E157="Secondary",INDEX(Applications!$J$5:$J$600,MATCH(B157,Applications!$A$5:$A$600,0)),INDEX(Applications!$K$5:$K$600,MATCH(B157,Applications!$A$5:$A$600,0))))=D157,"OK","Not assigned"),"Check ID"))</f>
        <v>OK</v>
      </c>
      <c r="O157" s="7"/>
    </row>
    <row r="158" customFormat="false" ht="15" hidden="false" customHeight="false" outlineLevel="0" collapsed="false">
      <c r="A158" s="35" t="s">
        <v>1553</v>
      </c>
      <c r="B158" s="35" t="s">
        <v>540</v>
      </c>
      <c r="C158" s="37" t="str">
        <f aca="false">IF(B158="","",IFERROR(INDEX(Applications!$B$5:$B$600,MATCH(B158,Applications!$A$5:$A$600,0)),"Application ID not found"))</f>
        <v>Oak Hollow Food Bank</v>
      </c>
      <c r="D158" s="35" t="s">
        <v>82</v>
      </c>
      <c r="E158" s="35" t="s">
        <v>83</v>
      </c>
      <c r="F158" s="36" t="n">
        <v>45939</v>
      </c>
      <c r="G158" s="35" t="n">
        <v>4</v>
      </c>
      <c r="H158" s="35" t="n">
        <v>4</v>
      </c>
      <c r="I158" s="35" t="n">
        <v>4</v>
      </c>
      <c r="J158" s="35" t="n">
        <v>4</v>
      </c>
      <c r="K158" s="35" t="n">
        <v>4</v>
      </c>
      <c r="L158" s="35" t="n">
        <v>4</v>
      </c>
      <c r="M158" s="50" t="n">
        <f aca="false">IF(COUNT(G158:L158)&lt;6,"",ROUND((G158*Rubric!$D$5+H158*Rubric!$D$6+I158*Rubric!$D$7+J158*Rubric!$D$8+K158*Rubric!$D$9+L158*Rubric!$D$10)/5*100,1))</f>
        <v>80</v>
      </c>
      <c r="N158" s="37" t="str">
        <f aca="false">IF(OR(B158="",D158=""),"",IFERROR(IF(IF(E158="Primary",INDEX(Applications!$I$5:$I$600,MATCH(B158,Applications!$A$5:$A$600,0)),IF(E158="Secondary",INDEX(Applications!$J$5:$J$600,MATCH(B158,Applications!$A$5:$A$600,0)),INDEX(Applications!$K$5:$K$600,MATCH(B158,Applications!$A$5:$A$600,0))))=D158,"OK","Not assigned"),"Check ID"))</f>
        <v>OK</v>
      </c>
      <c r="O158" s="7"/>
    </row>
    <row r="159" customFormat="false" ht="15" hidden="false" customHeight="false" outlineLevel="0" collapsed="false">
      <c r="A159" s="35" t="s">
        <v>1554</v>
      </c>
      <c r="B159" s="35" t="s">
        <v>975</v>
      </c>
      <c r="C159" s="37" t="str">
        <f aca="false">IF(B159="","",IFERROR(INDEX(Applications!$B$5:$B$600,MATCH(B159,Applications!$A$5:$A$600,0)),"Application ID not found"))</f>
        <v>Melbourne Food Shelf</v>
      </c>
      <c r="D159" s="35" t="s">
        <v>82</v>
      </c>
      <c r="E159" s="35" t="s">
        <v>80</v>
      </c>
      <c r="F159" s="36" t="n">
        <v>45939</v>
      </c>
      <c r="G159" s="35" t="n">
        <v>4</v>
      </c>
      <c r="H159" s="35" t="n">
        <v>4</v>
      </c>
      <c r="I159" s="35" t="n">
        <v>3</v>
      </c>
      <c r="J159" s="35" t="n">
        <v>4</v>
      </c>
      <c r="K159" s="35" t="n">
        <v>3</v>
      </c>
      <c r="L159" s="35" t="n">
        <v>4</v>
      </c>
      <c r="M159" s="50" t="n">
        <f aca="false">IF(COUNT(G159:L159)&lt;6,"",ROUND((G159*Rubric!$D$5+H159*Rubric!$D$6+I159*Rubric!$D$7+J159*Rubric!$D$8+K159*Rubric!$D$9+L159*Rubric!$D$10)/5*100,1))</f>
        <v>74</v>
      </c>
      <c r="N159" s="37" t="str">
        <f aca="false">IF(OR(B159="",D159=""),"",IFERROR(IF(IF(E159="Primary",INDEX(Applications!$I$5:$I$600,MATCH(B159,Applications!$A$5:$A$600,0)),IF(E159="Secondary",INDEX(Applications!$J$5:$J$600,MATCH(B159,Applications!$A$5:$A$600,0)),INDEX(Applications!$K$5:$K$600,MATCH(B159,Applications!$A$5:$A$600,0))))=D159,"OK","Not assigned"),"Check ID"))</f>
        <v>OK</v>
      </c>
      <c r="O159" s="7"/>
    </row>
    <row r="160" customFormat="false" ht="15" hidden="false" customHeight="false" outlineLevel="0" collapsed="false">
      <c r="A160" s="35" t="s">
        <v>1555</v>
      </c>
      <c r="B160" s="35" t="s">
        <v>829</v>
      </c>
      <c r="C160" s="37" t="str">
        <f aca="false">IF(B160="","",IFERROR(INDEX(Applications!$B$5:$B$600,MATCH(B160,Applications!$A$5:$A$600,0)),"Application ID not found"))</f>
        <v>Good Neighbor Farm School</v>
      </c>
      <c r="D160" s="35" t="s">
        <v>82</v>
      </c>
      <c r="E160" s="35" t="s">
        <v>80</v>
      </c>
      <c r="F160" s="36" t="n">
        <v>45939</v>
      </c>
      <c r="G160" s="35" t="n">
        <v>4</v>
      </c>
      <c r="H160" s="35" t="n">
        <v>5</v>
      </c>
      <c r="I160" s="35" t="n">
        <v>5</v>
      </c>
      <c r="J160" s="35" t="n">
        <v>5</v>
      </c>
      <c r="K160" s="35" t="n">
        <v>4</v>
      </c>
      <c r="L160" s="35" t="n">
        <v>5</v>
      </c>
      <c r="M160" s="50" t="n">
        <f aca="false">IF(COUNT(G160:L160)&lt;6,"",ROUND((G160*Rubric!$D$5+H160*Rubric!$D$6+I160*Rubric!$D$7+J160*Rubric!$D$8+K160*Rubric!$D$9+L160*Rubric!$D$10)/5*100,1))</f>
        <v>93</v>
      </c>
      <c r="N160" s="37" t="str">
        <f aca="false">IF(OR(B160="",D160=""),"",IFERROR(IF(IF(E160="Primary",INDEX(Applications!$I$5:$I$600,MATCH(B160,Applications!$A$5:$A$600,0)),IF(E160="Secondary",INDEX(Applications!$J$5:$J$600,MATCH(B160,Applications!$A$5:$A$600,0)),INDEX(Applications!$K$5:$K$600,MATCH(B160,Applications!$A$5:$A$600,0))))=D160,"OK","Not assigned"),"Check ID"))</f>
        <v>OK</v>
      </c>
      <c r="O160" s="7"/>
    </row>
    <row r="161" customFormat="false" ht="15" hidden="false" customHeight="false" outlineLevel="0" collapsed="false">
      <c r="A161" s="35" t="s">
        <v>1556</v>
      </c>
      <c r="B161" s="35" t="s">
        <v>502</v>
      </c>
      <c r="C161" s="37" t="str">
        <f aca="false">IF(B161="","",IFERROR(INDEX(Applications!$B$5:$B$600,MATCH(B161,Applications!$A$5:$A$600,0)),"Application ID not found"))</f>
        <v>Crossroads Market Gardens</v>
      </c>
      <c r="D161" s="35" t="s">
        <v>82</v>
      </c>
      <c r="E161" s="35" t="s">
        <v>80</v>
      </c>
      <c r="F161" s="36" t="n">
        <v>45939</v>
      </c>
      <c r="G161" s="35" t="n">
        <v>3</v>
      </c>
      <c r="H161" s="35" t="n">
        <v>2</v>
      </c>
      <c r="I161" s="35" t="n">
        <v>2</v>
      </c>
      <c r="J161" s="35" t="n">
        <v>3</v>
      </c>
      <c r="K161" s="35" t="n">
        <v>3</v>
      </c>
      <c r="L161" s="35" t="n">
        <v>3</v>
      </c>
      <c r="M161" s="50" t="n">
        <f aca="false">IF(COUNT(G161:L161)&lt;6,"",ROUND((G161*Rubric!$D$5+H161*Rubric!$D$6+I161*Rubric!$D$7+J161*Rubric!$D$8+K161*Rubric!$D$9+L161*Rubric!$D$10)/5*100,1))</f>
        <v>52</v>
      </c>
      <c r="N161" s="37" t="str">
        <f aca="false">IF(OR(B161="",D161=""),"",IFERROR(IF(IF(E161="Primary",INDEX(Applications!$I$5:$I$600,MATCH(B161,Applications!$A$5:$A$600,0)),IF(E161="Secondary",INDEX(Applications!$J$5:$J$600,MATCH(B161,Applications!$A$5:$A$600,0)),INDEX(Applications!$K$5:$K$600,MATCH(B161,Applications!$A$5:$A$600,0))))=D161,"OK","Not assigned"),"Check ID"))</f>
        <v>OK</v>
      </c>
      <c r="O161" s="7"/>
    </row>
    <row r="162" customFormat="false" ht="15" hidden="false" customHeight="false" outlineLevel="0" collapsed="false">
      <c r="A162" s="35" t="s">
        <v>1557</v>
      </c>
      <c r="B162" s="35" t="s">
        <v>359</v>
      </c>
      <c r="C162" s="37" t="str">
        <f aca="false">IF(B162="","",IFERROR(INDEX(Applications!$B$5:$B$600,MATCH(B162,Applications!$A$5:$A$600,0)),"Application ID not found"))</f>
        <v>Prairie Growers Cooperative</v>
      </c>
      <c r="D162" s="35" t="s">
        <v>82</v>
      </c>
      <c r="E162" s="35" t="s">
        <v>80</v>
      </c>
      <c r="F162" s="36" t="n">
        <v>45939</v>
      </c>
      <c r="G162" s="35" t="n">
        <v>3</v>
      </c>
      <c r="H162" s="35" t="n">
        <v>4</v>
      </c>
      <c r="I162" s="35" t="n">
        <v>4</v>
      </c>
      <c r="J162" s="35" t="n">
        <v>4</v>
      </c>
      <c r="K162" s="35" t="n">
        <v>3</v>
      </c>
      <c r="L162" s="35" t="n">
        <v>3</v>
      </c>
      <c r="M162" s="50" t="n">
        <f aca="false">IF(COUNT(G162:L162)&lt;6,"",ROUND((G162*Rubric!$D$5+H162*Rubric!$D$6+I162*Rubric!$D$7+J162*Rubric!$D$8+K162*Rubric!$D$9+L162*Rubric!$D$10)/5*100,1))</f>
        <v>71</v>
      </c>
      <c r="N162" s="37" t="str">
        <f aca="false">IF(OR(B162="",D162=""),"",IFERROR(IF(IF(E162="Primary",INDEX(Applications!$I$5:$I$600,MATCH(B162,Applications!$A$5:$A$600,0)),IF(E162="Secondary",INDEX(Applications!$J$5:$J$600,MATCH(B162,Applications!$A$5:$A$600,0)),INDEX(Applications!$K$5:$K$600,MATCH(B162,Applications!$A$5:$A$600,0))))=D162,"OK","Not assigned"),"Check ID"))</f>
        <v>OK</v>
      </c>
      <c r="O162" s="7" t="s">
        <v>1437</v>
      </c>
    </row>
    <row r="163" customFormat="false" ht="15" hidden="false" customHeight="false" outlineLevel="0" collapsed="false">
      <c r="A163" s="35" t="s">
        <v>1558</v>
      </c>
      <c r="B163" s="35" t="s">
        <v>542</v>
      </c>
      <c r="C163" s="37" t="str">
        <f aca="false">IF(B163="","",IFERROR(INDEX(Applications!$B$5:$B$600,MATCH(B163,Applications!$A$5:$A$600,0)),"Application ID not found"))</f>
        <v>Toronto Cafe Training Program</v>
      </c>
      <c r="D163" s="35" t="s">
        <v>82</v>
      </c>
      <c r="E163" s="35" t="s">
        <v>83</v>
      </c>
      <c r="F163" s="36" t="n">
        <v>45939</v>
      </c>
      <c r="G163" s="35" t="n">
        <v>4</v>
      </c>
      <c r="H163" s="35" t="n">
        <v>3</v>
      </c>
      <c r="I163" s="35" t="n">
        <v>4</v>
      </c>
      <c r="J163" s="35" t="n">
        <v>3</v>
      </c>
      <c r="K163" s="35" t="n">
        <v>4</v>
      </c>
      <c r="L163" s="35" t="n">
        <v>3</v>
      </c>
      <c r="M163" s="50" t="n">
        <f aca="false">IF(COUNT(G163:L163)&lt;6,"",ROUND((G163*Rubric!$D$5+H163*Rubric!$D$6+I163*Rubric!$D$7+J163*Rubric!$D$8+K163*Rubric!$D$9+L163*Rubric!$D$10)/5*100,1))</f>
        <v>71</v>
      </c>
      <c r="N163" s="37" t="str">
        <f aca="false">IF(OR(B163="",D163=""),"",IFERROR(IF(IF(E163="Primary",INDEX(Applications!$I$5:$I$600,MATCH(B163,Applications!$A$5:$A$600,0)),IF(E163="Secondary",INDEX(Applications!$J$5:$J$600,MATCH(B163,Applications!$A$5:$A$600,0)),INDEX(Applications!$K$5:$K$600,MATCH(B163,Applications!$A$5:$A$600,0))))=D163,"OK","Not assigned"),"Check ID"))</f>
        <v>OK</v>
      </c>
      <c r="O163" s="7"/>
    </row>
    <row r="164" customFormat="false" ht="15" hidden="false" customHeight="false" outlineLevel="0" collapsed="false">
      <c r="A164" s="35" t="s">
        <v>1559</v>
      </c>
      <c r="B164" s="35" t="s">
        <v>464</v>
      </c>
      <c r="C164" s="37" t="str">
        <f aca="false">IF(B164="","",IFERROR(INDEX(Applications!$B$5:$B$600,MATCH(B164,Applications!$A$5:$A$600,0)),"Application ID not found"))</f>
        <v>Hillcrest Farm School</v>
      </c>
      <c r="D164" s="35" t="s">
        <v>82</v>
      </c>
      <c r="E164" s="35" t="s">
        <v>83</v>
      </c>
      <c r="F164" s="36" t="n">
        <v>45939</v>
      </c>
      <c r="G164" s="35" t="n">
        <v>3</v>
      </c>
      <c r="H164" s="35" t="n">
        <v>4</v>
      </c>
      <c r="I164" s="35" t="n">
        <v>3</v>
      </c>
      <c r="J164" s="35" t="n">
        <v>3</v>
      </c>
      <c r="K164" s="35" t="n">
        <v>3</v>
      </c>
      <c r="L164" s="35" t="n">
        <v>3</v>
      </c>
      <c r="M164" s="50" t="n">
        <f aca="false">IF(COUNT(G164:L164)&lt;6,"",ROUND((G164*Rubric!$D$5+H164*Rubric!$D$6+I164*Rubric!$D$7+J164*Rubric!$D$8+K164*Rubric!$D$9+L164*Rubric!$D$10)/5*100,1))</f>
        <v>64</v>
      </c>
      <c r="N164" s="37" t="str">
        <f aca="false">IF(OR(B164="",D164=""),"",IFERROR(IF(IF(E164="Primary",INDEX(Applications!$I$5:$I$600,MATCH(B164,Applications!$A$5:$A$600,0)),IF(E164="Secondary",INDEX(Applications!$J$5:$J$600,MATCH(B164,Applications!$A$5:$A$600,0)),INDEX(Applications!$K$5:$K$600,MATCH(B164,Applications!$A$5:$A$600,0))))=D164,"OK","Not assigned"),"Check ID"))</f>
        <v>OK</v>
      </c>
      <c r="O164" s="7" t="s">
        <v>1416</v>
      </c>
    </row>
    <row r="165" customFormat="false" ht="15" hidden="false" customHeight="false" outlineLevel="0" collapsed="false">
      <c r="A165" s="35" t="s">
        <v>1560</v>
      </c>
      <c r="B165" s="35" t="s">
        <v>635</v>
      </c>
      <c r="C165" s="37" t="str">
        <f aca="false">IF(B165="","",IFERROR(INDEX(Applications!$B$5:$B$600,MATCH(B165,Applications!$A$5:$A$600,0)),"Application ID not found"))</f>
        <v>Hillcrest Schools Nutrition Fund</v>
      </c>
      <c r="D165" s="35" t="s">
        <v>82</v>
      </c>
      <c r="E165" s="35" t="s">
        <v>83</v>
      </c>
      <c r="F165" s="36" t="n">
        <v>45939</v>
      </c>
      <c r="G165" s="35" t="n">
        <v>3</v>
      </c>
      <c r="H165" s="35" t="n">
        <v>3</v>
      </c>
      <c r="I165" s="35" t="n">
        <v>3</v>
      </c>
      <c r="J165" s="35" t="n">
        <v>3</v>
      </c>
      <c r="K165" s="35" t="n">
        <v>3</v>
      </c>
      <c r="L165" s="35" t="n">
        <v>3</v>
      </c>
      <c r="M165" s="50" t="n">
        <f aca="false">IF(COUNT(G165:L165)&lt;6,"",ROUND((G165*Rubric!$D$5+H165*Rubric!$D$6+I165*Rubric!$D$7+J165*Rubric!$D$8+K165*Rubric!$D$9+L165*Rubric!$D$10)/5*100,1))</f>
        <v>60</v>
      </c>
      <c r="N165" s="37" t="str">
        <f aca="false">IF(OR(B165="",D165=""),"",IFERROR(IF(IF(E165="Primary",INDEX(Applications!$I$5:$I$600,MATCH(B165,Applications!$A$5:$A$600,0)),IF(E165="Secondary",INDEX(Applications!$J$5:$J$600,MATCH(B165,Applications!$A$5:$A$600,0)),INDEX(Applications!$K$5:$K$600,MATCH(B165,Applications!$A$5:$A$600,0))))=D165,"OK","Not assigned"),"Check ID"))</f>
        <v>OK</v>
      </c>
      <c r="O165" s="7"/>
    </row>
    <row r="166" customFormat="false" ht="15" hidden="false" customHeight="false" outlineLevel="0" collapsed="false">
      <c r="A166" s="35" t="s">
        <v>1561</v>
      </c>
      <c r="B166" s="35" t="s">
        <v>935</v>
      </c>
      <c r="C166" s="37" t="str">
        <f aca="false">IF(B166="","",IFERROR(INDEX(Applications!$B$5:$B$600,MATCH(B166,Applications!$A$5:$A$600,0)),"Application ID not found"))</f>
        <v>Dublin Mobile Market</v>
      </c>
      <c r="D166" s="35" t="s">
        <v>82</v>
      </c>
      <c r="E166" s="35" t="s">
        <v>83</v>
      </c>
      <c r="F166" s="36" t="n">
        <v>45939</v>
      </c>
      <c r="G166" s="35" t="n">
        <v>3</v>
      </c>
      <c r="H166" s="35" t="n">
        <v>3</v>
      </c>
      <c r="I166" s="35" t="n">
        <v>4</v>
      </c>
      <c r="J166" s="35" t="n">
        <v>3</v>
      </c>
      <c r="K166" s="35" t="n">
        <v>3</v>
      </c>
      <c r="L166" s="35" t="n">
        <v>4</v>
      </c>
      <c r="M166" s="50" t="n">
        <f aca="false">IF(COUNT(G166:L166)&lt;6,"",ROUND((G166*Rubric!$D$5+H166*Rubric!$D$6+I166*Rubric!$D$7+J166*Rubric!$D$8+K166*Rubric!$D$9+L166*Rubric!$D$10)/5*100,1))</f>
        <v>66</v>
      </c>
      <c r="N166" s="37" t="str">
        <f aca="false">IF(OR(B166="",D166=""),"",IFERROR(IF(IF(E166="Primary",INDEX(Applications!$I$5:$I$600,MATCH(B166,Applications!$A$5:$A$600,0)),IF(E166="Secondary",INDEX(Applications!$J$5:$J$600,MATCH(B166,Applications!$A$5:$A$600,0)),INDEX(Applications!$K$5:$K$600,MATCH(B166,Applications!$A$5:$A$600,0))))=D166,"OK","Not assigned"),"Check ID"))</f>
        <v>OK</v>
      </c>
      <c r="O166" s="7"/>
    </row>
    <row r="167" customFormat="false" ht="15" hidden="false" customHeight="false" outlineLevel="0" collapsed="false">
      <c r="A167" s="35" t="s">
        <v>1562</v>
      </c>
      <c r="B167" s="35" t="s">
        <v>1355</v>
      </c>
      <c r="C167" s="37" t="str">
        <f aca="false">IF(B167="","",IFERROR(INDEX(Applications!$B$5:$B$600,MATCH(B167,Applications!$A$5:$A$600,0)),"Application ID not found"))</f>
        <v>Quezon City Food Bank</v>
      </c>
      <c r="D167" s="35" t="s">
        <v>82</v>
      </c>
      <c r="E167" s="35" t="s">
        <v>83</v>
      </c>
      <c r="F167" s="36" t="n">
        <v>45939</v>
      </c>
      <c r="G167" s="35" t="n">
        <v>3</v>
      </c>
      <c r="H167" s="35" t="n">
        <v>3</v>
      </c>
      <c r="I167" s="35" t="n">
        <v>3</v>
      </c>
      <c r="J167" s="35" t="n">
        <v>4</v>
      </c>
      <c r="K167" s="35" t="n">
        <v>2</v>
      </c>
      <c r="L167" s="35" t="n">
        <v>4</v>
      </c>
      <c r="M167" s="50" t="n">
        <f aca="false">IF(COUNT(G167:L167)&lt;6,"",ROUND((G167*Rubric!$D$5+H167*Rubric!$D$6+I167*Rubric!$D$7+J167*Rubric!$D$8+K167*Rubric!$D$9+L167*Rubric!$D$10)/5*100,1))</f>
        <v>63</v>
      </c>
      <c r="N167" s="37" t="str">
        <f aca="false">IF(OR(B167="",D167=""),"",IFERROR(IF(IF(E167="Primary",INDEX(Applications!$I$5:$I$600,MATCH(B167,Applications!$A$5:$A$600,0)),IF(E167="Secondary",INDEX(Applications!$J$5:$J$600,MATCH(B167,Applications!$A$5:$A$600,0)),INDEX(Applications!$K$5:$K$600,MATCH(B167,Applications!$A$5:$A$600,0))))=D167,"OK","Not assigned"),"Check ID"))</f>
        <v>OK</v>
      </c>
      <c r="O167" s="7"/>
    </row>
    <row r="168" customFormat="false" ht="15" hidden="false" customHeight="false" outlineLevel="0" collapsed="false">
      <c r="A168" s="35" t="s">
        <v>1563</v>
      </c>
      <c r="B168" s="35" t="s">
        <v>315</v>
      </c>
      <c r="C168" s="37" t="str">
        <f aca="false">IF(B168="","",IFERROR(INDEX(Applications!$B$5:$B$600,MATCH(B168,Applications!$A$5:$A$600,0)),"Application ID not found"))</f>
        <v>Riverbend Pantry Network</v>
      </c>
      <c r="D168" s="35" t="s">
        <v>82</v>
      </c>
      <c r="E168" s="35" t="s">
        <v>80</v>
      </c>
      <c r="F168" s="36" t="n">
        <v>45939</v>
      </c>
      <c r="G168" s="35" t="n">
        <v>3</v>
      </c>
      <c r="H168" s="35" t="n">
        <v>2</v>
      </c>
      <c r="I168" s="35" t="n">
        <v>3</v>
      </c>
      <c r="J168" s="35" t="n">
        <v>3</v>
      </c>
      <c r="K168" s="35" t="n">
        <v>4</v>
      </c>
      <c r="L168" s="35" t="n">
        <v>3</v>
      </c>
      <c r="M168" s="50" t="n">
        <f aca="false">IF(COUNT(G168:L168)&lt;6,"",ROUND((G168*Rubric!$D$5+H168*Rubric!$D$6+I168*Rubric!$D$7+J168*Rubric!$D$8+K168*Rubric!$D$9+L168*Rubric!$D$10)/5*100,1))</f>
        <v>58</v>
      </c>
      <c r="N168" s="37" t="str">
        <f aca="false">IF(OR(B168="",D168=""),"",IFERROR(IF(IF(E168="Primary",INDEX(Applications!$I$5:$I$600,MATCH(B168,Applications!$A$5:$A$600,0)),IF(E168="Secondary",INDEX(Applications!$J$5:$J$600,MATCH(B168,Applications!$A$5:$A$600,0)),INDEX(Applications!$K$5:$K$600,MATCH(B168,Applications!$A$5:$A$600,0))))=D168,"OK","Not assigned"),"Check ID"))</f>
        <v>OK</v>
      </c>
      <c r="O168" s="7"/>
    </row>
    <row r="169" customFormat="false" ht="15" hidden="false" customHeight="false" outlineLevel="0" collapsed="false">
      <c r="A169" s="35" t="s">
        <v>1564</v>
      </c>
      <c r="B169" s="35" t="s">
        <v>1033</v>
      </c>
      <c r="C169" s="37" t="str">
        <f aca="false">IF(B169="","",IFERROR(INDEX(Applications!$B$5:$B$600,MATCH(B169,Applications!$A$5:$A$600,0)),"Application ID not found"))</f>
        <v>Cebu City Farm Collective</v>
      </c>
      <c r="D169" s="35" t="s">
        <v>82</v>
      </c>
      <c r="E169" s="35" t="s">
        <v>83</v>
      </c>
      <c r="F169" s="36" t="n">
        <v>45939</v>
      </c>
      <c r="G169" s="35" t="n">
        <v>4</v>
      </c>
      <c r="H169" s="35" t="n">
        <v>3</v>
      </c>
      <c r="I169" s="35" t="n">
        <v>4</v>
      </c>
      <c r="J169" s="35" t="n">
        <v>3</v>
      </c>
      <c r="K169" s="35" t="n">
        <v>4</v>
      </c>
      <c r="L169" s="35" t="n">
        <v>3</v>
      </c>
      <c r="M169" s="50" t="n">
        <f aca="false">IF(COUNT(G169:L169)&lt;6,"",ROUND((G169*Rubric!$D$5+H169*Rubric!$D$6+I169*Rubric!$D$7+J169*Rubric!$D$8+K169*Rubric!$D$9+L169*Rubric!$D$10)/5*100,1))</f>
        <v>71</v>
      </c>
      <c r="N169" s="37" t="str">
        <f aca="false">IF(OR(B169="",D169=""),"",IFERROR(IF(IF(E169="Primary",INDEX(Applications!$I$5:$I$600,MATCH(B169,Applications!$A$5:$A$600,0)),IF(E169="Secondary",INDEX(Applications!$J$5:$J$600,MATCH(B169,Applications!$A$5:$A$600,0)),INDEX(Applications!$K$5:$K$600,MATCH(B169,Applications!$A$5:$A$600,0))))=D169,"OK","Not assigned"),"Check ID"))</f>
        <v>OK</v>
      </c>
      <c r="O169" s="7" t="s">
        <v>1437</v>
      </c>
    </row>
    <row r="170" customFormat="false" ht="15" hidden="false" customHeight="false" outlineLevel="0" collapsed="false">
      <c r="A170" s="35" t="s">
        <v>1565</v>
      </c>
      <c r="B170" s="35" t="s">
        <v>400</v>
      </c>
      <c r="C170" s="37" t="str">
        <f aca="false">IF(B170="","",IFERROR(INDEX(Applications!$B$5:$B$600,MATCH(B170,Applications!$A$5:$A$600,0)),"Application ID not found"))</f>
        <v>Good Neighbor Youth Food Lab</v>
      </c>
      <c r="D170" s="35" t="s">
        <v>88</v>
      </c>
      <c r="E170" s="35" t="s">
        <v>83</v>
      </c>
      <c r="F170" s="36" t="n">
        <v>45939</v>
      </c>
      <c r="G170" s="35" t="n">
        <v>3</v>
      </c>
      <c r="H170" s="35" t="n">
        <v>3</v>
      </c>
      <c r="I170" s="35" t="n">
        <v>3</v>
      </c>
      <c r="J170" s="35" t="n">
        <v>3</v>
      </c>
      <c r="K170" s="35" t="n">
        <v>3</v>
      </c>
      <c r="L170" s="35" t="n">
        <v>3</v>
      </c>
      <c r="M170" s="50" t="n">
        <f aca="false">IF(COUNT(G170:L170)&lt;6,"",ROUND((G170*Rubric!$D$5+H170*Rubric!$D$6+I170*Rubric!$D$7+J170*Rubric!$D$8+K170*Rubric!$D$9+L170*Rubric!$D$10)/5*100,1))</f>
        <v>60</v>
      </c>
      <c r="N170" s="37" t="str">
        <f aca="false">IF(OR(B170="",D170=""),"",IFERROR(IF(IF(E170="Primary",INDEX(Applications!$I$5:$I$600,MATCH(B170,Applications!$A$5:$A$600,0)),IF(E170="Secondary",INDEX(Applications!$J$5:$J$600,MATCH(B170,Applications!$A$5:$A$600,0)),INDEX(Applications!$K$5:$K$600,MATCH(B170,Applications!$A$5:$A$600,0))))=D170,"OK","Not assigned"),"Check ID"))</f>
        <v>OK</v>
      </c>
      <c r="O170" s="7"/>
    </row>
    <row r="171" customFormat="false" ht="15" hidden="false" customHeight="false" outlineLevel="0" collapsed="false">
      <c r="A171" s="35" t="s">
        <v>1566</v>
      </c>
      <c r="B171" s="35" t="s">
        <v>1311</v>
      </c>
      <c r="C171" s="37" t="str">
        <f aca="false">IF(B171="","",IFERROR(INDEX(Applications!$B$5:$B$600,MATCH(B171,Applications!$A$5:$A$600,0)),"Application ID not found"))</f>
        <v>Madison Growers Cooperative</v>
      </c>
      <c r="D171" s="35" t="s">
        <v>88</v>
      </c>
      <c r="E171" s="35" t="s">
        <v>80</v>
      </c>
      <c r="F171" s="36" t="n">
        <v>45939</v>
      </c>
      <c r="G171" s="35" t="n">
        <v>5</v>
      </c>
      <c r="H171" s="35" t="n">
        <v>5</v>
      </c>
      <c r="I171" s="35" t="n">
        <v>4</v>
      </c>
      <c r="J171" s="35" t="n">
        <v>4</v>
      </c>
      <c r="K171" s="35" t="n">
        <v>5</v>
      </c>
      <c r="L171" s="35" t="n">
        <v>5</v>
      </c>
      <c r="M171" s="50" t="n">
        <f aca="false">IF(COUNT(G171:L171)&lt;6,"",ROUND((G171*Rubric!$D$5+H171*Rubric!$D$6+I171*Rubric!$D$7+J171*Rubric!$D$8+K171*Rubric!$D$9+L171*Rubric!$D$10)/5*100,1))</f>
        <v>93</v>
      </c>
      <c r="N171" s="37" t="str">
        <f aca="false">IF(OR(B171="",D171=""),"",IFERROR(IF(IF(E171="Primary",INDEX(Applications!$I$5:$I$600,MATCH(B171,Applications!$A$5:$A$600,0)),IF(E171="Secondary",INDEX(Applications!$J$5:$J$600,MATCH(B171,Applications!$A$5:$A$600,0)),INDEX(Applications!$K$5:$K$600,MATCH(B171,Applications!$A$5:$A$600,0))))=D171,"OK","Not assigned"),"Check ID"))</f>
        <v>OK</v>
      </c>
      <c r="O171" s="7" t="s">
        <v>1416</v>
      </c>
    </row>
    <row r="172" customFormat="false" ht="15" hidden="false" customHeight="false" outlineLevel="0" collapsed="false">
      <c r="A172" s="35" t="s">
        <v>1567</v>
      </c>
      <c r="B172" s="35" t="s">
        <v>1275</v>
      </c>
      <c r="C172" s="37" t="str">
        <f aca="false">IF(B172="","",IFERROR(INDEX(Applications!$B$5:$B$600,MATCH(B172,Applications!$A$5:$A$600,0)),"Application ID not found"))</f>
        <v>Marigold Bakery Collective</v>
      </c>
      <c r="D172" s="35" t="s">
        <v>88</v>
      </c>
      <c r="E172" s="35" t="s">
        <v>80</v>
      </c>
      <c r="F172" s="36" t="n">
        <v>45939</v>
      </c>
      <c r="G172" s="35" t="n">
        <v>3</v>
      </c>
      <c r="H172" s="35" t="n">
        <v>4</v>
      </c>
      <c r="I172" s="35" t="n">
        <v>4</v>
      </c>
      <c r="J172" s="35" t="n">
        <v>4</v>
      </c>
      <c r="K172" s="35" t="n">
        <v>4</v>
      </c>
      <c r="L172" s="35" t="n">
        <v>4</v>
      </c>
      <c r="M172" s="50" t="n">
        <f aca="false">IF(COUNT(G172:L172)&lt;6,"",ROUND((G172*Rubric!$D$5+H172*Rubric!$D$6+I172*Rubric!$D$7+J172*Rubric!$D$8+K172*Rubric!$D$9+L172*Rubric!$D$10)/5*100,1))</f>
        <v>75</v>
      </c>
      <c r="N172" s="37" t="str">
        <f aca="false">IF(OR(B172="",D172=""),"",IFERROR(IF(IF(E172="Primary",INDEX(Applications!$I$5:$I$600,MATCH(B172,Applications!$A$5:$A$600,0)),IF(E172="Secondary",INDEX(Applications!$J$5:$J$600,MATCH(B172,Applications!$A$5:$A$600,0)),INDEX(Applications!$K$5:$K$600,MATCH(B172,Applications!$A$5:$A$600,0))))=D172,"OK","Not assigned"),"Check ID"))</f>
        <v>OK</v>
      </c>
      <c r="O172" s="7"/>
    </row>
    <row r="173" customFormat="false" ht="15" hidden="false" customHeight="false" outlineLevel="0" collapsed="false">
      <c r="A173" s="35" t="s">
        <v>1568</v>
      </c>
      <c r="B173" s="35" t="s">
        <v>305</v>
      </c>
      <c r="C173" s="37" t="str">
        <f aca="false">IF(B173="","",IFERROR(INDEX(Applications!$B$5:$B$600,MATCH(B173,Applications!$A$5:$A$600,0)),"Application ID not found"))</f>
        <v>Cedar Market Gardens</v>
      </c>
      <c r="D173" s="35" t="s">
        <v>88</v>
      </c>
      <c r="E173" s="35" t="s">
        <v>83</v>
      </c>
      <c r="F173" s="36" t="n">
        <v>45939</v>
      </c>
      <c r="G173" s="35" t="n">
        <v>3</v>
      </c>
      <c r="H173" s="35" t="n">
        <v>3</v>
      </c>
      <c r="I173" s="35" t="n">
        <v>3</v>
      </c>
      <c r="J173" s="35" t="n">
        <v>3</v>
      </c>
      <c r="K173" s="35" t="n">
        <v>2</v>
      </c>
      <c r="L173" s="35" t="n">
        <v>2</v>
      </c>
      <c r="M173" s="50" t="n">
        <f aca="false">IF(COUNT(G173:L173)&lt;6,"",ROUND((G173*Rubric!$D$5+H173*Rubric!$D$6+I173*Rubric!$D$7+J173*Rubric!$D$8+K173*Rubric!$D$9+L173*Rubric!$D$10)/5*100,1))</f>
        <v>56</v>
      </c>
      <c r="N173" s="37" t="str">
        <f aca="false">IF(OR(B173="",D173=""),"",IFERROR(IF(IF(E173="Primary",INDEX(Applications!$I$5:$I$600,MATCH(B173,Applications!$A$5:$A$600,0)),IF(E173="Secondary",INDEX(Applications!$J$5:$J$600,MATCH(B173,Applications!$A$5:$A$600,0)),INDEX(Applications!$K$5:$K$600,MATCH(B173,Applications!$A$5:$A$600,0))))=D173,"OK","Not assigned"),"Check ID"))</f>
        <v>OK</v>
      </c>
      <c r="O173" s="7"/>
    </row>
    <row r="174" customFormat="false" ht="15" hidden="false" customHeight="false" outlineLevel="0" collapsed="false">
      <c r="A174" s="35" t="s">
        <v>1569</v>
      </c>
      <c r="B174" s="35" t="s">
        <v>939</v>
      </c>
      <c r="C174" s="37" t="str">
        <f aca="false">IF(B174="","",IFERROR(INDEX(Applications!$B$5:$B$600,MATCH(B174,Applications!$A$5:$A$600,0)),"Application ID not found"))</f>
        <v>Copper Hill Family Center</v>
      </c>
      <c r="D174" s="35" t="s">
        <v>88</v>
      </c>
      <c r="E174" s="35" t="s">
        <v>83</v>
      </c>
      <c r="F174" s="36" t="n">
        <v>45939</v>
      </c>
      <c r="G174" s="35" t="n">
        <v>3</v>
      </c>
      <c r="H174" s="35" t="n">
        <v>4</v>
      </c>
      <c r="I174" s="35" t="n">
        <v>4</v>
      </c>
      <c r="J174" s="35" t="n">
        <v>3</v>
      </c>
      <c r="K174" s="35" t="n">
        <v>4</v>
      </c>
      <c r="L174" s="35" t="n">
        <v>4</v>
      </c>
      <c r="M174" s="50" t="n">
        <f aca="false">IF(COUNT(G174:L174)&lt;6,"",ROUND((G174*Rubric!$D$5+H174*Rubric!$D$6+I174*Rubric!$D$7+J174*Rubric!$D$8+K174*Rubric!$D$9+L174*Rubric!$D$10)/5*100,1))</f>
        <v>72</v>
      </c>
      <c r="N174" s="37" t="str">
        <f aca="false">IF(OR(B174="",D174=""),"",IFERROR(IF(IF(E174="Primary",INDEX(Applications!$I$5:$I$600,MATCH(B174,Applications!$A$5:$A$600,0)),IF(E174="Secondary",INDEX(Applications!$J$5:$J$600,MATCH(B174,Applications!$A$5:$A$600,0)),INDEX(Applications!$K$5:$K$600,MATCH(B174,Applications!$A$5:$A$600,0))))=D174,"OK","Not assigned"),"Check ID"))</f>
        <v>OK</v>
      </c>
      <c r="O174" s="7"/>
    </row>
    <row r="175" customFormat="false" ht="15" hidden="false" customHeight="false" outlineLevel="0" collapsed="false">
      <c r="A175" s="35" t="s">
        <v>1570</v>
      </c>
      <c r="B175" s="35" t="s">
        <v>1015</v>
      </c>
      <c r="C175" s="37" t="str">
        <f aca="false">IF(B175="","",IFERROR(INDEX(Applications!$B$5:$B$600,MATCH(B175,Applications!$A$5:$A$600,0)),"Application ID not found"))</f>
        <v>Mill Creek Growers Cooperative</v>
      </c>
      <c r="D175" s="35" t="s">
        <v>88</v>
      </c>
      <c r="E175" s="35" t="s">
        <v>80</v>
      </c>
      <c r="F175" s="36" t="n">
        <v>45939</v>
      </c>
      <c r="G175" s="35" t="n">
        <v>3</v>
      </c>
      <c r="H175" s="35" t="n">
        <v>3</v>
      </c>
      <c r="I175" s="35" t="n">
        <v>4</v>
      </c>
      <c r="J175" s="35" t="n">
        <v>3</v>
      </c>
      <c r="K175" s="35" t="n">
        <v>2</v>
      </c>
      <c r="L175" s="35" t="n">
        <v>4</v>
      </c>
      <c r="M175" s="50" t="n">
        <f aca="false">IF(COUNT(G175:L175)&lt;6,"",ROUND((G175*Rubric!$D$5+H175*Rubric!$D$6+I175*Rubric!$D$7+J175*Rubric!$D$8+K175*Rubric!$D$9+L175*Rubric!$D$10)/5*100,1))</f>
        <v>64</v>
      </c>
      <c r="N175" s="37" t="str">
        <f aca="false">IF(OR(B175="",D175=""),"",IFERROR(IF(IF(E175="Primary",INDEX(Applications!$I$5:$I$600,MATCH(B175,Applications!$A$5:$A$600,0)),IF(E175="Secondary",INDEX(Applications!$J$5:$J$600,MATCH(B175,Applications!$A$5:$A$600,0)),INDEX(Applications!$K$5:$K$600,MATCH(B175,Applications!$A$5:$A$600,0))))=D175,"OK","Not assigned"),"Check ID"))</f>
        <v>OK</v>
      </c>
      <c r="O175" s="7"/>
    </row>
    <row r="176" customFormat="false" ht="15" hidden="false" customHeight="false" outlineLevel="0" collapsed="false">
      <c r="A176" s="35" t="s">
        <v>1571</v>
      </c>
      <c r="B176" s="35" t="s">
        <v>361</v>
      </c>
      <c r="C176" s="37" t="str">
        <f aca="false">IF(B176="","",IFERROR(INDEX(Applications!$B$5:$B$600,MATCH(B176,Applications!$A$5:$A$600,0)),"Application ID not found"))</f>
        <v>Cape Town Family Center</v>
      </c>
      <c r="D176" s="35" t="s">
        <v>88</v>
      </c>
      <c r="E176" s="35" t="s">
        <v>80</v>
      </c>
      <c r="F176" s="36" t="n">
        <v>45939</v>
      </c>
      <c r="G176" s="35" t="n">
        <v>2</v>
      </c>
      <c r="H176" s="35" t="n">
        <v>2</v>
      </c>
      <c r="I176" s="35" t="n">
        <v>2</v>
      </c>
      <c r="J176" s="35" t="n">
        <v>2</v>
      </c>
      <c r="K176" s="35" t="n">
        <v>2</v>
      </c>
      <c r="L176" s="35" t="n">
        <v>2</v>
      </c>
      <c r="M176" s="50" t="n">
        <f aca="false">IF(COUNT(G176:L176)&lt;6,"",ROUND((G176*Rubric!$D$5+H176*Rubric!$D$6+I176*Rubric!$D$7+J176*Rubric!$D$8+K176*Rubric!$D$9+L176*Rubric!$D$10)/5*100,1))</f>
        <v>40</v>
      </c>
      <c r="N176" s="37" t="str">
        <f aca="false">IF(OR(B176="",D176=""),"",IFERROR(IF(IF(E176="Primary",INDEX(Applications!$I$5:$I$600,MATCH(B176,Applications!$A$5:$A$600,0)),IF(E176="Secondary",INDEX(Applications!$J$5:$J$600,MATCH(B176,Applications!$A$5:$A$600,0)),INDEX(Applications!$K$5:$K$600,MATCH(B176,Applications!$A$5:$A$600,0))))=D176,"OK","Not assigned"),"Check ID"))</f>
        <v>OK</v>
      </c>
      <c r="O176" s="7"/>
    </row>
    <row r="177" customFormat="false" ht="15" hidden="false" customHeight="false" outlineLevel="0" collapsed="false">
      <c r="A177" s="35" t="s">
        <v>1572</v>
      </c>
      <c r="B177" s="35" t="s">
        <v>1281</v>
      </c>
      <c r="C177" s="37" t="str">
        <f aca="false">IF(B177="","",IFERROR(INDEX(Applications!$B$5:$B$600,MATCH(B177,Applications!$A$5:$A$600,0)),"Application ID not found"))</f>
        <v>Lakeshore Food Shelf</v>
      </c>
      <c r="D177" s="35" t="s">
        <v>88</v>
      </c>
      <c r="E177" s="35" t="s">
        <v>83</v>
      </c>
      <c r="F177" s="36" t="n">
        <v>45939</v>
      </c>
      <c r="G177" s="35" t="n">
        <v>2</v>
      </c>
      <c r="H177" s="35" t="n">
        <v>2</v>
      </c>
      <c r="I177" s="35" t="n">
        <v>3</v>
      </c>
      <c r="J177" s="35" t="n">
        <v>3</v>
      </c>
      <c r="K177" s="35" t="n">
        <v>2</v>
      </c>
      <c r="L177" s="35" t="n">
        <v>2</v>
      </c>
      <c r="M177" s="50" t="n">
        <f aca="false">IF(COUNT(G177:L177)&lt;6,"",ROUND((G177*Rubric!$D$5+H177*Rubric!$D$6+I177*Rubric!$D$7+J177*Rubric!$D$8+K177*Rubric!$D$9+L177*Rubric!$D$10)/5*100,1))</f>
        <v>47</v>
      </c>
      <c r="N177" s="37" t="str">
        <f aca="false">IF(OR(B177="",D177=""),"",IFERROR(IF(IF(E177="Primary",INDEX(Applications!$I$5:$I$600,MATCH(B177,Applications!$A$5:$A$600,0)),IF(E177="Secondary",INDEX(Applications!$J$5:$J$600,MATCH(B177,Applications!$A$5:$A$600,0)),INDEX(Applications!$K$5:$K$600,MATCH(B177,Applications!$A$5:$A$600,0))))=D177,"OK","Not assigned"),"Check ID"))</f>
        <v>OK</v>
      </c>
      <c r="O177" s="7"/>
    </row>
    <row r="178" customFormat="false" ht="15" hidden="false" customHeight="false" outlineLevel="0" collapsed="false">
      <c r="A178" s="35" t="s">
        <v>1573</v>
      </c>
      <c r="B178" s="35" t="s">
        <v>1293</v>
      </c>
      <c r="C178" s="37" t="str">
        <f aca="false">IF(B178="","",IFERROR(INDEX(Applications!$B$5:$B$600,MATCH(B178,Applications!$A$5:$A$600,0)),"Application ID not found"))</f>
        <v>Canal Street Pantry Network</v>
      </c>
      <c r="D178" s="35" t="s">
        <v>88</v>
      </c>
      <c r="E178" s="35" t="s">
        <v>80</v>
      </c>
      <c r="F178" s="36" t="n">
        <v>45939</v>
      </c>
      <c r="G178" s="35" t="n">
        <v>3</v>
      </c>
      <c r="H178" s="35" t="n">
        <v>4</v>
      </c>
      <c r="I178" s="35" t="n">
        <v>4</v>
      </c>
      <c r="J178" s="35" t="n">
        <v>3</v>
      </c>
      <c r="K178" s="35" t="n">
        <v>3</v>
      </c>
      <c r="L178" s="35" t="n">
        <v>3</v>
      </c>
      <c r="M178" s="50" t="n">
        <f aca="false">IF(COUNT(G178:L178)&lt;6,"",ROUND((G178*Rubric!$D$5+H178*Rubric!$D$6+I178*Rubric!$D$7+J178*Rubric!$D$8+K178*Rubric!$D$9+L178*Rubric!$D$10)/5*100,1))</f>
        <v>68</v>
      </c>
      <c r="N178" s="37" t="str">
        <f aca="false">IF(OR(B178="",D178=""),"",IFERROR(IF(IF(E178="Primary",INDEX(Applications!$I$5:$I$600,MATCH(B178,Applications!$A$5:$A$600,0)),IF(E178="Secondary",INDEX(Applications!$J$5:$J$600,MATCH(B178,Applications!$A$5:$A$600,0)),INDEX(Applications!$K$5:$K$600,MATCH(B178,Applications!$A$5:$A$600,0))))=D178,"OK","Not assigned"),"Check ID"))</f>
        <v>OK</v>
      </c>
      <c r="O178" s="7"/>
    </row>
    <row r="179" customFormat="false" ht="15" hidden="false" customHeight="false" outlineLevel="0" collapsed="false">
      <c r="A179" s="35" t="s">
        <v>1574</v>
      </c>
      <c r="B179" s="35" t="s">
        <v>1221</v>
      </c>
      <c r="C179" s="37" t="str">
        <f aca="false">IF(B179="","",IFERROR(INDEX(Applications!$B$5:$B$600,MATCH(B179,Applications!$A$5:$A$600,0)),"Application ID not found"))</f>
        <v>Cork Schools Nutrition Fund</v>
      </c>
      <c r="D179" s="35" t="s">
        <v>88</v>
      </c>
      <c r="E179" s="35" t="s">
        <v>83</v>
      </c>
      <c r="F179" s="36" t="n">
        <v>45939</v>
      </c>
      <c r="G179" s="35" t="n">
        <v>4</v>
      </c>
      <c r="H179" s="35" t="n">
        <v>4</v>
      </c>
      <c r="I179" s="35" t="n">
        <v>4</v>
      </c>
      <c r="J179" s="35" t="n">
        <v>3</v>
      </c>
      <c r="K179" s="35" t="n">
        <v>4</v>
      </c>
      <c r="L179" s="35" t="n">
        <v>5</v>
      </c>
      <c r="M179" s="50" t="n">
        <f aca="false">IF(COUNT(G179:L179)&lt;6,"",ROUND((G179*Rubric!$D$5+H179*Rubric!$D$6+I179*Rubric!$D$7+J179*Rubric!$D$8+K179*Rubric!$D$9+L179*Rubric!$D$10)/5*100,1))</f>
        <v>79</v>
      </c>
      <c r="N179" s="37" t="str">
        <f aca="false">IF(OR(B179="",D179=""),"",IFERROR(IF(IF(E179="Primary",INDEX(Applications!$I$5:$I$600,MATCH(B179,Applications!$A$5:$A$600,0)),IF(E179="Secondary",INDEX(Applications!$J$5:$J$600,MATCH(B179,Applications!$A$5:$A$600,0)),INDEX(Applications!$K$5:$K$600,MATCH(B179,Applications!$A$5:$A$600,0))))=D179,"OK","Not assigned"),"Check ID"))</f>
        <v>OK</v>
      </c>
      <c r="O179" s="7"/>
    </row>
    <row r="180" customFormat="false" ht="15" hidden="false" customHeight="false" outlineLevel="0" collapsed="false">
      <c r="A180" s="35" t="s">
        <v>1575</v>
      </c>
      <c r="B180" s="35" t="s">
        <v>625</v>
      </c>
      <c r="C180" s="37" t="str">
        <f aca="false">IF(B180="","",IFERROR(INDEX(Applications!$B$5:$B$600,MATCH(B180,Applications!$A$5:$A$600,0)),"Application ID not found"))</f>
        <v>Saltgrass Seed Library</v>
      </c>
      <c r="D180" s="35" t="s">
        <v>88</v>
      </c>
      <c r="E180" s="35" t="s">
        <v>80</v>
      </c>
      <c r="F180" s="36" t="n">
        <v>45939</v>
      </c>
      <c r="G180" s="35" t="n">
        <v>2</v>
      </c>
      <c r="H180" s="35" t="n">
        <v>3</v>
      </c>
      <c r="I180" s="35" t="n">
        <v>2</v>
      </c>
      <c r="J180" s="35" t="n">
        <v>3</v>
      </c>
      <c r="K180" s="35" t="n">
        <v>3</v>
      </c>
      <c r="L180" s="35" t="n">
        <v>3</v>
      </c>
      <c r="M180" s="50" t="n">
        <f aca="false">IF(COUNT(G180:L180)&lt;6,"",ROUND((G180*Rubric!$D$5+H180*Rubric!$D$6+I180*Rubric!$D$7+J180*Rubric!$D$8+K180*Rubric!$D$9+L180*Rubric!$D$10)/5*100,1))</f>
        <v>51</v>
      </c>
      <c r="N180" s="37" t="str">
        <f aca="false">IF(OR(B180="",D180=""),"",IFERROR(IF(IF(E180="Primary",INDEX(Applications!$I$5:$I$600,MATCH(B180,Applications!$A$5:$A$600,0)),IF(E180="Secondary",INDEX(Applications!$J$5:$J$600,MATCH(B180,Applications!$A$5:$A$600,0)),INDEX(Applications!$K$5:$K$600,MATCH(B180,Applications!$A$5:$A$600,0))))=D180,"OK","Not assigned"),"Check ID"))</f>
        <v>OK</v>
      </c>
      <c r="O180" s="7"/>
    </row>
    <row r="181" customFormat="false" ht="15" hidden="false" customHeight="false" outlineLevel="0" collapsed="false">
      <c r="A181" s="35" t="s">
        <v>1576</v>
      </c>
      <c r="B181" s="35" t="s">
        <v>775</v>
      </c>
      <c r="C181" s="37" t="str">
        <f aca="false">IF(B181="","",IFERROR(INDEX(Applications!$B$5:$B$600,MATCH(B181,Applications!$A$5:$A$600,0)),"Application ID not found"))</f>
        <v>Buffalo Meals Project</v>
      </c>
      <c r="D181" s="35" t="s">
        <v>88</v>
      </c>
      <c r="E181" s="35" t="s">
        <v>83</v>
      </c>
      <c r="F181" s="36" t="n">
        <v>45939</v>
      </c>
      <c r="G181" s="35" t="n">
        <v>4</v>
      </c>
      <c r="H181" s="35" t="n">
        <v>5</v>
      </c>
      <c r="I181" s="35" t="n">
        <v>5</v>
      </c>
      <c r="J181" s="35" t="n">
        <v>4</v>
      </c>
      <c r="K181" s="35" t="n">
        <v>4</v>
      </c>
      <c r="L181" s="35" t="n">
        <v>5</v>
      </c>
      <c r="M181" s="50" t="n">
        <f aca="false">IF(COUNT(G181:L181)&lt;6,"",ROUND((G181*Rubric!$D$5+H181*Rubric!$D$6+I181*Rubric!$D$7+J181*Rubric!$D$8+K181*Rubric!$D$9+L181*Rubric!$D$10)/5*100,1))</f>
        <v>90</v>
      </c>
      <c r="N181" s="37" t="str">
        <f aca="false">IF(OR(B181="",D181=""),"",IFERROR(IF(IF(E181="Primary",INDEX(Applications!$I$5:$I$600,MATCH(B181,Applications!$A$5:$A$600,0)),IF(E181="Secondary",INDEX(Applications!$J$5:$J$600,MATCH(B181,Applications!$A$5:$A$600,0)),INDEX(Applications!$K$5:$K$600,MATCH(B181,Applications!$A$5:$A$600,0))))=D181,"OK","Not assigned"),"Check ID"))</f>
        <v>OK</v>
      </c>
      <c r="O181" s="7"/>
    </row>
    <row r="182" customFormat="false" ht="15" hidden="false" customHeight="false" outlineLevel="0" collapsed="false">
      <c r="A182" s="35" t="s">
        <v>1577</v>
      </c>
      <c r="B182" s="35" t="s">
        <v>777</v>
      </c>
      <c r="C182" s="37" t="str">
        <f aca="false">IF(B182="","",IFERROR(INDEX(Applications!$B$5:$B$600,MATCH(B182,Applications!$A$5:$A$600,0)),"Application ID not found"))</f>
        <v>Madison Farm Collective</v>
      </c>
      <c r="D182" s="35" t="s">
        <v>91</v>
      </c>
      <c r="E182" s="35" t="s">
        <v>80</v>
      </c>
      <c r="F182" s="36" t="n">
        <v>45939</v>
      </c>
      <c r="G182" s="35" t="n">
        <v>4</v>
      </c>
      <c r="H182" s="35" t="n">
        <v>5</v>
      </c>
      <c r="I182" s="35" t="n">
        <v>5</v>
      </c>
      <c r="J182" s="35" t="n">
        <v>4</v>
      </c>
      <c r="K182" s="35" t="n">
        <v>4</v>
      </c>
      <c r="L182" s="35" t="n">
        <v>5</v>
      </c>
      <c r="M182" s="50" t="n">
        <f aca="false">IF(COUNT(G182:L182)&lt;6,"",ROUND((G182*Rubric!$D$5+H182*Rubric!$D$6+I182*Rubric!$D$7+J182*Rubric!$D$8+K182*Rubric!$D$9+L182*Rubric!$D$10)/5*100,1))</f>
        <v>90</v>
      </c>
      <c r="N182" s="37" t="str">
        <f aca="false">IF(OR(B182="",D182=""),"",IFERROR(IF(IF(E182="Primary",INDEX(Applications!$I$5:$I$600,MATCH(B182,Applications!$A$5:$A$600,0)),IF(E182="Secondary",INDEX(Applications!$J$5:$J$600,MATCH(B182,Applications!$A$5:$A$600,0)),INDEX(Applications!$K$5:$K$600,MATCH(B182,Applications!$A$5:$A$600,0))))=D182,"OK","Not assigned"),"Check ID"))</f>
        <v>OK</v>
      </c>
      <c r="O182" s="7" t="s">
        <v>1428</v>
      </c>
    </row>
    <row r="183" customFormat="false" ht="15" hidden="false" customHeight="false" outlineLevel="0" collapsed="false">
      <c r="A183" s="35" t="s">
        <v>1578</v>
      </c>
      <c r="B183" s="35" t="s">
        <v>989</v>
      </c>
      <c r="C183" s="37" t="str">
        <f aca="false">IF(B183="","",IFERROR(INDEX(Applications!$B$5:$B$600,MATCH(B183,Applications!$A$5:$A$600,0)),"Application ID not found"))</f>
        <v>Cape Town Bakery Collective</v>
      </c>
      <c r="D183" s="35" t="s">
        <v>91</v>
      </c>
      <c r="E183" s="35" t="s">
        <v>83</v>
      </c>
      <c r="F183" s="36" t="n">
        <v>45939</v>
      </c>
      <c r="G183" s="35" t="n">
        <v>3</v>
      </c>
      <c r="H183" s="35" t="n">
        <v>3</v>
      </c>
      <c r="I183" s="35" t="n">
        <v>3</v>
      </c>
      <c r="J183" s="35" t="n">
        <v>4</v>
      </c>
      <c r="K183" s="35" t="n">
        <v>4</v>
      </c>
      <c r="L183" s="35" t="n">
        <v>3</v>
      </c>
      <c r="M183" s="50" t="n">
        <f aca="false">IF(COUNT(G183:L183)&lt;6,"",ROUND((G183*Rubric!$D$5+H183*Rubric!$D$6+I183*Rubric!$D$7+J183*Rubric!$D$8+K183*Rubric!$D$9+L183*Rubric!$D$10)/5*100,1))</f>
        <v>65</v>
      </c>
      <c r="N183" s="37" t="str">
        <f aca="false">IF(OR(B183="",D183=""),"",IFERROR(IF(IF(E183="Primary",INDEX(Applications!$I$5:$I$600,MATCH(B183,Applications!$A$5:$A$600,0)),IF(E183="Secondary",INDEX(Applications!$J$5:$J$600,MATCH(B183,Applications!$A$5:$A$600,0)),INDEX(Applications!$K$5:$K$600,MATCH(B183,Applications!$A$5:$A$600,0))))=D183,"OK","Not assigned"),"Check ID"))</f>
        <v>OK</v>
      </c>
      <c r="O183" s="7"/>
    </row>
    <row r="184" customFormat="false" ht="15" hidden="false" customHeight="false" outlineLevel="0" collapsed="false">
      <c r="A184" s="35" t="s">
        <v>1579</v>
      </c>
      <c r="B184" s="35" t="s">
        <v>881</v>
      </c>
      <c r="C184" s="37" t="str">
        <f aca="false">IF(B184="","",IFERROR(INDEX(Applications!$B$5:$B$600,MATCH(B184,Applications!$A$5:$A$600,0)),"Application ID not found"))</f>
        <v>Sunrise Youth Food Lab</v>
      </c>
      <c r="D184" s="35" t="s">
        <v>91</v>
      </c>
      <c r="E184" s="35" t="s">
        <v>80</v>
      </c>
      <c r="F184" s="36" t="n">
        <v>45939</v>
      </c>
      <c r="G184" s="35" t="n">
        <v>3</v>
      </c>
      <c r="H184" s="35" t="n">
        <v>3</v>
      </c>
      <c r="I184" s="35" t="n">
        <v>4</v>
      </c>
      <c r="J184" s="35" t="n">
        <v>3</v>
      </c>
      <c r="K184" s="35" t="n">
        <v>2</v>
      </c>
      <c r="L184" s="35" t="n">
        <v>3</v>
      </c>
      <c r="M184" s="50" t="n">
        <f aca="false">IF(COUNT(G184:L184)&lt;6,"",ROUND((G184*Rubric!$D$5+H184*Rubric!$D$6+I184*Rubric!$D$7+J184*Rubric!$D$8+K184*Rubric!$D$9+L184*Rubric!$D$10)/5*100,1))</f>
        <v>62</v>
      </c>
      <c r="N184" s="37" t="str">
        <f aca="false">IF(OR(B184="",D184=""),"",IFERROR(IF(IF(E184="Primary",INDEX(Applications!$I$5:$I$600,MATCH(B184,Applications!$A$5:$A$600,0)),IF(E184="Secondary",INDEX(Applications!$J$5:$J$600,MATCH(B184,Applications!$A$5:$A$600,0)),INDEX(Applications!$K$5:$K$600,MATCH(B184,Applications!$A$5:$A$600,0))))=D184,"OK","Not assigned"),"Check ID"))</f>
        <v>OK</v>
      </c>
      <c r="O184" s="7"/>
    </row>
    <row r="185" customFormat="false" ht="15" hidden="false" customHeight="false" outlineLevel="0" collapsed="false">
      <c r="A185" s="35" t="s">
        <v>1580</v>
      </c>
      <c r="B185" s="35" t="s">
        <v>237</v>
      </c>
      <c r="C185" s="37" t="str">
        <f aca="false">IF(B185="","",IFERROR(INDEX(Applications!$B$5:$B$600,MATCH(B185,Applications!$A$5:$A$600,0)),"Application ID not found"))</f>
        <v>Parkside Family Center</v>
      </c>
      <c r="D185" s="35" t="s">
        <v>91</v>
      </c>
      <c r="E185" s="35" t="s">
        <v>80</v>
      </c>
      <c r="F185" s="36" t="n">
        <v>45939</v>
      </c>
      <c r="G185" s="35" t="n">
        <v>3</v>
      </c>
      <c r="H185" s="35" t="n">
        <v>5</v>
      </c>
      <c r="I185" s="35" t="n">
        <v>4</v>
      </c>
      <c r="J185" s="35" t="n">
        <v>3</v>
      </c>
      <c r="K185" s="35" t="n">
        <v>3</v>
      </c>
      <c r="L185" s="35" t="n">
        <v>4</v>
      </c>
      <c r="M185" s="50" t="n">
        <f aca="false">IF(COUNT(G185:L185)&lt;6,"",ROUND((G185*Rubric!$D$5+H185*Rubric!$D$6+I185*Rubric!$D$7+J185*Rubric!$D$8+K185*Rubric!$D$9+L185*Rubric!$D$10)/5*100,1))</f>
        <v>74</v>
      </c>
      <c r="N185" s="37" t="str">
        <f aca="false">IF(OR(B185="",D185=""),"",IFERROR(IF(IF(E185="Primary",INDEX(Applications!$I$5:$I$600,MATCH(B185,Applications!$A$5:$A$600,0)),IF(E185="Secondary",INDEX(Applications!$J$5:$J$600,MATCH(B185,Applications!$A$5:$A$600,0)),INDEX(Applications!$K$5:$K$600,MATCH(B185,Applications!$A$5:$A$600,0))))=D185,"OK","Not assigned"),"Check ID"))</f>
        <v>OK</v>
      </c>
      <c r="O185" s="7"/>
    </row>
    <row r="186" customFormat="false" ht="15" hidden="false" customHeight="false" outlineLevel="0" collapsed="false">
      <c r="A186" s="35" t="s">
        <v>1581</v>
      </c>
      <c r="B186" s="35" t="s">
        <v>182</v>
      </c>
      <c r="C186" s="37" t="str">
        <f aca="false">IF(B186="","",IFERROR(INDEX(Applications!$B$5:$B$600,MATCH(B186,Applications!$A$5:$A$600,0)),"Application ID not found"))</f>
        <v>Southfield Food Ventures</v>
      </c>
      <c r="D186" s="35" t="s">
        <v>91</v>
      </c>
      <c r="E186" s="35" t="s">
        <v>80</v>
      </c>
      <c r="F186" s="36" t="n">
        <v>45939</v>
      </c>
      <c r="G186" s="35" t="n">
        <v>4</v>
      </c>
      <c r="H186" s="35" t="n">
        <v>4</v>
      </c>
      <c r="I186" s="35" t="n">
        <v>4</v>
      </c>
      <c r="J186" s="35" t="n">
        <v>4</v>
      </c>
      <c r="K186" s="35" t="n">
        <v>3</v>
      </c>
      <c r="L186" s="35" t="n">
        <v>4</v>
      </c>
      <c r="M186" s="50" t="n">
        <f aca="false">IF(COUNT(G186:L186)&lt;6,"",ROUND((G186*Rubric!$D$5+H186*Rubric!$D$6+I186*Rubric!$D$7+J186*Rubric!$D$8+K186*Rubric!$D$9+L186*Rubric!$D$10)/5*100,1))</f>
        <v>78</v>
      </c>
      <c r="N186" s="37" t="str">
        <f aca="false">IF(OR(B186="",D186=""),"",IFERROR(IF(IF(E186="Primary",INDEX(Applications!$I$5:$I$600,MATCH(B186,Applications!$A$5:$A$600,0)),IF(E186="Secondary",INDEX(Applications!$J$5:$J$600,MATCH(B186,Applications!$A$5:$A$600,0)),INDEX(Applications!$K$5:$K$600,MATCH(B186,Applications!$A$5:$A$600,0))))=D186,"OK","Not assigned"),"Check ID"))</f>
        <v>OK</v>
      </c>
      <c r="O186" s="7"/>
    </row>
    <row r="187" customFormat="false" ht="15" hidden="false" customHeight="false" outlineLevel="0" collapsed="false">
      <c r="A187" s="35" t="s">
        <v>1582</v>
      </c>
      <c r="B187" s="35" t="s">
        <v>887</v>
      </c>
      <c r="C187" s="37" t="str">
        <f aca="false">IF(B187="","",IFERROR(INDEX(Applications!$B$5:$B$600,MATCH(B187,Applications!$A$5:$A$600,0)),"Application ID not found"))</f>
        <v>Cusco Farm Collective</v>
      </c>
      <c r="D187" s="35" t="s">
        <v>91</v>
      </c>
      <c r="E187" s="35" t="s">
        <v>83</v>
      </c>
      <c r="F187" s="36" t="n">
        <v>45939</v>
      </c>
      <c r="G187" s="35" t="n">
        <v>5</v>
      </c>
      <c r="H187" s="35" t="n">
        <v>4</v>
      </c>
      <c r="I187" s="35" t="n">
        <v>4</v>
      </c>
      <c r="J187" s="35" t="n">
        <v>4</v>
      </c>
      <c r="K187" s="35" t="n">
        <v>4</v>
      </c>
      <c r="L187" s="35" t="n">
        <v>4</v>
      </c>
      <c r="M187" s="50" t="n">
        <f aca="false">IF(COUNT(G187:L187)&lt;6,"",ROUND((G187*Rubric!$D$5+H187*Rubric!$D$6+I187*Rubric!$D$7+J187*Rubric!$D$8+K187*Rubric!$D$9+L187*Rubric!$D$10)/5*100,1))</f>
        <v>85</v>
      </c>
      <c r="N187" s="37" t="str">
        <f aca="false">IF(OR(B187="",D187=""),"",IFERROR(IF(IF(E187="Primary",INDEX(Applications!$I$5:$I$600,MATCH(B187,Applications!$A$5:$A$600,0)),IF(E187="Secondary",INDEX(Applications!$J$5:$J$600,MATCH(B187,Applications!$A$5:$A$600,0)),INDEX(Applications!$K$5:$K$600,MATCH(B187,Applications!$A$5:$A$600,0))))=D187,"OK","Not assigned"),"Check ID"))</f>
        <v>OK</v>
      </c>
      <c r="O187" s="7"/>
    </row>
    <row r="188" customFormat="false" ht="15" hidden="false" customHeight="false" outlineLevel="0" collapsed="false">
      <c r="A188" s="35" t="s">
        <v>1583</v>
      </c>
      <c r="B188" s="35" t="s">
        <v>555</v>
      </c>
      <c r="C188" s="37" t="str">
        <f aca="false">IF(B188="","",IFERROR(INDEX(Applications!$B$5:$B$600,MATCH(B188,Applications!$A$5:$A$600,0)),"Application ID not found"))</f>
        <v>Accra Youth Food Lab</v>
      </c>
      <c r="D188" s="35" t="s">
        <v>91</v>
      </c>
      <c r="E188" s="35" t="s">
        <v>80</v>
      </c>
      <c r="F188" s="36" t="n">
        <v>45939</v>
      </c>
      <c r="G188" s="35" t="n">
        <v>3</v>
      </c>
      <c r="H188" s="35" t="n">
        <v>5</v>
      </c>
      <c r="I188" s="35" t="n">
        <v>4</v>
      </c>
      <c r="J188" s="35" t="n">
        <v>4</v>
      </c>
      <c r="K188" s="35" t="n">
        <v>4</v>
      </c>
      <c r="L188" s="35" t="n">
        <v>3</v>
      </c>
      <c r="M188" s="50" t="n">
        <f aca="false">IF(COUNT(G188:L188)&lt;6,"",ROUND((G188*Rubric!$D$5+H188*Rubric!$D$6+I188*Rubric!$D$7+J188*Rubric!$D$8+K188*Rubric!$D$9+L188*Rubric!$D$10)/5*100,1))</f>
        <v>77</v>
      </c>
      <c r="N188" s="37" t="str">
        <f aca="false">IF(OR(B188="",D188=""),"",IFERROR(IF(IF(E188="Primary",INDEX(Applications!$I$5:$I$600,MATCH(B188,Applications!$A$5:$A$600,0)),IF(E188="Secondary",INDEX(Applications!$J$5:$J$600,MATCH(B188,Applications!$A$5:$A$600,0)),INDEX(Applications!$K$5:$K$600,MATCH(B188,Applications!$A$5:$A$600,0))))=D188,"OK","Not assigned"),"Check ID"))</f>
        <v>OK</v>
      </c>
      <c r="O188" s="7"/>
    </row>
    <row r="189" customFormat="false" ht="15" hidden="false" customHeight="false" outlineLevel="0" collapsed="false">
      <c r="A189" s="35" t="s">
        <v>1584</v>
      </c>
      <c r="B189" s="35" t="s">
        <v>1157</v>
      </c>
      <c r="C189" s="37" t="str">
        <f aca="false">IF(B189="","",IFERROR(INDEX(Applications!$B$5:$B$600,MATCH(B189,Applications!$A$5:$A$600,0)),"Application ID not found"))</f>
        <v>Utrecht Cafe Training Program</v>
      </c>
      <c r="D189" s="35" t="s">
        <v>91</v>
      </c>
      <c r="E189" s="35" t="s">
        <v>83</v>
      </c>
      <c r="F189" s="36" t="n">
        <v>45939</v>
      </c>
      <c r="G189" s="35" t="n">
        <v>4</v>
      </c>
      <c r="H189" s="35" t="n">
        <v>4</v>
      </c>
      <c r="I189" s="35" t="n">
        <v>3</v>
      </c>
      <c r="J189" s="35" t="n">
        <v>3</v>
      </c>
      <c r="K189" s="35" t="n">
        <v>3</v>
      </c>
      <c r="L189" s="35" t="n">
        <v>3</v>
      </c>
      <c r="M189" s="50" t="n">
        <f aca="false">IF(COUNT(G189:L189)&lt;6,"",ROUND((G189*Rubric!$D$5+H189*Rubric!$D$6+I189*Rubric!$D$7+J189*Rubric!$D$8+K189*Rubric!$D$9+L189*Rubric!$D$10)/5*100,1))</f>
        <v>69</v>
      </c>
      <c r="N189" s="37" t="str">
        <f aca="false">IF(OR(B189="",D189=""),"",IFERROR(IF(IF(E189="Primary",INDEX(Applications!$I$5:$I$600,MATCH(B189,Applications!$A$5:$A$600,0)),IF(E189="Secondary",INDEX(Applications!$J$5:$J$600,MATCH(B189,Applications!$A$5:$A$600,0)),INDEX(Applications!$K$5:$K$600,MATCH(B189,Applications!$A$5:$A$600,0))))=D189,"OK","Not assigned"),"Check ID"))</f>
        <v>OK</v>
      </c>
      <c r="O189" s="7"/>
    </row>
    <row r="190" customFormat="false" ht="15" hidden="false" customHeight="false" outlineLevel="0" collapsed="false">
      <c r="A190" s="35" t="s">
        <v>1585</v>
      </c>
      <c r="B190" s="35" t="s">
        <v>933</v>
      </c>
      <c r="C190" s="37" t="str">
        <f aca="false">IF(B190="","",IFERROR(INDEX(Applications!$B$5:$B$600,MATCH(B190,Applications!$A$5:$A$600,0)),"Application ID not found"))</f>
        <v>Galway Farm Collective</v>
      </c>
      <c r="D190" s="35" t="s">
        <v>91</v>
      </c>
      <c r="E190" s="35" t="s">
        <v>83</v>
      </c>
      <c r="F190" s="36" t="n">
        <v>45939</v>
      </c>
      <c r="G190" s="35" t="n">
        <v>4</v>
      </c>
      <c r="H190" s="35" t="n">
        <v>4</v>
      </c>
      <c r="I190" s="35" t="n">
        <v>3</v>
      </c>
      <c r="J190" s="35" t="n">
        <v>3</v>
      </c>
      <c r="K190" s="35" t="n">
        <v>4</v>
      </c>
      <c r="L190" s="35" t="n">
        <v>3</v>
      </c>
      <c r="M190" s="50" t="n">
        <f aca="false">IF(COUNT(G190:L190)&lt;6,"",ROUND((G190*Rubric!$D$5+H190*Rubric!$D$6+I190*Rubric!$D$7+J190*Rubric!$D$8+K190*Rubric!$D$9+L190*Rubric!$D$10)/5*100,1))</f>
        <v>71</v>
      </c>
      <c r="N190" s="37" t="str">
        <f aca="false">IF(OR(B190="",D190=""),"",IFERROR(IF(IF(E190="Primary",INDEX(Applications!$I$5:$I$600,MATCH(B190,Applications!$A$5:$A$600,0)),IF(E190="Secondary",INDEX(Applications!$J$5:$J$600,MATCH(B190,Applications!$A$5:$A$600,0)),INDEX(Applications!$K$5:$K$600,MATCH(B190,Applications!$A$5:$A$600,0))))=D190,"OK","Not assigned"),"Check ID"))</f>
        <v>OK</v>
      </c>
      <c r="O190" s="7"/>
    </row>
    <row r="191" customFormat="false" ht="15" hidden="false" customHeight="false" outlineLevel="0" collapsed="false">
      <c r="A191" s="35" t="s">
        <v>1586</v>
      </c>
      <c r="B191" s="35" t="s">
        <v>245</v>
      </c>
      <c r="C191" s="37" t="str">
        <f aca="false">IF(B191="","",IFERROR(INDEX(Applications!$B$5:$B$600,MATCH(B191,Applications!$A$5:$A$600,0)),"Application ID not found"))</f>
        <v>Bogotá Bakery Collective</v>
      </c>
      <c r="D191" s="35" t="s">
        <v>91</v>
      </c>
      <c r="E191" s="35" t="s">
        <v>80</v>
      </c>
      <c r="F191" s="36" t="n">
        <v>45939</v>
      </c>
      <c r="G191" s="35" t="n">
        <v>4</v>
      </c>
      <c r="H191" s="35" t="n">
        <v>3</v>
      </c>
      <c r="I191" s="35" t="n">
        <v>3</v>
      </c>
      <c r="J191" s="35" t="n">
        <v>4</v>
      </c>
      <c r="K191" s="35" t="n">
        <v>3</v>
      </c>
      <c r="L191" s="35" t="n">
        <v>3</v>
      </c>
      <c r="M191" s="50" t="n">
        <f aca="false">IF(COUNT(G191:L191)&lt;6,"",ROUND((G191*Rubric!$D$5+H191*Rubric!$D$6+I191*Rubric!$D$7+J191*Rubric!$D$8+K191*Rubric!$D$9+L191*Rubric!$D$10)/5*100,1))</f>
        <v>68</v>
      </c>
      <c r="N191" s="37" t="str">
        <f aca="false">IF(OR(B191="",D191=""),"",IFERROR(IF(IF(E191="Primary",INDEX(Applications!$I$5:$I$600,MATCH(B191,Applications!$A$5:$A$600,0)),IF(E191="Secondary",INDEX(Applications!$J$5:$J$600,MATCH(B191,Applications!$A$5:$A$600,0)),INDEX(Applications!$K$5:$K$600,MATCH(B191,Applications!$A$5:$A$600,0))))=D191,"OK","Not assigned"),"Check ID"))</f>
        <v>OK</v>
      </c>
      <c r="O191" s="7"/>
    </row>
    <row r="192" customFormat="false" ht="15" hidden="false" customHeight="false" outlineLevel="0" collapsed="false">
      <c r="A192" s="35" t="s">
        <v>1587</v>
      </c>
      <c r="B192" s="35" t="s">
        <v>855</v>
      </c>
      <c r="C192" s="37" t="str">
        <f aca="false">IF(B192="","",IFERROR(INDEX(Applications!$B$5:$B$600,MATCH(B192,Applications!$A$5:$A$600,0)),"Application ID not found"))</f>
        <v>Regina Cafe Training Program</v>
      </c>
      <c r="D192" s="35" t="s">
        <v>91</v>
      </c>
      <c r="E192" s="35" t="s">
        <v>83</v>
      </c>
      <c r="F192" s="36" t="n">
        <v>45939</v>
      </c>
      <c r="G192" s="35" t="n">
        <v>3</v>
      </c>
      <c r="H192" s="35" t="n">
        <v>4</v>
      </c>
      <c r="I192" s="35" t="n">
        <v>3</v>
      </c>
      <c r="J192" s="35" t="n">
        <v>4</v>
      </c>
      <c r="K192" s="35" t="n">
        <v>4</v>
      </c>
      <c r="L192" s="35" t="n">
        <v>4</v>
      </c>
      <c r="M192" s="50" t="n">
        <f aca="false">IF(COUNT(G192:L192)&lt;6,"",ROUND((G192*Rubric!$D$5+H192*Rubric!$D$6+I192*Rubric!$D$7+J192*Rubric!$D$8+K192*Rubric!$D$9+L192*Rubric!$D$10)/5*100,1))</f>
        <v>71</v>
      </c>
      <c r="N192" s="37" t="str">
        <f aca="false">IF(OR(B192="",D192=""),"",IFERROR(IF(IF(E192="Primary",INDEX(Applications!$I$5:$I$600,MATCH(B192,Applications!$A$5:$A$600,0)),IF(E192="Secondary",INDEX(Applications!$J$5:$J$600,MATCH(B192,Applications!$A$5:$A$600,0)),INDEX(Applications!$K$5:$K$600,MATCH(B192,Applications!$A$5:$A$600,0))))=D192,"OK","Not assigned"),"Check ID"))</f>
        <v>OK</v>
      </c>
      <c r="O192" s="7"/>
    </row>
    <row r="193" customFormat="false" ht="15" hidden="false" customHeight="false" outlineLevel="0" collapsed="false">
      <c r="A193" s="35" t="s">
        <v>1588</v>
      </c>
      <c r="B193" s="35" t="s">
        <v>979</v>
      </c>
      <c r="C193" s="37" t="str">
        <f aca="false">IF(B193="","",IFERROR(INDEX(Applications!$B$5:$B$600,MATCH(B193,Applications!$A$5:$A$600,0)),"Application ID not found"))</f>
        <v>Salvador Meals Project</v>
      </c>
      <c r="D193" s="35" t="s">
        <v>91</v>
      </c>
      <c r="E193" s="35" t="s">
        <v>83</v>
      </c>
      <c r="F193" s="36" t="n">
        <v>45939</v>
      </c>
      <c r="G193" s="35" t="n">
        <v>3</v>
      </c>
      <c r="H193" s="35" t="n">
        <v>4</v>
      </c>
      <c r="I193" s="35" t="n">
        <v>4</v>
      </c>
      <c r="J193" s="35" t="n">
        <v>3</v>
      </c>
      <c r="K193" s="35" t="n">
        <v>4</v>
      </c>
      <c r="L193" s="35" t="n">
        <v>4</v>
      </c>
      <c r="M193" s="50" t="n">
        <f aca="false">IF(COUNT(G193:L193)&lt;6,"",ROUND((G193*Rubric!$D$5+H193*Rubric!$D$6+I193*Rubric!$D$7+J193*Rubric!$D$8+K193*Rubric!$D$9+L193*Rubric!$D$10)/5*100,1))</f>
        <v>72</v>
      </c>
      <c r="N193" s="37" t="str">
        <f aca="false">IF(OR(B193="",D193=""),"",IFERROR(IF(IF(E193="Primary",INDEX(Applications!$I$5:$I$600,MATCH(B193,Applications!$A$5:$A$600,0)),IF(E193="Secondary",INDEX(Applications!$J$5:$J$600,MATCH(B193,Applications!$A$5:$A$600,0)),INDEX(Applications!$K$5:$K$600,MATCH(B193,Applications!$A$5:$A$600,0))))=D193,"OK","Not assigned"),"Check ID"))</f>
        <v>OK</v>
      </c>
      <c r="O193" s="7" t="s">
        <v>1426</v>
      </c>
    </row>
    <row r="194" customFormat="false" ht="15" hidden="false" customHeight="false" outlineLevel="0" collapsed="false">
      <c r="A194" s="35" t="s">
        <v>1589</v>
      </c>
      <c r="B194" s="35" t="s">
        <v>833</v>
      </c>
      <c r="C194" s="37" t="str">
        <f aca="false">IF(B194="","",IFERROR(INDEX(Applications!$B$5:$B$600,MATCH(B194,Applications!$A$5:$A$600,0)),"Application ID not found"))</f>
        <v>Tulsa Youth Food Lab</v>
      </c>
      <c r="D194" s="35" t="s">
        <v>91</v>
      </c>
      <c r="E194" s="35" t="s">
        <v>80</v>
      </c>
      <c r="F194" s="36" t="n">
        <v>45939</v>
      </c>
      <c r="G194" s="35" t="n">
        <v>4</v>
      </c>
      <c r="H194" s="35" t="n">
        <v>4</v>
      </c>
      <c r="I194" s="35" t="n">
        <v>4</v>
      </c>
      <c r="J194" s="35" t="n">
        <v>4</v>
      </c>
      <c r="K194" s="35" t="n">
        <v>4</v>
      </c>
      <c r="L194" s="35" t="n">
        <v>4</v>
      </c>
      <c r="M194" s="50" t="n">
        <f aca="false">IF(COUNT(G194:L194)&lt;6,"",ROUND((G194*Rubric!$D$5+H194*Rubric!$D$6+I194*Rubric!$D$7+J194*Rubric!$D$8+K194*Rubric!$D$9+L194*Rubric!$D$10)/5*100,1))</f>
        <v>80</v>
      </c>
      <c r="N194" s="37" t="str">
        <f aca="false">IF(OR(B194="",D194=""),"",IFERROR(IF(IF(E194="Primary",INDEX(Applications!$I$5:$I$600,MATCH(B194,Applications!$A$5:$A$600,0)),IF(E194="Secondary",INDEX(Applications!$J$5:$J$600,MATCH(B194,Applications!$A$5:$A$600,0)),INDEX(Applications!$K$5:$K$600,MATCH(B194,Applications!$A$5:$A$600,0))))=D194,"OK","Not assigned"),"Check ID"))</f>
        <v>OK</v>
      </c>
      <c r="O194" s="7"/>
    </row>
    <row r="195" customFormat="false" ht="15" hidden="false" customHeight="false" outlineLevel="0" collapsed="false">
      <c r="A195" s="35" t="s">
        <v>1590</v>
      </c>
      <c r="B195" s="35" t="s">
        <v>577</v>
      </c>
      <c r="C195" s="37" t="str">
        <f aca="false">IF(B195="","",IFERROR(INDEX(Applications!$B$5:$B$600,MATCH(B195,Applications!$A$5:$A$600,0)),"Application ID not found"))</f>
        <v>Fairmount Schools Nutrition Fund</v>
      </c>
      <c r="D195" s="35" t="s">
        <v>91</v>
      </c>
      <c r="E195" s="35" t="s">
        <v>83</v>
      </c>
      <c r="F195" s="36" t="n">
        <v>45939</v>
      </c>
      <c r="G195" s="35" t="n">
        <v>4</v>
      </c>
      <c r="H195" s="35" t="n">
        <v>4</v>
      </c>
      <c r="I195" s="35" t="n">
        <v>4</v>
      </c>
      <c r="J195" s="35" t="n">
        <v>4</v>
      </c>
      <c r="K195" s="35" t="n">
        <v>4</v>
      </c>
      <c r="L195" s="35" t="n">
        <v>4</v>
      </c>
      <c r="M195" s="50" t="n">
        <f aca="false">IF(COUNT(G195:L195)&lt;6,"",ROUND((G195*Rubric!$D$5+H195*Rubric!$D$6+I195*Rubric!$D$7+J195*Rubric!$D$8+K195*Rubric!$D$9+L195*Rubric!$D$10)/5*100,1))</f>
        <v>80</v>
      </c>
      <c r="N195" s="37" t="str">
        <f aca="false">IF(OR(B195="",D195=""),"",IFERROR(IF(IF(E195="Primary",INDEX(Applications!$I$5:$I$600,MATCH(B195,Applications!$A$5:$A$600,0)),IF(E195="Secondary",INDEX(Applications!$J$5:$J$600,MATCH(B195,Applications!$A$5:$A$600,0)),INDEX(Applications!$K$5:$K$600,MATCH(B195,Applications!$A$5:$A$600,0))))=D195,"OK","Not assigned"),"Check ID"))</f>
        <v>OK</v>
      </c>
      <c r="O195" s="7" t="s">
        <v>1398</v>
      </c>
    </row>
    <row r="196" customFormat="false" ht="15" hidden="false" customHeight="false" outlineLevel="0" collapsed="false">
      <c r="A196" s="35" t="s">
        <v>1591</v>
      </c>
      <c r="B196" s="35" t="s">
        <v>1179</v>
      </c>
      <c r="C196" s="37" t="str">
        <f aca="false">IF(B196="","",IFERROR(INDEX(Applications!$B$5:$B$600,MATCH(B196,Applications!$A$5:$A$600,0)),"Application ID not found"))</f>
        <v>Cologne Family Center</v>
      </c>
      <c r="D196" s="35" t="s">
        <v>91</v>
      </c>
      <c r="E196" s="35" t="s">
        <v>80</v>
      </c>
      <c r="F196" s="36" t="n">
        <v>45939</v>
      </c>
      <c r="G196" s="35" t="n">
        <v>4</v>
      </c>
      <c r="H196" s="35" t="n">
        <v>4</v>
      </c>
      <c r="I196" s="35" t="n">
        <v>4</v>
      </c>
      <c r="J196" s="35" t="n">
        <v>4</v>
      </c>
      <c r="K196" s="35" t="n">
        <v>4</v>
      </c>
      <c r="L196" s="35" t="n">
        <v>4</v>
      </c>
      <c r="M196" s="50" t="n">
        <f aca="false">IF(COUNT(G196:L196)&lt;6,"",ROUND((G196*Rubric!$D$5+H196*Rubric!$D$6+I196*Rubric!$D$7+J196*Rubric!$D$8+K196*Rubric!$D$9+L196*Rubric!$D$10)/5*100,1))</f>
        <v>80</v>
      </c>
      <c r="N196" s="37" t="str">
        <f aca="false">IF(OR(B196="",D196=""),"",IFERROR(IF(IF(E196="Primary",INDEX(Applications!$I$5:$I$600,MATCH(B196,Applications!$A$5:$A$600,0)),IF(E196="Secondary",INDEX(Applications!$J$5:$J$600,MATCH(B196,Applications!$A$5:$A$600,0)),INDEX(Applications!$K$5:$K$600,MATCH(B196,Applications!$A$5:$A$600,0))))=D196,"OK","Not assigned"),"Check ID"))</f>
        <v>OK</v>
      </c>
      <c r="O196" s="7" t="s">
        <v>1592</v>
      </c>
    </row>
    <row r="197" customFormat="false" ht="15" hidden="false" customHeight="false" outlineLevel="0" collapsed="false">
      <c r="A197" s="35" t="s">
        <v>1593</v>
      </c>
      <c r="B197" s="35" t="s">
        <v>1179</v>
      </c>
      <c r="C197" s="37" t="str">
        <f aca="false">IF(B197="","",IFERROR(INDEX(Applications!$B$5:$B$600,MATCH(B197,Applications!$A$5:$A$600,0)),"Application ID not found"))</f>
        <v>Cologne Family Center</v>
      </c>
      <c r="D197" s="35" t="s">
        <v>94</v>
      </c>
      <c r="E197" s="35" t="s">
        <v>83</v>
      </c>
      <c r="F197" s="36" t="n">
        <v>45939</v>
      </c>
      <c r="G197" s="35" t="n">
        <v>3</v>
      </c>
      <c r="H197" s="35" t="n">
        <v>3</v>
      </c>
      <c r="I197" s="35" t="n">
        <v>3</v>
      </c>
      <c r="J197" s="35" t="n">
        <v>3</v>
      </c>
      <c r="K197" s="35" t="n">
        <v>3</v>
      </c>
      <c r="L197" s="35" t="n">
        <v>3</v>
      </c>
      <c r="M197" s="50" t="n">
        <f aca="false">IF(COUNT(G197:L197)&lt;6,"",ROUND((G197*Rubric!$D$5+H197*Rubric!$D$6+I197*Rubric!$D$7+J197*Rubric!$D$8+K197*Rubric!$D$9+L197*Rubric!$D$10)/5*100,1))</f>
        <v>60</v>
      </c>
      <c r="N197" s="37" t="str">
        <f aca="false">IF(OR(B197="",D197=""),"",IFERROR(IF(IF(E197="Primary",INDEX(Applications!$I$5:$I$600,MATCH(B197,Applications!$A$5:$A$600,0)),IF(E197="Secondary",INDEX(Applications!$J$5:$J$600,MATCH(B197,Applications!$A$5:$A$600,0)),INDEX(Applications!$K$5:$K$600,MATCH(B197,Applications!$A$5:$A$600,0))))=D197,"OK","Not assigned"),"Check ID"))</f>
        <v>OK</v>
      </c>
      <c r="O197" s="7"/>
    </row>
    <row r="198" customFormat="false" ht="15" hidden="false" customHeight="false" outlineLevel="0" collapsed="false">
      <c r="A198" s="35" t="s">
        <v>1594</v>
      </c>
      <c r="B198" s="35" t="s">
        <v>629</v>
      </c>
      <c r="C198" s="37" t="str">
        <f aca="false">IF(B198="","",IFERROR(INDEX(Applications!$B$5:$B$600,MATCH(B198,Applications!$A$5:$A$600,0)),"Application ID not found"))</f>
        <v>Hamilton Market Gardens</v>
      </c>
      <c r="D198" s="35" t="s">
        <v>94</v>
      </c>
      <c r="E198" s="35" t="s">
        <v>80</v>
      </c>
      <c r="F198" s="36" t="n">
        <v>45939</v>
      </c>
      <c r="G198" s="35" t="n">
        <v>3</v>
      </c>
      <c r="H198" s="35" t="n">
        <v>4</v>
      </c>
      <c r="I198" s="35" t="n">
        <v>4</v>
      </c>
      <c r="J198" s="35" t="n">
        <v>4</v>
      </c>
      <c r="K198" s="35" t="n">
        <v>4</v>
      </c>
      <c r="L198" s="35" t="n">
        <v>4</v>
      </c>
      <c r="M198" s="50" t="n">
        <f aca="false">IF(COUNT(G198:L198)&lt;6,"",ROUND((G198*Rubric!$D$5+H198*Rubric!$D$6+I198*Rubric!$D$7+J198*Rubric!$D$8+K198*Rubric!$D$9+L198*Rubric!$D$10)/5*100,1))</f>
        <v>75</v>
      </c>
      <c r="N198" s="37" t="str">
        <f aca="false">IF(OR(B198="",D198=""),"",IFERROR(IF(IF(E198="Primary",INDEX(Applications!$I$5:$I$600,MATCH(B198,Applications!$A$5:$A$600,0)),IF(E198="Secondary",INDEX(Applications!$J$5:$J$600,MATCH(B198,Applications!$A$5:$A$600,0)),INDEX(Applications!$K$5:$K$600,MATCH(B198,Applications!$A$5:$A$600,0))))=D198,"OK","Not assigned"),"Check ID"))</f>
        <v>OK</v>
      </c>
      <c r="O198" s="7"/>
    </row>
    <row r="199" customFormat="false" ht="15" hidden="false" customHeight="false" outlineLevel="0" collapsed="false">
      <c r="A199" s="35" t="s">
        <v>1595</v>
      </c>
      <c r="B199" s="35" t="s">
        <v>1081</v>
      </c>
      <c r="C199" s="37" t="str">
        <f aca="false">IF(B199="","",IFERROR(INDEX(Applications!$B$5:$B$600,MATCH(B199,Applications!$A$5:$A$600,0)),"Application ID not found"))</f>
        <v>Utrecht Schools Nutrition Fund</v>
      </c>
      <c r="D199" s="35" t="s">
        <v>94</v>
      </c>
      <c r="E199" s="35" t="s">
        <v>83</v>
      </c>
      <c r="F199" s="36" t="n">
        <v>45939</v>
      </c>
      <c r="G199" s="35" t="n">
        <v>4</v>
      </c>
      <c r="H199" s="35" t="n">
        <v>3</v>
      </c>
      <c r="I199" s="35" t="n">
        <v>4</v>
      </c>
      <c r="J199" s="35" t="n">
        <v>4</v>
      </c>
      <c r="K199" s="35" t="n">
        <v>3</v>
      </c>
      <c r="L199" s="35" t="n">
        <v>3</v>
      </c>
      <c r="M199" s="50" t="n">
        <f aca="false">IF(COUNT(G199:L199)&lt;6,"",ROUND((G199*Rubric!$D$5+H199*Rubric!$D$6+I199*Rubric!$D$7+J199*Rubric!$D$8+K199*Rubric!$D$9+L199*Rubric!$D$10)/5*100,1))</f>
        <v>72</v>
      </c>
      <c r="N199" s="37" t="str">
        <f aca="false">IF(OR(B199="",D199=""),"",IFERROR(IF(IF(E199="Primary",INDEX(Applications!$I$5:$I$600,MATCH(B199,Applications!$A$5:$A$600,0)),IF(E199="Secondary",INDEX(Applications!$J$5:$J$600,MATCH(B199,Applications!$A$5:$A$600,0)),INDEX(Applications!$K$5:$K$600,MATCH(B199,Applications!$A$5:$A$600,0))))=D199,"OK","Not assigned"),"Check ID"))</f>
        <v>OK</v>
      </c>
      <c r="O199" s="7"/>
    </row>
    <row r="200" customFormat="false" ht="15" hidden="false" customHeight="false" outlineLevel="0" collapsed="false">
      <c r="A200" s="35" t="s">
        <v>1596</v>
      </c>
      <c r="B200" s="35" t="s">
        <v>807</v>
      </c>
      <c r="C200" s="37" t="str">
        <f aca="false">IF(B200="","",IFERROR(INDEX(Applications!$B$5:$B$600,MATCH(B200,Applications!$A$5:$A$600,0)),"Application ID not found"))</f>
        <v>Leipzig Cafe Training Program</v>
      </c>
      <c r="D200" s="35" t="s">
        <v>94</v>
      </c>
      <c r="E200" s="35" t="s">
        <v>80</v>
      </c>
      <c r="F200" s="36" t="n">
        <v>45939</v>
      </c>
      <c r="G200" s="35" t="n">
        <v>5</v>
      </c>
      <c r="H200" s="35" t="n">
        <v>4</v>
      </c>
      <c r="I200" s="35" t="n">
        <v>5</v>
      </c>
      <c r="J200" s="35" t="n">
        <v>5</v>
      </c>
      <c r="K200" s="35" t="n">
        <v>5</v>
      </c>
      <c r="L200" s="35" t="n">
        <v>4</v>
      </c>
      <c r="M200" s="50" t="n">
        <f aca="false">IF(COUNT(G200:L200)&lt;6,"",ROUND((G200*Rubric!$D$5+H200*Rubric!$D$6+I200*Rubric!$D$7+J200*Rubric!$D$8+K200*Rubric!$D$9+L200*Rubric!$D$10)/5*100,1))</f>
        <v>94</v>
      </c>
      <c r="N200" s="37" t="str">
        <f aca="false">IF(OR(B200="",D200=""),"",IFERROR(IF(IF(E200="Primary",INDEX(Applications!$I$5:$I$600,MATCH(B200,Applications!$A$5:$A$600,0)),IF(E200="Secondary",INDEX(Applications!$J$5:$J$600,MATCH(B200,Applications!$A$5:$A$600,0)),INDEX(Applications!$K$5:$K$600,MATCH(B200,Applications!$A$5:$A$600,0))))=D200,"OK","Not assigned"),"Check ID"))</f>
        <v>OK</v>
      </c>
      <c r="O200" s="7" t="s">
        <v>1402</v>
      </c>
    </row>
    <row r="201" customFormat="false" ht="15" hidden="false" customHeight="false" outlineLevel="0" collapsed="false">
      <c r="A201" s="35" t="s">
        <v>1597</v>
      </c>
      <c r="B201" s="35" t="s">
        <v>372</v>
      </c>
      <c r="C201" s="37" t="str">
        <f aca="false">IF(B201="","",IFERROR(INDEX(Applications!$B$5:$B$600,MATCH(B201,Applications!$A$5:$A$600,0)),"Application ID not found"))</f>
        <v>Cedar Bakery Collective</v>
      </c>
      <c r="D201" s="35" t="s">
        <v>94</v>
      </c>
      <c r="E201" s="35" t="s">
        <v>83</v>
      </c>
      <c r="F201" s="36" t="n">
        <v>45939</v>
      </c>
      <c r="G201" s="35" t="n">
        <v>3</v>
      </c>
      <c r="H201" s="35" t="n">
        <v>2</v>
      </c>
      <c r="I201" s="35" t="n">
        <v>2</v>
      </c>
      <c r="J201" s="35" t="n">
        <v>2</v>
      </c>
      <c r="K201" s="35" t="n">
        <v>2</v>
      </c>
      <c r="L201" s="35" t="n">
        <v>3</v>
      </c>
      <c r="M201" s="50" t="n">
        <f aca="false">IF(COUNT(G201:L201)&lt;6,"",ROUND((G201*Rubric!$D$5+H201*Rubric!$D$6+I201*Rubric!$D$7+J201*Rubric!$D$8+K201*Rubric!$D$9+L201*Rubric!$D$10)/5*100,1))</f>
        <v>47</v>
      </c>
      <c r="N201" s="37" t="str">
        <f aca="false">IF(OR(B201="",D201=""),"",IFERROR(IF(IF(E201="Primary",INDEX(Applications!$I$5:$I$600,MATCH(B201,Applications!$A$5:$A$600,0)),IF(E201="Secondary",INDEX(Applications!$J$5:$J$600,MATCH(B201,Applications!$A$5:$A$600,0)),INDEX(Applications!$K$5:$K$600,MATCH(B201,Applications!$A$5:$A$600,0))))=D201,"OK","Not assigned"),"Check ID"))</f>
        <v>OK</v>
      </c>
      <c r="O201" s="7" t="s">
        <v>1428</v>
      </c>
    </row>
    <row r="202" customFormat="false" ht="15" hidden="false" customHeight="false" outlineLevel="0" collapsed="false">
      <c r="A202" s="35" t="s">
        <v>1598</v>
      </c>
      <c r="B202" s="35" t="s">
        <v>204</v>
      </c>
      <c r="C202" s="37" t="str">
        <f aca="false">IF(B202="","",IFERROR(INDEX(Applications!$B$5:$B$600,MATCH(B202,Applications!$A$5:$A$600,0)),"Application ID not found"))</f>
        <v>Mill Creek Youth Food Lab</v>
      </c>
      <c r="D202" s="35" t="s">
        <v>94</v>
      </c>
      <c r="E202" s="35" t="s">
        <v>83</v>
      </c>
      <c r="F202" s="36" t="n">
        <v>45939</v>
      </c>
      <c r="G202" s="35" t="n">
        <v>4</v>
      </c>
      <c r="H202" s="35" t="n">
        <v>4</v>
      </c>
      <c r="I202" s="35" t="n">
        <v>3</v>
      </c>
      <c r="J202" s="35" t="n">
        <v>4</v>
      </c>
      <c r="K202" s="35" t="n">
        <v>4</v>
      </c>
      <c r="L202" s="35" t="n">
        <v>5</v>
      </c>
      <c r="M202" s="50" t="n">
        <f aca="false">IF(COUNT(G202:L202)&lt;6,"",ROUND((G202*Rubric!$D$5+H202*Rubric!$D$6+I202*Rubric!$D$7+J202*Rubric!$D$8+K202*Rubric!$D$9+L202*Rubric!$D$10)/5*100,1))</f>
        <v>78</v>
      </c>
      <c r="N202" s="37" t="str">
        <f aca="false">IF(OR(B202="",D202=""),"",IFERROR(IF(IF(E202="Primary",INDEX(Applications!$I$5:$I$600,MATCH(B202,Applications!$A$5:$A$600,0)),IF(E202="Secondary",INDEX(Applications!$J$5:$J$600,MATCH(B202,Applications!$A$5:$A$600,0)),INDEX(Applications!$K$5:$K$600,MATCH(B202,Applications!$A$5:$A$600,0))))=D202,"OK","Not assigned"),"Check ID"))</f>
        <v>OK</v>
      </c>
      <c r="O202" s="7"/>
    </row>
    <row r="203" customFormat="false" ht="15" hidden="false" customHeight="false" outlineLevel="0" collapsed="false">
      <c r="A203" s="35" t="s">
        <v>1599</v>
      </c>
      <c r="B203" s="35" t="s">
        <v>1303</v>
      </c>
      <c r="C203" s="37" t="str">
        <f aca="false">IF(B203="","",IFERROR(INDEX(Applications!$B$5:$B$600,MATCH(B203,Applications!$A$5:$A$600,0)),"Application ID not found"))</f>
        <v>Cedar Farm Collective</v>
      </c>
      <c r="D203" s="35" t="s">
        <v>85</v>
      </c>
      <c r="E203" s="35" t="s">
        <v>83</v>
      </c>
      <c r="F203" s="36" t="n">
        <v>45939</v>
      </c>
      <c r="G203" s="35" t="n">
        <v>3</v>
      </c>
      <c r="H203" s="35" t="n">
        <v>3</v>
      </c>
      <c r="I203" s="35" t="n">
        <v>3</v>
      </c>
      <c r="J203" s="35" t="n">
        <v>3</v>
      </c>
      <c r="K203" s="35" t="n">
        <v>3</v>
      </c>
      <c r="L203" s="35" t="n">
        <v>3</v>
      </c>
      <c r="M203" s="50" t="n">
        <f aca="false">IF(COUNT(G203:L203)&lt;6,"",ROUND((G203*Rubric!$D$5+H203*Rubric!$D$6+I203*Rubric!$D$7+J203*Rubric!$D$8+K203*Rubric!$D$9+L203*Rubric!$D$10)/5*100,1))</f>
        <v>60</v>
      </c>
      <c r="N203" s="37" t="str">
        <f aca="false">IF(OR(B203="",D203=""),"",IFERROR(IF(IF(E203="Primary",INDEX(Applications!$I$5:$I$600,MATCH(B203,Applications!$A$5:$A$600,0)),IF(E203="Secondary",INDEX(Applications!$J$5:$J$600,MATCH(B203,Applications!$A$5:$A$600,0)),INDEX(Applications!$K$5:$K$600,MATCH(B203,Applications!$A$5:$A$600,0))))=D203,"OK","Not assigned"),"Check ID"))</f>
        <v>OK</v>
      </c>
      <c r="O203" s="7"/>
    </row>
    <row r="204" customFormat="false" ht="15" hidden="false" customHeight="false" outlineLevel="0" collapsed="false">
      <c r="A204" s="35" t="s">
        <v>1600</v>
      </c>
      <c r="B204" s="35" t="s">
        <v>1057</v>
      </c>
      <c r="C204" s="37" t="str">
        <f aca="false">IF(B204="","",IFERROR(INDEX(Applications!$B$5:$B$600,MATCH(B204,Applications!$A$5:$A$600,0)),"Application ID not found"))</f>
        <v>High Plains Schools Nutrition Fund</v>
      </c>
      <c r="D204" s="35" t="s">
        <v>85</v>
      </c>
      <c r="E204" s="35" t="s">
        <v>83</v>
      </c>
      <c r="F204" s="36" t="n">
        <v>45939</v>
      </c>
      <c r="G204" s="35" t="n">
        <v>3</v>
      </c>
      <c r="H204" s="35" t="n">
        <v>3</v>
      </c>
      <c r="I204" s="35" t="n">
        <v>3</v>
      </c>
      <c r="J204" s="35" t="n">
        <v>4</v>
      </c>
      <c r="K204" s="35" t="n">
        <v>4</v>
      </c>
      <c r="L204" s="35" t="n">
        <v>4</v>
      </c>
      <c r="M204" s="50" t="n">
        <f aca="false">IF(COUNT(G204:L204)&lt;6,"",ROUND((G204*Rubric!$D$5+H204*Rubric!$D$6+I204*Rubric!$D$7+J204*Rubric!$D$8+K204*Rubric!$D$9+L204*Rubric!$D$10)/5*100,1))</f>
        <v>67</v>
      </c>
      <c r="N204" s="37" t="str">
        <f aca="false">IF(OR(B204="",D204=""),"",IFERROR(IF(IF(E204="Primary",INDEX(Applications!$I$5:$I$600,MATCH(B204,Applications!$A$5:$A$600,0)),IF(E204="Secondary",INDEX(Applications!$J$5:$J$600,MATCH(B204,Applications!$A$5:$A$600,0)),INDEX(Applications!$K$5:$K$600,MATCH(B204,Applications!$A$5:$A$600,0))))=D204,"OK","Not assigned"),"Check ID"))</f>
        <v>OK</v>
      </c>
      <c r="O204" s="7"/>
    </row>
    <row r="205" customFormat="false" ht="15" hidden="false" customHeight="false" outlineLevel="0" collapsed="false">
      <c r="A205" s="35" t="s">
        <v>1601</v>
      </c>
      <c r="B205" s="35" t="s">
        <v>1365</v>
      </c>
      <c r="C205" s="37" t="str">
        <f aca="false">IF(B205="","",IFERROR(INDEX(Applications!$B$5:$B$600,MATCH(B205,Applications!$A$5:$A$600,0)),"Application ID not found"))</f>
        <v>Maple Street Food Bank</v>
      </c>
      <c r="D205" s="35" t="s">
        <v>85</v>
      </c>
      <c r="E205" s="35" t="s">
        <v>80</v>
      </c>
      <c r="F205" s="36" t="n">
        <v>45939</v>
      </c>
      <c r="G205" s="35" t="n">
        <v>4</v>
      </c>
      <c r="H205" s="35" t="n">
        <v>4</v>
      </c>
      <c r="I205" s="35" t="n">
        <v>3</v>
      </c>
      <c r="J205" s="35" t="n">
        <v>4</v>
      </c>
      <c r="K205" s="35" t="n">
        <v>3</v>
      </c>
      <c r="L205" s="35" t="n">
        <v>3</v>
      </c>
      <c r="M205" s="50" t="n">
        <f aca="false">IF(COUNT(G205:L205)&lt;6,"",ROUND((G205*Rubric!$D$5+H205*Rubric!$D$6+I205*Rubric!$D$7+J205*Rubric!$D$8+K205*Rubric!$D$9+L205*Rubric!$D$10)/5*100,1))</f>
        <v>72</v>
      </c>
      <c r="N205" s="37" t="str">
        <f aca="false">IF(OR(B205="",D205=""),"",IFERROR(IF(IF(E205="Primary",INDEX(Applications!$I$5:$I$600,MATCH(B205,Applications!$A$5:$A$600,0)),IF(E205="Secondary",INDEX(Applications!$J$5:$J$600,MATCH(B205,Applications!$A$5:$A$600,0)),INDEX(Applications!$K$5:$K$600,MATCH(B205,Applications!$A$5:$A$600,0))))=D205,"OK","Not assigned"),"Check ID"))</f>
        <v>OK</v>
      </c>
      <c r="O205" s="7"/>
    </row>
    <row r="206" customFormat="false" ht="15" hidden="false" customHeight="false" outlineLevel="0" collapsed="false">
      <c r="A206" s="35" t="s">
        <v>1602</v>
      </c>
      <c r="B206" s="35" t="s">
        <v>1149</v>
      </c>
      <c r="C206" s="37" t="str">
        <f aca="false">IF(B206="","",IFERROR(INDEX(Applications!$B$5:$B$600,MATCH(B206,Applications!$A$5:$A$600,0)),"Application ID not found"))</f>
        <v>Hamburg Culinary Works</v>
      </c>
      <c r="D206" s="35" t="s">
        <v>85</v>
      </c>
      <c r="E206" s="35" t="s">
        <v>80</v>
      </c>
      <c r="F206" s="36" t="n">
        <v>45939</v>
      </c>
      <c r="G206" s="35" t="n">
        <v>5</v>
      </c>
      <c r="H206" s="35" t="n">
        <v>5</v>
      </c>
      <c r="I206" s="35" t="n">
        <v>4</v>
      </c>
      <c r="J206" s="35" t="n">
        <v>5</v>
      </c>
      <c r="K206" s="35" t="n">
        <v>5</v>
      </c>
      <c r="L206" s="35" t="n">
        <v>4</v>
      </c>
      <c r="M206" s="50" t="n">
        <f aca="false">IF(COUNT(G206:L206)&lt;6,"",ROUND((G206*Rubric!$D$5+H206*Rubric!$D$6+I206*Rubric!$D$7+J206*Rubric!$D$8+K206*Rubric!$D$9+L206*Rubric!$D$10)/5*100,1))</f>
        <v>94</v>
      </c>
      <c r="N206" s="37" t="str">
        <f aca="false">IF(OR(B206="",D206=""),"",IFERROR(IF(IF(E206="Primary",INDEX(Applications!$I$5:$I$600,MATCH(B206,Applications!$A$5:$A$600,0)),IF(E206="Secondary",INDEX(Applications!$J$5:$J$600,MATCH(B206,Applications!$A$5:$A$600,0)),INDEX(Applications!$K$5:$K$600,MATCH(B206,Applications!$A$5:$A$600,0))))=D206,"OK","Not assigned"),"Check ID"))</f>
        <v>OK</v>
      </c>
      <c r="O206" s="7"/>
    </row>
    <row r="207" customFormat="false" ht="15" hidden="false" customHeight="false" outlineLevel="0" collapsed="false">
      <c r="A207" s="35" t="s">
        <v>1603</v>
      </c>
      <c r="B207" s="35" t="s">
        <v>853</v>
      </c>
      <c r="C207" s="37" t="str">
        <f aca="false">IF(B207="","",IFERROR(INDEX(Applications!$B$5:$B$600,MATCH(B207,Applications!$A$5:$A$600,0)),"Application ID not found"))</f>
        <v>Sunrise Farm Collective</v>
      </c>
      <c r="D207" s="35" t="s">
        <v>85</v>
      </c>
      <c r="E207" s="35" t="s">
        <v>80</v>
      </c>
      <c r="F207" s="36" t="n">
        <v>45939</v>
      </c>
      <c r="G207" s="35" t="n">
        <v>2</v>
      </c>
      <c r="H207" s="35" t="n">
        <v>3</v>
      </c>
      <c r="I207" s="35" t="n">
        <v>4</v>
      </c>
      <c r="J207" s="35" t="n">
        <v>3</v>
      </c>
      <c r="K207" s="35" t="n">
        <v>3</v>
      </c>
      <c r="L207" s="35" t="n">
        <v>3</v>
      </c>
      <c r="M207" s="50" t="n">
        <f aca="false">IF(COUNT(G207:L207)&lt;6,"",ROUND((G207*Rubric!$D$5+H207*Rubric!$D$6+I207*Rubric!$D$7+J207*Rubric!$D$8+K207*Rubric!$D$9+L207*Rubric!$D$10)/5*100,1))</f>
        <v>59</v>
      </c>
      <c r="N207" s="37" t="str">
        <f aca="false">IF(OR(B207="",D207=""),"",IFERROR(IF(IF(E207="Primary",INDEX(Applications!$I$5:$I$600,MATCH(B207,Applications!$A$5:$A$600,0)),IF(E207="Secondary",INDEX(Applications!$J$5:$J$600,MATCH(B207,Applications!$A$5:$A$600,0)),INDEX(Applications!$K$5:$K$600,MATCH(B207,Applications!$A$5:$A$600,0))))=D207,"OK","Not assigned"),"Check ID"))</f>
        <v>OK</v>
      </c>
      <c r="O207" s="7"/>
    </row>
    <row r="208" customFormat="false" ht="15" hidden="false" customHeight="false" outlineLevel="0" collapsed="false">
      <c r="A208" s="35" t="s">
        <v>1604</v>
      </c>
      <c r="B208" s="35" t="s">
        <v>1035</v>
      </c>
      <c r="C208" s="37" t="str">
        <f aca="false">IF(B208="","",IFERROR(INDEX(Applications!$B$5:$B$600,MATCH(B208,Applications!$A$5:$A$600,0)),"Application ID not found"))</f>
        <v>Sheffield Youth Food Lab</v>
      </c>
      <c r="D208" s="35" t="s">
        <v>85</v>
      </c>
      <c r="E208" s="35" t="s">
        <v>80</v>
      </c>
      <c r="F208" s="36" t="n">
        <v>45939</v>
      </c>
      <c r="G208" s="35" t="n">
        <v>3</v>
      </c>
      <c r="H208" s="35" t="n">
        <v>3</v>
      </c>
      <c r="I208" s="35" t="n">
        <v>3</v>
      </c>
      <c r="J208" s="35" t="n">
        <v>3</v>
      </c>
      <c r="K208" s="35" t="n">
        <v>3</v>
      </c>
      <c r="L208" s="35" t="n">
        <v>3</v>
      </c>
      <c r="M208" s="50" t="n">
        <f aca="false">IF(COUNT(G208:L208)&lt;6,"",ROUND((G208*Rubric!$D$5+H208*Rubric!$D$6+I208*Rubric!$D$7+J208*Rubric!$D$8+K208*Rubric!$D$9+L208*Rubric!$D$10)/5*100,1))</f>
        <v>60</v>
      </c>
      <c r="N208" s="37" t="str">
        <f aca="false">IF(OR(B208="",D208=""),"",IFERROR(IF(IF(E208="Primary",INDEX(Applications!$I$5:$I$600,MATCH(B208,Applications!$A$5:$A$600,0)),IF(E208="Secondary",INDEX(Applications!$J$5:$J$600,MATCH(B208,Applications!$A$5:$A$600,0)),INDEX(Applications!$K$5:$K$600,MATCH(B208,Applications!$A$5:$A$600,0))))=D208,"OK","Not assigned"),"Check ID"))</f>
        <v>OK</v>
      </c>
      <c r="O208" s="7" t="s">
        <v>1426</v>
      </c>
    </row>
    <row r="209" customFormat="false" ht="15" hidden="false" customHeight="false" outlineLevel="0" collapsed="false">
      <c r="A209" s="35" t="s">
        <v>1605</v>
      </c>
      <c r="B209" s="35" t="s">
        <v>265</v>
      </c>
      <c r="C209" s="37" t="str">
        <f aca="false">IF(B209="","",IFERROR(INDEX(Applications!$B$5:$B$600,MATCH(B209,Applications!$A$5:$A$600,0)),"Application ID not found"))</f>
        <v>Southfield Culinary Works</v>
      </c>
      <c r="D209" s="35" t="s">
        <v>85</v>
      </c>
      <c r="E209" s="35" t="s">
        <v>83</v>
      </c>
      <c r="F209" s="36" t="n">
        <v>45939</v>
      </c>
      <c r="G209" s="35" t="n">
        <v>1</v>
      </c>
      <c r="H209" s="35" t="n">
        <v>2</v>
      </c>
      <c r="I209" s="35" t="n">
        <v>1</v>
      </c>
      <c r="J209" s="35" t="n">
        <v>2</v>
      </c>
      <c r="K209" s="35" t="n">
        <v>1</v>
      </c>
      <c r="L209" s="35" t="n">
        <v>1</v>
      </c>
      <c r="M209" s="50" t="n">
        <f aca="false">IF(COUNT(G209:L209)&lt;6,"",ROUND((G209*Rubric!$D$5+H209*Rubric!$D$6+I209*Rubric!$D$7+J209*Rubric!$D$8+K209*Rubric!$D$9+L209*Rubric!$D$10)/5*100,1))</f>
        <v>27</v>
      </c>
      <c r="N209" s="37" t="str">
        <f aca="false">IF(OR(B209="",D209=""),"",IFERROR(IF(IF(E209="Primary",INDEX(Applications!$I$5:$I$600,MATCH(B209,Applications!$A$5:$A$600,0)),IF(E209="Secondary",INDEX(Applications!$J$5:$J$600,MATCH(B209,Applications!$A$5:$A$600,0)),INDEX(Applications!$K$5:$K$600,MATCH(B209,Applications!$A$5:$A$600,0))))=D209,"OK","Not assigned"),"Check ID"))</f>
        <v>OK</v>
      </c>
      <c r="O209" s="7"/>
    </row>
    <row r="210" customFormat="false" ht="15" hidden="false" customHeight="false" outlineLevel="0" collapsed="false">
      <c r="A210" s="35" t="s">
        <v>1606</v>
      </c>
      <c r="B210" s="35" t="s">
        <v>294</v>
      </c>
      <c r="C210" s="37" t="str">
        <f aca="false">IF(B210="","",IFERROR(INDEX(Applications!$B$5:$B$600,MATCH(B210,Applications!$A$5:$A$600,0)),"Application ID not found"))</f>
        <v>Winnipeg Mobile Market</v>
      </c>
      <c r="D210" s="35" t="s">
        <v>85</v>
      </c>
      <c r="E210" s="35" t="s">
        <v>80</v>
      </c>
      <c r="F210" s="36" t="n">
        <v>45939</v>
      </c>
      <c r="G210" s="35" t="n">
        <v>3</v>
      </c>
      <c r="H210" s="35" t="n">
        <v>4</v>
      </c>
      <c r="I210" s="35" t="n">
        <v>3</v>
      </c>
      <c r="J210" s="35" t="n">
        <v>3</v>
      </c>
      <c r="K210" s="35" t="n">
        <v>3</v>
      </c>
      <c r="L210" s="35" t="n">
        <v>4</v>
      </c>
      <c r="M210" s="50" t="n">
        <f aca="false">IF(COUNT(G210:L210)&lt;6,"",ROUND((G210*Rubric!$D$5+H210*Rubric!$D$6+I210*Rubric!$D$7+J210*Rubric!$D$8+K210*Rubric!$D$9+L210*Rubric!$D$10)/5*100,1))</f>
        <v>66</v>
      </c>
      <c r="N210" s="37" t="str">
        <f aca="false">IF(OR(B210="",D210=""),"",IFERROR(IF(IF(E210="Primary",INDEX(Applications!$I$5:$I$600,MATCH(B210,Applications!$A$5:$A$600,0)),IF(E210="Secondary",INDEX(Applications!$J$5:$J$600,MATCH(B210,Applications!$A$5:$A$600,0)),INDEX(Applications!$K$5:$K$600,MATCH(B210,Applications!$A$5:$A$600,0))))=D210,"OK","Not assigned"),"Check ID"))</f>
        <v>OK</v>
      </c>
      <c r="O210" s="7"/>
    </row>
    <row r="211" customFormat="false" ht="15" hidden="false" customHeight="false" outlineLevel="0" collapsed="false">
      <c r="A211" s="35" t="s">
        <v>1607</v>
      </c>
      <c r="B211" s="35" t="s">
        <v>1181</v>
      </c>
      <c r="C211" s="37" t="str">
        <f aca="false">IF(B211="","",IFERROR(INDEX(Applications!$B$5:$B$600,MATCH(B211,Applications!$A$5:$A$600,0)),"Application ID not found"))</f>
        <v>Utrecht Mobile Market</v>
      </c>
      <c r="D211" s="35" t="s">
        <v>85</v>
      </c>
      <c r="E211" s="35" t="s">
        <v>80</v>
      </c>
      <c r="F211" s="36" t="n">
        <v>45939</v>
      </c>
      <c r="G211" s="35" t="n">
        <v>2</v>
      </c>
      <c r="H211" s="35" t="n">
        <v>3</v>
      </c>
      <c r="I211" s="35" t="n">
        <v>3</v>
      </c>
      <c r="J211" s="35" t="n">
        <v>3</v>
      </c>
      <c r="K211" s="35" t="n">
        <v>3</v>
      </c>
      <c r="L211" s="35" t="n">
        <v>2</v>
      </c>
      <c r="M211" s="50" t="n">
        <f aca="false">IF(COUNT(G211:L211)&lt;6,"",ROUND((G211*Rubric!$D$5+H211*Rubric!$D$6+I211*Rubric!$D$7+J211*Rubric!$D$8+K211*Rubric!$D$9+L211*Rubric!$D$10)/5*100,1))</f>
        <v>53</v>
      </c>
      <c r="N211" s="37" t="str">
        <f aca="false">IF(OR(B211="",D211=""),"",IFERROR(IF(IF(E211="Primary",INDEX(Applications!$I$5:$I$600,MATCH(B211,Applications!$A$5:$A$600,0)),IF(E211="Secondary",INDEX(Applications!$J$5:$J$600,MATCH(B211,Applications!$A$5:$A$600,0)),INDEX(Applications!$K$5:$K$600,MATCH(B211,Applications!$A$5:$A$600,0))))=D211,"OK","Not assigned"),"Check ID"))</f>
        <v>OK</v>
      </c>
      <c r="O211" s="7"/>
    </row>
    <row r="212" customFormat="false" ht="15" hidden="false" customHeight="false" outlineLevel="0" collapsed="false">
      <c r="A212" s="35" t="s">
        <v>1608</v>
      </c>
      <c r="B212" s="35" t="s">
        <v>392</v>
      </c>
      <c r="C212" s="37" t="str">
        <f aca="false">IF(B212="","",IFERROR(INDEX(Applications!$B$5:$B$600,MATCH(B212,Applications!$A$5:$A$600,0)),"Application ID not found"))</f>
        <v>Halifax Seed Library</v>
      </c>
      <c r="D212" s="35" t="s">
        <v>85</v>
      </c>
      <c r="E212" s="35" t="s">
        <v>83</v>
      </c>
      <c r="F212" s="36" t="n">
        <v>45939</v>
      </c>
      <c r="G212" s="35" t="n">
        <v>3</v>
      </c>
      <c r="H212" s="35" t="n">
        <v>3</v>
      </c>
      <c r="I212" s="35" t="n">
        <v>3</v>
      </c>
      <c r="J212" s="35" t="n">
        <v>4</v>
      </c>
      <c r="K212" s="35" t="n">
        <v>3</v>
      </c>
      <c r="L212" s="35" t="n">
        <v>4</v>
      </c>
      <c r="M212" s="50" t="n">
        <f aca="false">IF(COUNT(G212:L212)&lt;6,"",ROUND((G212*Rubric!$D$5+H212*Rubric!$D$6+I212*Rubric!$D$7+J212*Rubric!$D$8+K212*Rubric!$D$9+L212*Rubric!$D$10)/5*100,1))</f>
        <v>65</v>
      </c>
      <c r="N212" s="37" t="str">
        <f aca="false">IF(OR(B212="",D212=""),"",IFERROR(IF(IF(E212="Primary",INDEX(Applications!$I$5:$I$600,MATCH(B212,Applications!$A$5:$A$600,0)),IF(E212="Secondary",INDEX(Applications!$J$5:$J$600,MATCH(B212,Applications!$A$5:$A$600,0)),INDEX(Applications!$K$5:$K$600,MATCH(B212,Applications!$A$5:$A$600,0))))=D212,"OK","Not assigned"),"Check ID"))</f>
        <v>OK</v>
      </c>
      <c r="O212" s="7"/>
    </row>
    <row r="213" customFormat="false" ht="15" hidden="false" customHeight="false" outlineLevel="0" collapsed="false">
      <c r="A213" s="35" t="s">
        <v>1609</v>
      </c>
      <c r="B213" s="35" t="s">
        <v>422</v>
      </c>
      <c r="C213" s="37" t="str">
        <f aca="false">IF(B213="","",IFERROR(INDEX(Applications!$B$5:$B$600,MATCH(B213,Applications!$A$5:$A$600,0)),"Application ID not found"))</f>
        <v>Good Neighbor Pantry Network</v>
      </c>
      <c r="D213" s="35" t="s">
        <v>85</v>
      </c>
      <c r="E213" s="35" t="s">
        <v>80</v>
      </c>
      <c r="F213" s="36" t="n">
        <v>45939</v>
      </c>
      <c r="G213" s="35" t="n">
        <v>3</v>
      </c>
      <c r="H213" s="35" t="n">
        <v>3</v>
      </c>
      <c r="I213" s="35" t="n">
        <v>3</v>
      </c>
      <c r="J213" s="35" t="n">
        <v>4</v>
      </c>
      <c r="K213" s="35" t="n">
        <v>4</v>
      </c>
      <c r="L213" s="35" t="n">
        <v>4</v>
      </c>
      <c r="M213" s="50" t="n">
        <f aca="false">IF(COUNT(G213:L213)&lt;6,"",ROUND((G213*Rubric!$D$5+H213*Rubric!$D$6+I213*Rubric!$D$7+J213*Rubric!$D$8+K213*Rubric!$D$9+L213*Rubric!$D$10)/5*100,1))</f>
        <v>67</v>
      </c>
      <c r="N213" s="37" t="str">
        <f aca="false">IF(OR(B213="",D213=""),"",IFERROR(IF(IF(E213="Primary",INDEX(Applications!$I$5:$I$600,MATCH(B213,Applications!$A$5:$A$600,0)),IF(E213="Secondary",INDEX(Applications!$J$5:$J$600,MATCH(B213,Applications!$A$5:$A$600,0)),INDEX(Applications!$K$5:$K$600,MATCH(B213,Applications!$A$5:$A$600,0))))=D213,"OK","Not assigned"),"Check ID"))</f>
        <v>OK</v>
      </c>
      <c r="O213" s="7"/>
    </row>
    <row r="214" customFormat="false" ht="15" hidden="false" customHeight="false" outlineLevel="0" collapsed="false">
      <c r="A214" s="35" t="s">
        <v>1610</v>
      </c>
      <c r="B214" s="35" t="s">
        <v>1337</v>
      </c>
      <c r="C214" s="37" t="str">
        <f aca="false">IF(B214="","",IFERROR(INDEX(Applications!$B$5:$B$600,MATCH(B214,Applications!$A$5:$A$600,0)),"Application ID not found"))</f>
        <v>Buffalo Farm School</v>
      </c>
      <c r="D214" s="35" t="s">
        <v>85</v>
      </c>
      <c r="E214" s="35" t="s">
        <v>83</v>
      </c>
      <c r="F214" s="36" t="n">
        <v>45939</v>
      </c>
      <c r="G214" s="35" t="n">
        <v>4</v>
      </c>
      <c r="H214" s="35" t="n">
        <v>4</v>
      </c>
      <c r="I214" s="35" t="n">
        <v>3</v>
      </c>
      <c r="J214" s="35" t="n">
        <v>4</v>
      </c>
      <c r="K214" s="35" t="n">
        <v>3</v>
      </c>
      <c r="L214" s="35" t="n">
        <v>3</v>
      </c>
      <c r="M214" s="50" t="n">
        <f aca="false">IF(COUNT(G214:L214)&lt;6,"",ROUND((G214*Rubric!$D$5+H214*Rubric!$D$6+I214*Rubric!$D$7+J214*Rubric!$D$8+K214*Rubric!$D$9+L214*Rubric!$D$10)/5*100,1))</f>
        <v>72</v>
      </c>
      <c r="N214" s="37" t="str">
        <f aca="false">IF(OR(B214="",D214=""),"",IFERROR(IF(IF(E214="Primary",INDEX(Applications!$I$5:$I$600,MATCH(B214,Applications!$A$5:$A$600,0)),IF(E214="Secondary",INDEX(Applications!$J$5:$J$600,MATCH(B214,Applications!$A$5:$A$600,0)),INDEX(Applications!$K$5:$K$600,MATCH(B214,Applications!$A$5:$A$600,0))))=D214,"OK","Not assigned"),"Check ID"))</f>
        <v>OK</v>
      </c>
      <c r="O214" s="7"/>
    </row>
    <row r="215" customFormat="false" ht="15" hidden="false" customHeight="false" outlineLevel="0" collapsed="false">
      <c r="A215" s="35" t="s">
        <v>1611</v>
      </c>
      <c r="B215" s="35" t="s">
        <v>1023</v>
      </c>
      <c r="C215" s="37" t="str">
        <f aca="false">IF(B215="","",IFERROR(INDEX(Applications!$B$5:$B$600,MATCH(B215,Applications!$A$5:$A$600,0)),"Application ID not found"))</f>
        <v>Canal Street Food Bank</v>
      </c>
      <c r="D215" s="35" t="s">
        <v>85</v>
      </c>
      <c r="E215" s="35" t="s">
        <v>83</v>
      </c>
      <c r="F215" s="36" t="n">
        <v>45939</v>
      </c>
      <c r="G215" s="35" t="n">
        <v>2</v>
      </c>
      <c r="H215" s="35" t="n">
        <v>2</v>
      </c>
      <c r="I215" s="35" t="n">
        <v>2</v>
      </c>
      <c r="J215" s="35" t="n">
        <v>2</v>
      </c>
      <c r="K215" s="35" t="n">
        <v>2</v>
      </c>
      <c r="L215" s="35" t="n">
        <v>3</v>
      </c>
      <c r="M215" s="50" t="n">
        <f aca="false">IF(COUNT(G215:L215)&lt;6,"",ROUND((G215*Rubric!$D$5+H215*Rubric!$D$6+I215*Rubric!$D$7+J215*Rubric!$D$8+K215*Rubric!$D$9+L215*Rubric!$D$10)/5*100,1))</f>
        <v>42</v>
      </c>
      <c r="N215" s="37" t="str">
        <f aca="false">IF(OR(B215="",D215=""),"",IFERROR(IF(IF(E215="Primary",INDEX(Applications!$I$5:$I$600,MATCH(B215,Applications!$A$5:$A$600,0)),IF(E215="Secondary",INDEX(Applications!$J$5:$J$600,MATCH(B215,Applications!$A$5:$A$600,0)),INDEX(Applications!$K$5:$K$600,MATCH(B215,Applications!$A$5:$A$600,0))))=D215,"OK","Not assigned"),"Check ID"))</f>
        <v>OK</v>
      </c>
      <c r="O215" s="7" t="s">
        <v>1416</v>
      </c>
    </row>
    <row r="216" customFormat="false" ht="15" hidden="false" customHeight="false" outlineLevel="0" collapsed="false">
      <c r="A216" s="35" t="s">
        <v>1612</v>
      </c>
      <c r="B216" s="35" t="s">
        <v>923</v>
      </c>
      <c r="C216" s="37" t="str">
        <f aca="false">IF(B216="","",IFERROR(INDEX(Applications!$B$5:$B$600,MATCH(B216,Applications!$A$5:$A$600,0)),"Application ID not found"))</f>
        <v>Winnipeg Family Center</v>
      </c>
      <c r="D216" s="35" t="s">
        <v>85</v>
      </c>
      <c r="E216" s="35" t="s">
        <v>80</v>
      </c>
      <c r="F216" s="36" t="n">
        <v>45939</v>
      </c>
      <c r="G216" s="35" t="n">
        <v>3</v>
      </c>
      <c r="H216" s="35" t="n">
        <v>3</v>
      </c>
      <c r="I216" s="35" t="n">
        <v>3</v>
      </c>
      <c r="J216" s="35" t="n">
        <v>3</v>
      </c>
      <c r="K216" s="35" t="n">
        <v>3</v>
      </c>
      <c r="L216" s="35" t="n">
        <v>3</v>
      </c>
      <c r="M216" s="50" t="n">
        <f aca="false">IF(COUNT(G216:L216)&lt;6,"",ROUND((G216*Rubric!$D$5+H216*Rubric!$D$6+I216*Rubric!$D$7+J216*Rubric!$D$8+K216*Rubric!$D$9+L216*Rubric!$D$10)/5*100,1))</f>
        <v>60</v>
      </c>
      <c r="N216" s="37" t="str">
        <f aca="false">IF(OR(B216="",D216=""),"",IFERROR(IF(IF(E216="Primary",INDEX(Applications!$I$5:$I$600,MATCH(B216,Applications!$A$5:$A$600,0)),IF(E216="Secondary",INDEX(Applications!$J$5:$J$600,MATCH(B216,Applications!$A$5:$A$600,0)),INDEX(Applications!$K$5:$K$600,MATCH(B216,Applications!$A$5:$A$600,0))))=D216,"OK","Not assigned"),"Check ID"))</f>
        <v>OK</v>
      </c>
      <c r="O216" s="7"/>
    </row>
    <row r="217" customFormat="false" ht="15" hidden="false" customHeight="false" outlineLevel="0" collapsed="false">
      <c r="A217" s="35" t="s">
        <v>1613</v>
      </c>
      <c r="B217" s="35" t="s">
        <v>611</v>
      </c>
      <c r="C217" s="37" t="str">
        <f aca="false">IF(B217="","",IFERROR(INDEX(Applications!$B$5:$B$600,MATCH(B217,Applications!$A$5:$A$600,0)),"Application ID not found"))</f>
        <v>Maple Street Bakery Collective</v>
      </c>
      <c r="D217" s="35" t="s">
        <v>85</v>
      </c>
      <c r="E217" s="35" t="s">
        <v>83</v>
      </c>
      <c r="F217" s="36" t="n">
        <v>45939</v>
      </c>
      <c r="G217" s="35" t="n">
        <v>3</v>
      </c>
      <c r="H217" s="35" t="n">
        <v>3</v>
      </c>
      <c r="I217" s="35" t="n">
        <v>3</v>
      </c>
      <c r="J217" s="35" t="n">
        <v>3</v>
      </c>
      <c r="K217" s="35" t="n">
        <v>4</v>
      </c>
      <c r="L217" s="35" t="n">
        <v>4</v>
      </c>
      <c r="M217" s="50" t="n">
        <f aca="false">IF(COUNT(G217:L217)&lt;6,"",ROUND((G217*Rubric!$D$5+H217*Rubric!$D$6+I217*Rubric!$D$7+J217*Rubric!$D$8+K217*Rubric!$D$9+L217*Rubric!$D$10)/5*100,1))</f>
        <v>64</v>
      </c>
      <c r="N217" s="37" t="str">
        <f aca="false">IF(OR(B217="",D217=""),"",IFERROR(IF(IF(E217="Primary",INDEX(Applications!$I$5:$I$600,MATCH(B217,Applications!$A$5:$A$600,0)),IF(E217="Secondary",INDEX(Applications!$J$5:$J$600,MATCH(B217,Applications!$A$5:$A$600,0)),INDEX(Applications!$K$5:$K$600,MATCH(B217,Applications!$A$5:$A$600,0))))=D217,"OK","Not assigned"),"Check ID"))</f>
        <v>OK</v>
      </c>
      <c r="O217" s="7"/>
    </row>
    <row r="218" customFormat="false" ht="15" hidden="false" customHeight="false" outlineLevel="0" collapsed="false">
      <c r="A218" s="35" t="s">
        <v>1614</v>
      </c>
      <c r="B218" s="35" t="s">
        <v>711</v>
      </c>
      <c r="C218" s="37" t="str">
        <f aca="false">IF(B218="","",IFERROR(INDEX(Applications!$B$5:$B$600,MATCH(B218,Applications!$A$5:$A$600,0)),"Application ID not found"))</f>
        <v>Parkside Schools Nutrition Fund</v>
      </c>
      <c r="D218" s="35" t="s">
        <v>85</v>
      </c>
      <c r="E218" s="35" t="s">
        <v>80</v>
      </c>
      <c r="F218" s="36" t="n">
        <v>45939</v>
      </c>
      <c r="G218" s="35" t="n">
        <v>3</v>
      </c>
      <c r="H218" s="35" t="n">
        <v>3</v>
      </c>
      <c r="I218" s="35" t="n">
        <v>3</v>
      </c>
      <c r="J218" s="35" t="n">
        <v>3</v>
      </c>
      <c r="K218" s="35" t="n">
        <v>4</v>
      </c>
      <c r="L218" s="35" t="n">
        <v>3</v>
      </c>
      <c r="M218" s="50" t="n">
        <f aca="false">IF(COUNT(G218:L218)&lt;6,"",ROUND((G218*Rubric!$D$5+H218*Rubric!$D$6+I218*Rubric!$D$7+J218*Rubric!$D$8+K218*Rubric!$D$9+L218*Rubric!$D$10)/5*100,1))</f>
        <v>62</v>
      </c>
      <c r="N218" s="37" t="str">
        <f aca="false">IF(OR(B218="",D218=""),"",IFERROR(IF(IF(E218="Primary",INDEX(Applications!$I$5:$I$600,MATCH(B218,Applications!$A$5:$A$600,0)),IF(E218="Secondary",INDEX(Applications!$J$5:$J$600,MATCH(B218,Applications!$A$5:$A$600,0)),INDEX(Applications!$K$5:$K$600,MATCH(B218,Applications!$A$5:$A$600,0))))=D218,"OK","Not assigned"),"Check ID"))</f>
        <v>OK</v>
      </c>
      <c r="O218" s="7" t="s">
        <v>1493</v>
      </c>
    </row>
    <row r="219" customFormat="false" ht="15" hidden="false" customHeight="false" outlineLevel="0" collapsed="false">
      <c r="A219" s="35" t="s">
        <v>1615</v>
      </c>
      <c r="B219" s="35" t="s">
        <v>1269</v>
      </c>
      <c r="C219" s="37" t="str">
        <f aca="false">IF(B219="","",IFERROR(INDEX(Applications!$B$5:$B$600,MATCH(B219,Applications!$A$5:$A$600,0)),"Application ID not found"))</f>
        <v>Copper Hill Cafe Training Program</v>
      </c>
      <c r="D219" s="35" t="s">
        <v>78</v>
      </c>
      <c r="E219" s="35" t="s">
        <v>80</v>
      </c>
      <c r="F219" s="36" t="n">
        <v>45940</v>
      </c>
      <c r="G219" s="35" t="n">
        <v>2</v>
      </c>
      <c r="H219" s="35" t="n">
        <v>2</v>
      </c>
      <c r="I219" s="35" t="n">
        <v>2</v>
      </c>
      <c r="J219" s="35" t="n">
        <v>2</v>
      </c>
      <c r="K219" s="35" t="n">
        <v>2</v>
      </c>
      <c r="L219" s="35" t="n">
        <v>1</v>
      </c>
      <c r="M219" s="50" t="n">
        <f aca="false">IF(COUNT(G219:L219)&lt;6,"",ROUND((G219*Rubric!$D$5+H219*Rubric!$D$6+I219*Rubric!$D$7+J219*Rubric!$D$8+K219*Rubric!$D$9+L219*Rubric!$D$10)/5*100,1))</f>
        <v>38</v>
      </c>
      <c r="N219" s="37" t="str">
        <f aca="false">IF(OR(B219="",D219=""),"",IFERROR(IF(IF(E219="Primary",INDEX(Applications!$I$5:$I$600,MATCH(B219,Applications!$A$5:$A$600,0)),IF(E219="Secondary",INDEX(Applications!$J$5:$J$600,MATCH(B219,Applications!$A$5:$A$600,0)),INDEX(Applications!$K$5:$K$600,MATCH(B219,Applications!$A$5:$A$600,0))))=D219,"OK","Not assigned"),"Check ID"))</f>
        <v>OK</v>
      </c>
      <c r="O219" s="7" t="s">
        <v>1592</v>
      </c>
    </row>
    <row r="220" customFormat="false" ht="15" hidden="false" customHeight="false" outlineLevel="0" collapsed="false">
      <c r="A220" s="35" t="s">
        <v>1616</v>
      </c>
      <c r="B220" s="35" t="s">
        <v>877</v>
      </c>
      <c r="C220" s="37" t="str">
        <f aca="false">IF(B220="","",IFERROR(INDEX(Applications!$B$5:$B$600,MATCH(B220,Applications!$A$5:$A$600,0)),"Application ID not found"))</f>
        <v>Northside Bakery Collective</v>
      </c>
      <c r="D220" s="35" t="s">
        <v>78</v>
      </c>
      <c r="E220" s="35" t="s">
        <v>80</v>
      </c>
      <c r="F220" s="36" t="n">
        <v>45940</v>
      </c>
      <c r="G220" s="35" t="n">
        <v>4</v>
      </c>
      <c r="H220" s="35" t="n">
        <v>4</v>
      </c>
      <c r="I220" s="35" t="n">
        <v>3</v>
      </c>
      <c r="J220" s="35" t="n">
        <v>3</v>
      </c>
      <c r="K220" s="35" t="n">
        <v>3</v>
      </c>
      <c r="L220" s="35" t="n">
        <v>3</v>
      </c>
      <c r="M220" s="50" t="n">
        <f aca="false">IF(COUNT(G220:L220)&lt;6,"",ROUND((G220*Rubric!$D$5+H220*Rubric!$D$6+I220*Rubric!$D$7+J220*Rubric!$D$8+K220*Rubric!$D$9+L220*Rubric!$D$10)/5*100,1))</f>
        <v>69</v>
      </c>
      <c r="N220" s="37" t="str">
        <f aca="false">IF(OR(B220="",D220=""),"",IFERROR(IF(IF(E220="Primary",INDEX(Applications!$I$5:$I$600,MATCH(B220,Applications!$A$5:$A$600,0)),IF(E220="Secondary",INDEX(Applications!$J$5:$J$600,MATCH(B220,Applications!$A$5:$A$600,0)),INDEX(Applications!$K$5:$K$600,MATCH(B220,Applications!$A$5:$A$600,0))))=D220,"OK","Not assigned"),"Check ID"))</f>
        <v>OK</v>
      </c>
      <c r="O220" s="7" t="s">
        <v>1428</v>
      </c>
    </row>
    <row r="221" customFormat="false" ht="15" hidden="false" customHeight="false" outlineLevel="0" collapsed="false">
      <c r="A221" s="35" t="s">
        <v>1617</v>
      </c>
      <c r="B221" s="35" t="s">
        <v>528</v>
      </c>
      <c r="C221" s="37" t="str">
        <f aca="false">IF(B221="","",IFERROR(INDEX(Applications!$B$5:$B$600,MATCH(B221,Applications!$A$5:$A$600,0)),"Application ID not found"))</f>
        <v>Accra Pantry Network</v>
      </c>
      <c r="D221" s="35" t="s">
        <v>78</v>
      </c>
      <c r="E221" s="35" t="s">
        <v>83</v>
      </c>
      <c r="F221" s="36" t="n">
        <v>45940</v>
      </c>
      <c r="G221" s="35" t="n">
        <v>3</v>
      </c>
      <c r="H221" s="35" t="n">
        <v>5</v>
      </c>
      <c r="I221" s="35" t="n">
        <v>4</v>
      </c>
      <c r="J221" s="35" t="n">
        <v>5</v>
      </c>
      <c r="K221" s="35" t="n">
        <v>4</v>
      </c>
      <c r="L221" s="35" t="n">
        <v>5</v>
      </c>
      <c r="M221" s="50" t="n">
        <f aca="false">IF(COUNT(G221:L221)&lt;6,"",ROUND((G221*Rubric!$D$5+H221*Rubric!$D$6+I221*Rubric!$D$7+J221*Rubric!$D$8+K221*Rubric!$D$9+L221*Rubric!$D$10)/5*100,1))</f>
        <v>84</v>
      </c>
      <c r="N221" s="37" t="str">
        <f aca="false">IF(OR(B221="",D221=""),"",IFERROR(IF(IF(E221="Primary",INDEX(Applications!$I$5:$I$600,MATCH(B221,Applications!$A$5:$A$600,0)),IF(E221="Secondary",INDEX(Applications!$J$5:$J$600,MATCH(B221,Applications!$A$5:$A$600,0)),INDEX(Applications!$K$5:$K$600,MATCH(B221,Applications!$A$5:$A$600,0))))=D221,"OK","Not assigned"),"Check ID"))</f>
        <v>OK</v>
      </c>
      <c r="O221" s="7" t="s">
        <v>1437</v>
      </c>
    </row>
    <row r="222" customFormat="false" ht="15" hidden="false" customHeight="false" outlineLevel="0" collapsed="false">
      <c r="A222" s="35" t="s">
        <v>1618</v>
      </c>
      <c r="B222" s="35" t="s">
        <v>420</v>
      </c>
      <c r="C222" s="37" t="str">
        <f aca="false">IF(B222="","",IFERROR(INDEX(Applications!$B$5:$B$600,MATCH(B222,Applications!$A$5:$A$600,0)),"Application ID not found"))</f>
        <v>Prairie Farm School</v>
      </c>
      <c r="D222" s="35" t="s">
        <v>78</v>
      </c>
      <c r="E222" s="35" t="s">
        <v>80</v>
      </c>
      <c r="F222" s="36" t="n">
        <v>45940</v>
      </c>
      <c r="G222" s="35" t="n">
        <v>3</v>
      </c>
      <c r="H222" s="35" t="n">
        <v>3</v>
      </c>
      <c r="I222" s="35" t="n">
        <v>2</v>
      </c>
      <c r="J222" s="35" t="n">
        <v>3</v>
      </c>
      <c r="K222" s="35" t="n">
        <v>2</v>
      </c>
      <c r="L222" s="35" t="n">
        <v>2</v>
      </c>
      <c r="M222" s="50" t="n">
        <f aca="false">IF(COUNT(G222:L222)&lt;6,"",ROUND((G222*Rubric!$D$5+H222*Rubric!$D$6+I222*Rubric!$D$7+J222*Rubric!$D$8+K222*Rubric!$D$9+L222*Rubric!$D$10)/5*100,1))</f>
        <v>52</v>
      </c>
      <c r="N222" s="37" t="str">
        <f aca="false">IF(OR(B222="",D222=""),"",IFERROR(IF(IF(E222="Primary",INDEX(Applications!$I$5:$I$600,MATCH(B222,Applications!$A$5:$A$600,0)),IF(E222="Secondary",INDEX(Applications!$J$5:$J$600,MATCH(B222,Applications!$A$5:$A$600,0)),INDEX(Applications!$K$5:$K$600,MATCH(B222,Applications!$A$5:$A$600,0))))=D222,"OK","Not assigned"),"Check ID"))</f>
        <v>OK</v>
      </c>
      <c r="O222" s="7" t="s">
        <v>1426</v>
      </c>
    </row>
    <row r="223" customFormat="false" ht="15" hidden="false" customHeight="false" outlineLevel="0" collapsed="false">
      <c r="A223" s="35" t="s">
        <v>1619</v>
      </c>
      <c r="B223" s="35" t="s">
        <v>390</v>
      </c>
      <c r="C223" s="37" t="str">
        <f aca="false">IF(B223="","",IFERROR(INDEX(Applications!$B$5:$B$600,MATCH(B223,Applications!$A$5:$A$600,0)),"Application ID not found"))</f>
        <v>Jaipur Farm School</v>
      </c>
      <c r="D223" s="35" t="s">
        <v>78</v>
      </c>
      <c r="E223" s="35" t="s">
        <v>80</v>
      </c>
      <c r="F223" s="36" t="n">
        <v>45940</v>
      </c>
      <c r="G223" s="35" t="n">
        <v>4</v>
      </c>
      <c r="H223" s="35" t="n">
        <v>4</v>
      </c>
      <c r="I223" s="35" t="n">
        <v>3</v>
      </c>
      <c r="J223" s="35" t="n">
        <v>3</v>
      </c>
      <c r="K223" s="35" t="n">
        <v>3</v>
      </c>
      <c r="L223" s="35" t="n">
        <v>3</v>
      </c>
      <c r="M223" s="50" t="n">
        <f aca="false">IF(COUNT(G223:L223)&lt;6,"",ROUND((G223*Rubric!$D$5+H223*Rubric!$D$6+I223*Rubric!$D$7+J223*Rubric!$D$8+K223*Rubric!$D$9+L223*Rubric!$D$10)/5*100,1))</f>
        <v>69</v>
      </c>
      <c r="N223" s="37" t="str">
        <f aca="false">IF(OR(B223="",D223=""),"",IFERROR(IF(IF(E223="Primary",INDEX(Applications!$I$5:$I$600,MATCH(B223,Applications!$A$5:$A$600,0)),IF(E223="Secondary",INDEX(Applications!$J$5:$J$600,MATCH(B223,Applications!$A$5:$A$600,0)),INDEX(Applications!$K$5:$K$600,MATCH(B223,Applications!$A$5:$A$600,0))))=D223,"OK","Not assigned"),"Check ID"))</f>
        <v>OK</v>
      </c>
      <c r="O223" s="7"/>
    </row>
    <row r="224" customFormat="false" ht="15" hidden="false" customHeight="false" outlineLevel="0" collapsed="false">
      <c r="A224" s="35" t="s">
        <v>1620</v>
      </c>
      <c r="B224" s="35" t="s">
        <v>801</v>
      </c>
      <c r="C224" s="37" t="str">
        <f aca="false">IF(B224="","",IFERROR(INDEX(Applications!$B$5:$B$600,MATCH(B224,Applications!$A$5:$A$600,0)),"Application ID not found"))</f>
        <v>Linden Kitchen Project</v>
      </c>
      <c r="D224" s="35" t="s">
        <v>78</v>
      </c>
      <c r="E224" s="35" t="s">
        <v>80</v>
      </c>
      <c r="F224" s="36" t="n">
        <v>45940</v>
      </c>
      <c r="G224" s="35" t="n">
        <v>2</v>
      </c>
      <c r="H224" s="35" t="n">
        <v>3</v>
      </c>
      <c r="I224" s="35" t="n">
        <v>3</v>
      </c>
      <c r="J224" s="35" t="n">
        <v>2</v>
      </c>
      <c r="K224" s="35" t="n">
        <v>2</v>
      </c>
      <c r="L224" s="35" t="n">
        <v>3</v>
      </c>
      <c r="M224" s="50" t="n">
        <f aca="false">IF(COUNT(G224:L224)&lt;6,"",ROUND((G224*Rubric!$D$5+H224*Rubric!$D$6+I224*Rubric!$D$7+J224*Rubric!$D$8+K224*Rubric!$D$9+L224*Rubric!$D$10)/5*100,1))</f>
        <v>50</v>
      </c>
      <c r="N224" s="37" t="str">
        <f aca="false">IF(OR(B224="",D224=""),"",IFERROR(IF(IF(E224="Primary",INDEX(Applications!$I$5:$I$600,MATCH(B224,Applications!$A$5:$A$600,0)),IF(E224="Secondary",INDEX(Applications!$J$5:$J$600,MATCH(B224,Applications!$A$5:$A$600,0)),INDEX(Applications!$K$5:$K$600,MATCH(B224,Applications!$A$5:$A$600,0))))=D224,"OK","Not assigned"),"Check ID"))</f>
        <v>OK</v>
      </c>
      <c r="O224" s="7"/>
    </row>
    <row r="225" customFormat="false" ht="15" hidden="false" customHeight="false" outlineLevel="0" collapsed="false">
      <c r="A225" s="35" t="s">
        <v>1621</v>
      </c>
      <c r="B225" s="35" t="s">
        <v>741</v>
      </c>
      <c r="C225" s="37" t="str">
        <f aca="false">IF(B225="","",IFERROR(INDEX(Applications!$B$5:$B$600,MATCH(B225,Applications!$A$5:$A$600,0)),"Application ID not found"))</f>
        <v>Galway Bakery Collective</v>
      </c>
      <c r="D225" s="35" t="s">
        <v>78</v>
      </c>
      <c r="E225" s="35" t="s">
        <v>83</v>
      </c>
      <c r="F225" s="36" t="n">
        <v>45940</v>
      </c>
      <c r="G225" s="35" t="n">
        <v>5</v>
      </c>
      <c r="H225" s="35" t="n">
        <v>4</v>
      </c>
      <c r="I225" s="35" t="n">
        <v>4</v>
      </c>
      <c r="J225" s="35" t="n">
        <v>4</v>
      </c>
      <c r="K225" s="35" t="n">
        <v>4</v>
      </c>
      <c r="L225" s="35" t="n">
        <v>4</v>
      </c>
      <c r="M225" s="50" t="n">
        <f aca="false">IF(COUNT(G225:L225)&lt;6,"",ROUND((G225*Rubric!$D$5+H225*Rubric!$D$6+I225*Rubric!$D$7+J225*Rubric!$D$8+K225*Rubric!$D$9+L225*Rubric!$D$10)/5*100,1))</f>
        <v>85</v>
      </c>
      <c r="N225" s="37" t="str">
        <f aca="false">IF(OR(B225="",D225=""),"",IFERROR(IF(IF(E225="Primary",INDEX(Applications!$I$5:$I$600,MATCH(B225,Applications!$A$5:$A$600,0)),IF(E225="Secondary",INDEX(Applications!$J$5:$J$600,MATCH(B225,Applications!$A$5:$A$600,0)),INDEX(Applications!$K$5:$K$600,MATCH(B225,Applications!$A$5:$A$600,0))))=D225,"OK","Not assigned"),"Check ID"))</f>
        <v>OK</v>
      </c>
      <c r="O225" s="7"/>
    </row>
    <row r="226" customFormat="false" ht="15" hidden="false" customHeight="false" outlineLevel="0" collapsed="false">
      <c r="A226" s="35" t="s">
        <v>1622</v>
      </c>
      <c r="B226" s="35" t="s">
        <v>647</v>
      </c>
      <c r="C226" s="37" t="str">
        <f aca="false">IF(B226="","",IFERROR(INDEX(Applications!$B$5:$B$600,MATCH(B226,Applications!$A$5:$A$600,0)),"Application ID not found"))</f>
        <v>Chicago Food Shelf</v>
      </c>
      <c r="D226" s="35" t="s">
        <v>78</v>
      </c>
      <c r="E226" s="35" t="s">
        <v>80</v>
      </c>
      <c r="F226" s="36" t="n">
        <v>45940</v>
      </c>
      <c r="G226" s="35" t="n">
        <v>3</v>
      </c>
      <c r="H226" s="35" t="n">
        <v>3</v>
      </c>
      <c r="I226" s="35" t="n">
        <v>4</v>
      </c>
      <c r="J226" s="35" t="n">
        <v>3</v>
      </c>
      <c r="K226" s="35" t="n">
        <v>3</v>
      </c>
      <c r="L226" s="35" t="n">
        <v>4</v>
      </c>
      <c r="M226" s="50" t="n">
        <f aca="false">IF(COUNT(G226:L226)&lt;6,"",ROUND((G226*Rubric!$D$5+H226*Rubric!$D$6+I226*Rubric!$D$7+J226*Rubric!$D$8+K226*Rubric!$D$9+L226*Rubric!$D$10)/5*100,1))</f>
        <v>66</v>
      </c>
      <c r="N226" s="37" t="str">
        <f aca="false">IF(OR(B226="",D226=""),"",IFERROR(IF(IF(E226="Primary",INDEX(Applications!$I$5:$I$600,MATCH(B226,Applications!$A$5:$A$600,0)),IF(E226="Secondary",INDEX(Applications!$J$5:$J$600,MATCH(B226,Applications!$A$5:$A$600,0)),INDEX(Applications!$K$5:$K$600,MATCH(B226,Applications!$A$5:$A$600,0))))=D226,"OK","Not assigned"),"Check ID"))</f>
        <v>OK</v>
      </c>
      <c r="O226" s="7"/>
    </row>
    <row r="227" customFormat="false" ht="15" hidden="false" customHeight="false" outlineLevel="0" collapsed="false">
      <c r="A227" s="35" t="s">
        <v>1623</v>
      </c>
      <c r="B227" s="35" t="s">
        <v>791</v>
      </c>
      <c r="C227" s="37" t="str">
        <f aca="false">IF(B227="","",IFERROR(INDEX(Applications!$B$5:$B$600,MATCH(B227,Applications!$A$5:$A$600,0)),"Application ID not found"))</f>
        <v>Akron Kitchen Project</v>
      </c>
      <c r="D227" s="35" t="s">
        <v>78</v>
      </c>
      <c r="E227" s="35" t="s">
        <v>83</v>
      </c>
      <c r="F227" s="36" t="n">
        <v>45940</v>
      </c>
      <c r="G227" s="35" t="n">
        <v>4</v>
      </c>
      <c r="H227" s="35" t="n">
        <v>5</v>
      </c>
      <c r="I227" s="35" t="n">
        <v>4</v>
      </c>
      <c r="J227" s="35" t="n">
        <v>4</v>
      </c>
      <c r="K227" s="35" t="n">
        <v>5</v>
      </c>
      <c r="L227" s="35" t="n">
        <v>4</v>
      </c>
      <c r="M227" s="50" t="n">
        <f aca="false">IF(COUNT(G227:L227)&lt;6,"",ROUND((G227*Rubric!$D$5+H227*Rubric!$D$6+I227*Rubric!$D$7+J227*Rubric!$D$8+K227*Rubric!$D$9+L227*Rubric!$D$10)/5*100,1))</f>
        <v>86</v>
      </c>
      <c r="N227" s="37" t="str">
        <f aca="false">IF(OR(B227="",D227=""),"",IFERROR(IF(IF(E227="Primary",INDEX(Applications!$I$5:$I$600,MATCH(B227,Applications!$A$5:$A$600,0)),IF(E227="Secondary",INDEX(Applications!$J$5:$J$600,MATCH(B227,Applications!$A$5:$A$600,0)),INDEX(Applications!$K$5:$K$600,MATCH(B227,Applications!$A$5:$A$600,0))))=D227,"OK","Not assigned"),"Check ID"))</f>
        <v>OK</v>
      </c>
      <c r="O227" s="7"/>
    </row>
    <row r="228" customFormat="false" ht="15" hidden="false" customHeight="false" outlineLevel="0" collapsed="false">
      <c r="A228" s="35" t="s">
        <v>1624</v>
      </c>
      <c r="B228" s="35" t="s">
        <v>613</v>
      </c>
      <c r="C228" s="37" t="str">
        <f aca="false">IF(B228="","",IFERROR(INDEX(Applications!$B$5:$B$600,MATCH(B228,Applications!$A$5:$A$600,0)),"Application ID not found"))</f>
        <v>Harbor Youth Food Lab</v>
      </c>
      <c r="D228" s="35" t="s">
        <v>78</v>
      </c>
      <c r="E228" s="35" t="s">
        <v>80</v>
      </c>
      <c r="F228" s="36" t="n">
        <v>45940</v>
      </c>
      <c r="G228" s="35" t="n">
        <v>4</v>
      </c>
      <c r="H228" s="35" t="n">
        <v>4</v>
      </c>
      <c r="I228" s="35" t="n">
        <v>4</v>
      </c>
      <c r="J228" s="35" t="n">
        <v>4</v>
      </c>
      <c r="K228" s="35" t="n">
        <v>4</v>
      </c>
      <c r="L228" s="35" t="n">
        <v>4</v>
      </c>
      <c r="M228" s="50" t="n">
        <f aca="false">IF(COUNT(G228:L228)&lt;6,"",ROUND((G228*Rubric!$D$5+H228*Rubric!$D$6+I228*Rubric!$D$7+J228*Rubric!$D$8+K228*Rubric!$D$9+L228*Rubric!$D$10)/5*100,1))</f>
        <v>80</v>
      </c>
      <c r="N228" s="37" t="str">
        <f aca="false">IF(OR(B228="",D228=""),"",IFERROR(IF(IF(E228="Primary",INDEX(Applications!$I$5:$I$600,MATCH(B228,Applications!$A$5:$A$600,0)),IF(E228="Secondary",INDEX(Applications!$J$5:$J$600,MATCH(B228,Applications!$A$5:$A$600,0)),INDEX(Applications!$K$5:$K$600,MATCH(B228,Applications!$A$5:$A$600,0))))=D228,"OK","Not assigned"),"Check ID"))</f>
        <v>OK</v>
      </c>
      <c r="O228" s="7"/>
    </row>
    <row r="229" customFormat="false" ht="15" hidden="false" customHeight="false" outlineLevel="0" collapsed="false">
      <c r="A229" s="35" t="s">
        <v>1625</v>
      </c>
      <c r="B229" s="35" t="s">
        <v>1073</v>
      </c>
      <c r="C229" s="37" t="str">
        <f aca="false">IF(B229="","",IFERROR(INDEX(Applications!$B$5:$B$600,MATCH(B229,Applications!$A$5:$A$600,0)),"Application ID not found"))</f>
        <v>Peoria Food Bank</v>
      </c>
      <c r="D229" s="35" t="s">
        <v>78</v>
      </c>
      <c r="E229" s="35" t="s">
        <v>83</v>
      </c>
      <c r="F229" s="36" t="n">
        <v>45940</v>
      </c>
      <c r="G229" s="35" t="n">
        <v>4</v>
      </c>
      <c r="H229" s="35" t="n">
        <v>3</v>
      </c>
      <c r="I229" s="35" t="n">
        <v>4</v>
      </c>
      <c r="J229" s="35" t="n">
        <v>4</v>
      </c>
      <c r="K229" s="35" t="n">
        <v>3</v>
      </c>
      <c r="L229" s="35" t="n">
        <v>4</v>
      </c>
      <c r="M229" s="50" t="n">
        <f aca="false">IF(COUNT(G229:L229)&lt;6,"",ROUND((G229*Rubric!$D$5+H229*Rubric!$D$6+I229*Rubric!$D$7+J229*Rubric!$D$8+K229*Rubric!$D$9+L229*Rubric!$D$10)/5*100,1))</f>
        <v>74</v>
      </c>
      <c r="N229" s="37" t="str">
        <f aca="false">IF(OR(B229="",D229=""),"",IFERROR(IF(IF(E229="Primary",INDEX(Applications!$I$5:$I$600,MATCH(B229,Applications!$A$5:$A$600,0)),IF(E229="Secondary",INDEX(Applications!$J$5:$J$600,MATCH(B229,Applications!$A$5:$A$600,0)),INDEX(Applications!$K$5:$K$600,MATCH(B229,Applications!$A$5:$A$600,0))))=D229,"OK","Not assigned"),"Check ID"))</f>
        <v>OK</v>
      </c>
      <c r="O229" s="7" t="s">
        <v>1428</v>
      </c>
    </row>
    <row r="230" customFormat="false" ht="15" hidden="false" customHeight="false" outlineLevel="0" collapsed="false">
      <c r="A230" s="35" t="s">
        <v>1626</v>
      </c>
      <c r="B230" s="35" t="s">
        <v>1175</v>
      </c>
      <c r="C230" s="37" t="str">
        <f aca="false">IF(B230="","",IFERROR(INDEX(Applications!$B$5:$B$600,MATCH(B230,Applications!$A$5:$A$600,0)),"Application ID not found"))</f>
        <v>Saltgrass Farm School</v>
      </c>
      <c r="D230" s="35" t="s">
        <v>78</v>
      </c>
      <c r="E230" s="35" t="s">
        <v>83</v>
      </c>
      <c r="F230" s="36" t="n">
        <v>45940</v>
      </c>
      <c r="G230" s="35" t="n">
        <v>3</v>
      </c>
      <c r="H230" s="35" t="n">
        <v>3</v>
      </c>
      <c r="I230" s="35" t="n">
        <v>3</v>
      </c>
      <c r="J230" s="35" t="n">
        <v>3</v>
      </c>
      <c r="K230" s="35" t="n">
        <v>3</v>
      </c>
      <c r="L230" s="35" t="n">
        <v>2</v>
      </c>
      <c r="M230" s="50" t="n">
        <f aca="false">IF(COUNT(G230:L230)&lt;6,"",ROUND((G230*Rubric!$D$5+H230*Rubric!$D$6+I230*Rubric!$D$7+J230*Rubric!$D$8+K230*Rubric!$D$9+L230*Rubric!$D$10)/5*100,1))</f>
        <v>58</v>
      </c>
      <c r="N230" s="37" t="str">
        <f aca="false">IF(OR(B230="",D230=""),"",IFERROR(IF(IF(E230="Primary",INDEX(Applications!$I$5:$I$600,MATCH(B230,Applications!$A$5:$A$600,0)),IF(E230="Secondary",INDEX(Applications!$J$5:$J$600,MATCH(B230,Applications!$A$5:$A$600,0)),INDEX(Applications!$K$5:$K$600,MATCH(B230,Applications!$A$5:$A$600,0))))=D230,"OK","Not assigned"),"Check ID"))</f>
        <v>OK</v>
      </c>
      <c r="O230" s="7"/>
    </row>
    <row r="231" customFormat="false" ht="15" hidden="false" customHeight="false" outlineLevel="0" collapsed="false">
      <c r="A231" s="35" t="s">
        <v>1627</v>
      </c>
      <c r="B231" s="35" t="s">
        <v>494</v>
      </c>
      <c r="C231" s="37" t="str">
        <f aca="false">IF(B231="","",IFERROR(INDEX(Applications!$B$5:$B$600,MATCH(B231,Applications!$A$5:$A$600,0)),"Application ID not found"))</f>
        <v>Milwaukee Farm Collective</v>
      </c>
      <c r="D231" s="35" t="s">
        <v>78</v>
      </c>
      <c r="E231" s="35" t="s">
        <v>83</v>
      </c>
      <c r="F231" s="36" t="n">
        <v>45940</v>
      </c>
      <c r="G231" s="35" t="n">
        <v>2</v>
      </c>
      <c r="H231" s="35" t="n">
        <v>2</v>
      </c>
      <c r="I231" s="35" t="n">
        <v>3</v>
      </c>
      <c r="J231" s="35" t="n">
        <v>3</v>
      </c>
      <c r="K231" s="35" t="n">
        <v>2</v>
      </c>
      <c r="L231" s="35" t="n">
        <v>3</v>
      </c>
      <c r="M231" s="50" t="n">
        <f aca="false">IF(COUNT(G231:L231)&lt;6,"",ROUND((G231*Rubric!$D$5+H231*Rubric!$D$6+I231*Rubric!$D$7+J231*Rubric!$D$8+K231*Rubric!$D$9+L231*Rubric!$D$10)/5*100,1))</f>
        <v>49</v>
      </c>
      <c r="N231" s="37" t="str">
        <f aca="false">IF(OR(B231="",D231=""),"",IFERROR(IF(IF(E231="Primary",INDEX(Applications!$I$5:$I$600,MATCH(B231,Applications!$A$5:$A$600,0)),IF(E231="Secondary",INDEX(Applications!$J$5:$J$600,MATCH(B231,Applications!$A$5:$A$600,0)),INDEX(Applications!$K$5:$K$600,MATCH(B231,Applications!$A$5:$A$600,0))))=D231,"OK","Not assigned"),"Check ID"))</f>
        <v>OK</v>
      </c>
      <c r="O231" s="7"/>
    </row>
    <row r="232" customFormat="false" ht="15" hidden="false" customHeight="false" outlineLevel="0" collapsed="false">
      <c r="A232" s="35" t="s">
        <v>1628</v>
      </c>
      <c r="B232" s="35" t="s">
        <v>1219</v>
      </c>
      <c r="C232" s="37" t="str">
        <f aca="false">IF(B232="","",IFERROR(INDEX(Applications!$B$5:$B$600,MATCH(B232,Applications!$A$5:$A$600,0)),"Application ID not found"))</f>
        <v>Jaipur Mobile Market</v>
      </c>
      <c r="D232" s="35" t="s">
        <v>78</v>
      </c>
      <c r="E232" s="35" t="s">
        <v>83</v>
      </c>
      <c r="F232" s="36" t="n">
        <v>45940</v>
      </c>
      <c r="G232" s="35" t="n">
        <v>2</v>
      </c>
      <c r="H232" s="35" t="n">
        <v>3</v>
      </c>
      <c r="I232" s="35" t="n">
        <v>3</v>
      </c>
      <c r="J232" s="35" t="n">
        <v>2</v>
      </c>
      <c r="K232" s="35" t="n">
        <v>2</v>
      </c>
      <c r="L232" s="35" t="n">
        <v>3</v>
      </c>
      <c r="M232" s="50" t="n">
        <f aca="false">IF(COUNT(G232:L232)&lt;6,"",ROUND((G232*Rubric!$D$5+H232*Rubric!$D$6+I232*Rubric!$D$7+J232*Rubric!$D$8+K232*Rubric!$D$9+L232*Rubric!$D$10)/5*100,1))</f>
        <v>50</v>
      </c>
      <c r="N232" s="37" t="str">
        <f aca="false">IF(OR(B232="",D232=""),"",IFERROR(IF(IF(E232="Primary",INDEX(Applications!$I$5:$I$600,MATCH(B232,Applications!$A$5:$A$600,0)),IF(E232="Secondary",INDEX(Applications!$J$5:$J$600,MATCH(B232,Applications!$A$5:$A$600,0)),INDEX(Applications!$K$5:$K$600,MATCH(B232,Applications!$A$5:$A$600,0))))=D232,"OK","Not assigned"),"Check ID"))</f>
        <v>OK</v>
      </c>
      <c r="O232" s="7"/>
    </row>
    <row r="233" customFormat="false" ht="15" hidden="false" customHeight="false" outlineLevel="0" collapsed="false">
      <c r="A233" s="35" t="s">
        <v>1629</v>
      </c>
      <c r="B233" s="35" t="s">
        <v>514</v>
      </c>
      <c r="C233" s="37" t="str">
        <f aca="false">IF(B233="","",IFERROR(INDEX(Applications!$B$5:$B$600,MATCH(B233,Applications!$A$5:$A$600,0)),"Application ID not found"))</f>
        <v>Utrecht Farm Collective</v>
      </c>
      <c r="D233" s="35" t="s">
        <v>82</v>
      </c>
      <c r="E233" s="35" t="s">
        <v>83</v>
      </c>
      <c r="F233" s="36" t="n">
        <v>45940</v>
      </c>
      <c r="G233" s="35" t="n">
        <v>4</v>
      </c>
      <c r="H233" s="35" t="n">
        <v>4</v>
      </c>
      <c r="I233" s="35" t="n">
        <v>4</v>
      </c>
      <c r="J233" s="35" t="n">
        <v>3</v>
      </c>
      <c r="K233" s="35" t="n">
        <v>4</v>
      </c>
      <c r="L233" s="35" t="n">
        <v>4</v>
      </c>
      <c r="M233" s="50" t="n">
        <f aca="false">IF(COUNT(G233:L233)&lt;6,"",ROUND((G233*Rubric!$D$5+H233*Rubric!$D$6+I233*Rubric!$D$7+J233*Rubric!$D$8+K233*Rubric!$D$9+L233*Rubric!$D$10)/5*100,1))</f>
        <v>77</v>
      </c>
      <c r="N233" s="37" t="str">
        <f aca="false">IF(OR(B233="",D233=""),"",IFERROR(IF(IF(E233="Primary",INDEX(Applications!$I$5:$I$600,MATCH(B233,Applications!$A$5:$A$600,0)),IF(E233="Secondary",INDEX(Applications!$J$5:$J$600,MATCH(B233,Applications!$A$5:$A$600,0)),INDEX(Applications!$K$5:$K$600,MATCH(B233,Applications!$A$5:$A$600,0))))=D233,"OK","Not assigned"),"Check ID"))</f>
        <v>OK</v>
      </c>
      <c r="O233" s="7"/>
    </row>
    <row r="234" customFormat="false" ht="15" hidden="false" customHeight="false" outlineLevel="0" collapsed="false">
      <c r="A234" s="35" t="s">
        <v>1630</v>
      </c>
      <c r="B234" s="35" t="s">
        <v>677</v>
      </c>
      <c r="C234" s="37" t="str">
        <f aca="false">IF(B234="","",IFERROR(INDEX(Applications!$B$5:$B$600,MATCH(B234,Applications!$A$5:$A$600,0)),"Application ID not found"))</f>
        <v>Thistle Community Kitchen</v>
      </c>
      <c r="D234" s="35" t="s">
        <v>82</v>
      </c>
      <c r="E234" s="35" t="s">
        <v>80</v>
      </c>
      <c r="F234" s="36" t="n">
        <v>45940</v>
      </c>
      <c r="G234" s="35" t="n">
        <v>4</v>
      </c>
      <c r="H234" s="35" t="n">
        <v>4</v>
      </c>
      <c r="I234" s="35" t="n">
        <v>4</v>
      </c>
      <c r="J234" s="35" t="n">
        <v>4</v>
      </c>
      <c r="K234" s="35" t="n">
        <v>3</v>
      </c>
      <c r="L234" s="35" t="n">
        <v>3</v>
      </c>
      <c r="M234" s="50" t="n">
        <f aca="false">IF(COUNT(G234:L234)&lt;6,"",ROUND((G234*Rubric!$D$5+H234*Rubric!$D$6+I234*Rubric!$D$7+J234*Rubric!$D$8+K234*Rubric!$D$9+L234*Rubric!$D$10)/5*100,1))</f>
        <v>76</v>
      </c>
      <c r="N234" s="37" t="str">
        <f aca="false">IF(OR(B234="",D234=""),"",IFERROR(IF(IF(E234="Primary",INDEX(Applications!$I$5:$I$600,MATCH(B234,Applications!$A$5:$A$600,0)),IF(E234="Secondary",INDEX(Applications!$J$5:$J$600,MATCH(B234,Applications!$A$5:$A$600,0)),INDEX(Applications!$K$5:$K$600,MATCH(B234,Applications!$A$5:$A$600,0))))=D234,"OK","Not assigned"),"Check ID"))</f>
        <v>OK</v>
      </c>
      <c r="O234" s="7"/>
    </row>
    <row r="235" customFormat="false" ht="15" hidden="false" customHeight="false" outlineLevel="0" collapsed="false">
      <c r="A235" s="35" t="s">
        <v>1631</v>
      </c>
      <c r="B235" s="35" t="s">
        <v>929</v>
      </c>
      <c r="C235" s="37" t="str">
        <f aca="false">IF(B235="","",IFERROR(INDEX(Applications!$B$5:$B$600,MATCH(B235,Applications!$A$5:$A$600,0)),"Application ID not found"))</f>
        <v>Greenway Bakery Collective</v>
      </c>
      <c r="D235" s="35" t="s">
        <v>82</v>
      </c>
      <c r="E235" s="35" t="s">
        <v>80</v>
      </c>
      <c r="F235" s="36" t="n">
        <v>45940</v>
      </c>
      <c r="G235" s="35" t="n">
        <v>1</v>
      </c>
      <c r="H235" s="35" t="n">
        <v>1</v>
      </c>
      <c r="I235" s="35" t="n">
        <v>2</v>
      </c>
      <c r="J235" s="35" t="n">
        <v>1</v>
      </c>
      <c r="K235" s="35" t="n">
        <v>1</v>
      </c>
      <c r="L235" s="35" t="n">
        <v>1</v>
      </c>
      <c r="M235" s="50" t="n">
        <f aca="false">IF(COUNT(G235:L235)&lt;6,"",ROUND((G235*Rubric!$D$5+H235*Rubric!$D$6+I235*Rubric!$D$7+J235*Rubric!$D$8+K235*Rubric!$D$9+L235*Rubric!$D$10)/5*100,1))</f>
        <v>24</v>
      </c>
      <c r="N235" s="37" t="str">
        <f aca="false">IF(OR(B235="",D235=""),"",IFERROR(IF(IF(E235="Primary",INDEX(Applications!$I$5:$I$600,MATCH(B235,Applications!$A$5:$A$600,0)),IF(E235="Secondary",INDEX(Applications!$J$5:$J$600,MATCH(B235,Applications!$A$5:$A$600,0)),INDEX(Applications!$K$5:$K$600,MATCH(B235,Applications!$A$5:$A$600,0))))=D235,"OK","Not assigned"),"Check ID"))</f>
        <v>OK</v>
      </c>
      <c r="O235" s="7"/>
    </row>
    <row r="236" customFormat="false" ht="15" hidden="false" customHeight="false" outlineLevel="0" collapsed="false">
      <c r="A236" s="35" t="s">
        <v>1632</v>
      </c>
      <c r="B236" s="35" t="s">
        <v>256</v>
      </c>
      <c r="C236" s="37" t="str">
        <f aca="false">IF(B236="","",IFERROR(INDEX(Applications!$B$5:$B$600,MATCH(B236,Applications!$A$5:$A$600,0)),"Application ID not found"))</f>
        <v>Lakeshore Food Bank</v>
      </c>
      <c r="D236" s="35" t="s">
        <v>82</v>
      </c>
      <c r="E236" s="35" t="s">
        <v>80</v>
      </c>
      <c r="F236" s="36" t="n">
        <v>45940</v>
      </c>
      <c r="G236" s="35" t="n">
        <v>3</v>
      </c>
      <c r="H236" s="35" t="n">
        <v>4</v>
      </c>
      <c r="I236" s="35" t="n">
        <v>4</v>
      </c>
      <c r="J236" s="35" t="n">
        <v>4</v>
      </c>
      <c r="K236" s="35" t="n">
        <v>4</v>
      </c>
      <c r="L236" s="35" t="n">
        <v>4</v>
      </c>
      <c r="M236" s="50" t="n">
        <f aca="false">IF(COUNT(G236:L236)&lt;6,"",ROUND((G236*Rubric!$D$5+H236*Rubric!$D$6+I236*Rubric!$D$7+J236*Rubric!$D$8+K236*Rubric!$D$9+L236*Rubric!$D$10)/5*100,1))</f>
        <v>75</v>
      </c>
      <c r="N236" s="37" t="str">
        <f aca="false">IF(OR(B236="",D236=""),"",IFERROR(IF(IF(E236="Primary",INDEX(Applications!$I$5:$I$600,MATCH(B236,Applications!$A$5:$A$600,0)),IF(E236="Secondary",INDEX(Applications!$J$5:$J$600,MATCH(B236,Applications!$A$5:$A$600,0)),INDEX(Applications!$K$5:$K$600,MATCH(B236,Applications!$A$5:$A$600,0))))=D236,"OK","Not assigned"),"Check ID"))</f>
        <v>OK</v>
      </c>
      <c r="O236" s="7"/>
    </row>
    <row r="237" customFormat="false" ht="15" hidden="false" customHeight="false" outlineLevel="0" collapsed="false">
      <c r="A237" s="35" t="s">
        <v>1633</v>
      </c>
      <c r="B237" s="35" t="s">
        <v>799</v>
      </c>
      <c r="C237" s="37" t="str">
        <f aca="false">IF(B237="","",IFERROR(INDEX(Applications!$B$5:$B$600,MATCH(B237,Applications!$A$5:$A$600,0)),"Application ID not found"))</f>
        <v>Riverbend Bakery Collective</v>
      </c>
      <c r="D237" s="35" t="s">
        <v>82</v>
      </c>
      <c r="E237" s="35" t="s">
        <v>83</v>
      </c>
      <c r="F237" s="36" t="n">
        <v>45940</v>
      </c>
      <c r="G237" s="35" t="n">
        <v>4</v>
      </c>
      <c r="H237" s="35" t="n">
        <v>3</v>
      </c>
      <c r="I237" s="35" t="n">
        <v>3</v>
      </c>
      <c r="J237" s="35" t="n">
        <v>4</v>
      </c>
      <c r="K237" s="35" t="n">
        <v>3</v>
      </c>
      <c r="L237" s="35" t="n">
        <v>4</v>
      </c>
      <c r="M237" s="50" t="n">
        <f aca="false">IF(COUNT(G237:L237)&lt;6,"",ROUND((G237*Rubric!$D$5+H237*Rubric!$D$6+I237*Rubric!$D$7+J237*Rubric!$D$8+K237*Rubric!$D$9+L237*Rubric!$D$10)/5*100,1))</f>
        <v>70</v>
      </c>
      <c r="N237" s="37" t="str">
        <f aca="false">IF(OR(B237="",D237=""),"",IFERROR(IF(IF(E237="Primary",INDEX(Applications!$I$5:$I$600,MATCH(B237,Applications!$A$5:$A$600,0)),IF(E237="Secondary",INDEX(Applications!$J$5:$J$600,MATCH(B237,Applications!$A$5:$A$600,0)),INDEX(Applications!$K$5:$K$600,MATCH(B237,Applications!$A$5:$A$600,0))))=D237,"OK","Not assigned"),"Check ID"))</f>
        <v>OK</v>
      </c>
      <c r="O237" s="7"/>
    </row>
    <row r="238" customFormat="false" ht="15" hidden="false" customHeight="false" outlineLevel="0" collapsed="false">
      <c r="A238" s="35" t="s">
        <v>1634</v>
      </c>
      <c r="B238" s="35" t="s">
        <v>1111</v>
      </c>
      <c r="C238" s="37" t="str">
        <f aca="false">IF(B238="","",IFERROR(INDEX(Applications!$B$5:$B$600,MATCH(B238,Applications!$A$5:$A$600,0)),"Application ID not found"))</f>
        <v>Greenway Food Bank</v>
      </c>
      <c r="D238" s="35" t="s">
        <v>82</v>
      </c>
      <c r="E238" s="35" t="s">
        <v>83</v>
      </c>
      <c r="F238" s="36" t="n">
        <v>45940</v>
      </c>
      <c r="G238" s="35" t="n">
        <v>5</v>
      </c>
      <c r="H238" s="35" t="n">
        <v>4</v>
      </c>
      <c r="I238" s="35" t="n">
        <v>5</v>
      </c>
      <c r="J238" s="35" t="n">
        <v>4</v>
      </c>
      <c r="K238" s="35" t="n">
        <v>4</v>
      </c>
      <c r="L238" s="35" t="n">
        <v>4</v>
      </c>
      <c r="M238" s="50" t="n">
        <f aca="false">IF(COUNT(G238:L238)&lt;6,"",ROUND((G238*Rubric!$D$5+H238*Rubric!$D$6+I238*Rubric!$D$7+J238*Rubric!$D$8+K238*Rubric!$D$9+L238*Rubric!$D$10)/5*100,1))</f>
        <v>89</v>
      </c>
      <c r="N238" s="37" t="str">
        <f aca="false">IF(OR(B238="",D238=""),"",IFERROR(IF(IF(E238="Primary",INDEX(Applications!$I$5:$I$600,MATCH(B238,Applications!$A$5:$A$600,0)),IF(E238="Secondary",INDEX(Applications!$J$5:$J$600,MATCH(B238,Applications!$A$5:$A$600,0)),INDEX(Applications!$K$5:$K$600,MATCH(B238,Applications!$A$5:$A$600,0))))=D238,"OK","Not assigned"),"Check ID"))</f>
        <v>OK</v>
      </c>
      <c r="O238" s="7"/>
    </row>
    <row r="239" customFormat="false" ht="15" hidden="false" customHeight="false" outlineLevel="0" collapsed="false">
      <c r="A239" s="35" t="s">
        <v>1635</v>
      </c>
      <c r="B239" s="35" t="s">
        <v>1097</v>
      </c>
      <c r="C239" s="37" t="str">
        <f aca="false">IF(B239="","",IFERROR(INDEX(Applications!$B$5:$B$600,MATCH(B239,Applications!$A$5:$A$600,0)),"Application ID not found"))</f>
        <v>Maple Street Community Kitchen</v>
      </c>
      <c r="D239" s="35" t="s">
        <v>82</v>
      </c>
      <c r="E239" s="35" t="s">
        <v>80</v>
      </c>
      <c r="F239" s="36" t="n">
        <v>45940</v>
      </c>
      <c r="G239" s="35" t="n">
        <v>5</v>
      </c>
      <c r="H239" s="35" t="n">
        <v>5</v>
      </c>
      <c r="I239" s="35" t="n">
        <v>5</v>
      </c>
      <c r="J239" s="35" t="n">
        <v>5</v>
      </c>
      <c r="K239" s="35" t="n">
        <v>4</v>
      </c>
      <c r="L239" s="35" t="n">
        <v>4</v>
      </c>
      <c r="M239" s="50" t="n">
        <f aca="false">IF(COUNT(G239:L239)&lt;6,"",ROUND((G239*Rubric!$D$5+H239*Rubric!$D$6+I239*Rubric!$D$7+J239*Rubric!$D$8+K239*Rubric!$D$9+L239*Rubric!$D$10)/5*100,1))</f>
        <v>96</v>
      </c>
      <c r="N239" s="37" t="str">
        <f aca="false">IF(OR(B239="",D239=""),"",IFERROR(IF(IF(E239="Primary",INDEX(Applications!$I$5:$I$600,MATCH(B239,Applications!$A$5:$A$600,0)),IF(E239="Secondary",INDEX(Applications!$J$5:$J$600,MATCH(B239,Applications!$A$5:$A$600,0)),INDEX(Applications!$K$5:$K$600,MATCH(B239,Applications!$A$5:$A$600,0))))=D239,"OK","Not assigned"),"Check ID"))</f>
        <v>OK</v>
      </c>
      <c r="O239" s="7"/>
    </row>
    <row r="240" customFormat="false" ht="15" hidden="false" customHeight="false" outlineLevel="0" collapsed="false">
      <c r="A240" s="35" t="s">
        <v>1636</v>
      </c>
      <c r="B240" s="35" t="s">
        <v>587</v>
      </c>
      <c r="C240" s="37" t="str">
        <f aca="false">IF(B240="","",IFERROR(INDEX(Applications!$B$5:$B$600,MATCH(B240,Applications!$A$5:$A$600,0)),"Application ID not found"))</f>
        <v>Mill Creek Farm School</v>
      </c>
      <c r="D240" s="35" t="s">
        <v>82</v>
      </c>
      <c r="E240" s="35" t="s">
        <v>80</v>
      </c>
      <c r="F240" s="36" t="n">
        <v>45940</v>
      </c>
      <c r="G240" s="35" t="n">
        <v>3</v>
      </c>
      <c r="H240" s="35" t="n">
        <v>3</v>
      </c>
      <c r="I240" s="35" t="n">
        <v>2</v>
      </c>
      <c r="J240" s="35" t="n">
        <v>4</v>
      </c>
      <c r="K240" s="35" t="n">
        <v>3</v>
      </c>
      <c r="L240" s="35" t="n">
        <v>3</v>
      </c>
      <c r="M240" s="50" t="n">
        <f aca="false">IF(COUNT(G240:L240)&lt;6,"",ROUND((G240*Rubric!$D$5+H240*Rubric!$D$6+I240*Rubric!$D$7+J240*Rubric!$D$8+K240*Rubric!$D$9+L240*Rubric!$D$10)/5*100,1))</f>
        <v>59</v>
      </c>
      <c r="N240" s="37" t="str">
        <f aca="false">IF(OR(B240="",D240=""),"",IFERROR(IF(IF(E240="Primary",INDEX(Applications!$I$5:$I$600,MATCH(B240,Applications!$A$5:$A$600,0)),IF(E240="Secondary",INDEX(Applications!$J$5:$J$600,MATCH(B240,Applications!$A$5:$A$600,0)),INDEX(Applications!$K$5:$K$600,MATCH(B240,Applications!$A$5:$A$600,0))))=D240,"OK","Not assigned"),"Check ID"))</f>
        <v>OK</v>
      </c>
      <c r="O240" s="7"/>
    </row>
    <row r="241" customFormat="false" ht="15" hidden="false" customHeight="false" outlineLevel="0" collapsed="false">
      <c r="A241" s="35" t="s">
        <v>1637</v>
      </c>
      <c r="B241" s="35" t="s">
        <v>1359</v>
      </c>
      <c r="C241" s="37" t="str">
        <f aca="false">IF(B241="","",IFERROR(INDEX(Applications!$B$5:$B$600,MATCH(B241,Applications!$A$5:$A$600,0)),"Application ID not found"))</f>
        <v>Parkside Farm Collective</v>
      </c>
      <c r="D241" s="35" t="s">
        <v>82</v>
      </c>
      <c r="E241" s="35" t="s">
        <v>80</v>
      </c>
      <c r="F241" s="36" t="n">
        <v>45940</v>
      </c>
      <c r="G241" s="35" t="n">
        <v>4</v>
      </c>
      <c r="H241" s="35" t="n">
        <v>3</v>
      </c>
      <c r="I241" s="35" t="n">
        <v>2</v>
      </c>
      <c r="J241" s="35" t="n">
        <v>2</v>
      </c>
      <c r="K241" s="35" t="n">
        <v>3</v>
      </c>
      <c r="L241" s="35" t="n">
        <v>2</v>
      </c>
      <c r="M241" s="50" t="n">
        <f aca="false">IF(COUNT(G241:L241)&lt;6,"",ROUND((G241*Rubric!$D$5+H241*Rubric!$D$6+I241*Rubric!$D$7+J241*Rubric!$D$8+K241*Rubric!$D$9+L241*Rubric!$D$10)/5*100,1))</f>
        <v>56</v>
      </c>
      <c r="N241" s="37" t="str">
        <f aca="false">IF(OR(B241="",D241=""),"",IFERROR(IF(IF(E241="Primary",INDEX(Applications!$I$5:$I$600,MATCH(B241,Applications!$A$5:$A$600,0)),IF(E241="Secondary",INDEX(Applications!$J$5:$J$600,MATCH(B241,Applications!$A$5:$A$600,0)),INDEX(Applications!$K$5:$K$600,MATCH(B241,Applications!$A$5:$A$600,0))))=D241,"OK","Not assigned"),"Check ID"))</f>
        <v>OK</v>
      </c>
      <c r="O241" s="7"/>
    </row>
    <row r="242" customFormat="false" ht="15" hidden="false" customHeight="false" outlineLevel="0" collapsed="false">
      <c r="A242" s="35" t="s">
        <v>1638</v>
      </c>
      <c r="B242" s="35" t="s">
        <v>863</v>
      </c>
      <c r="C242" s="37" t="str">
        <f aca="false">IF(B242="","",IFERROR(INDEX(Applications!$B$5:$B$600,MATCH(B242,Applications!$A$5:$A$600,0)),"Application ID not found"))</f>
        <v>Commonground Growers Cooperative</v>
      </c>
      <c r="D242" s="35" t="s">
        <v>82</v>
      </c>
      <c r="E242" s="35" t="s">
        <v>83</v>
      </c>
      <c r="F242" s="36" t="n">
        <v>45940</v>
      </c>
      <c r="G242" s="35" t="n">
        <v>4</v>
      </c>
      <c r="H242" s="35" t="n">
        <v>3</v>
      </c>
      <c r="I242" s="35" t="n">
        <v>3</v>
      </c>
      <c r="J242" s="35" t="n">
        <v>3</v>
      </c>
      <c r="K242" s="35" t="n">
        <v>3</v>
      </c>
      <c r="L242" s="35" t="n">
        <v>3</v>
      </c>
      <c r="M242" s="50" t="n">
        <f aca="false">IF(COUNT(G242:L242)&lt;6,"",ROUND((G242*Rubric!$D$5+H242*Rubric!$D$6+I242*Rubric!$D$7+J242*Rubric!$D$8+K242*Rubric!$D$9+L242*Rubric!$D$10)/5*100,1))</f>
        <v>65</v>
      </c>
      <c r="N242" s="37" t="str">
        <f aca="false">IF(OR(B242="",D242=""),"",IFERROR(IF(IF(E242="Primary",INDEX(Applications!$I$5:$I$600,MATCH(B242,Applications!$A$5:$A$600,0)),IF(E242="Secondary",INDEX(Applications!$J$5:$J$600,MATCH(B242,Applications!$A$5:$A$600,0)),INDEX(Applications!$K$5:$K$600,MATCH(B242,Applications!$A$5:$A$600,0))))=D242,"OK","Not assigned"),"Check ID"))</f>
        <v>OK</v>
      </c>
      <c r="O242" s="7"/>
    </row>
    <row r="243" customFormat="false" ht="15" hidden="false" customHeight="false" outlineLevel="0" collapsed="false">
      <c r="A243" s="35" t="s">
        <v>1639</v>
      </c>
      <c r="B243" s="35" t="s">
        <v>1273</v>
      </c>
      <c r="C243" s="37" t="str">
        <f aca="false">IF(B243="","",IFERROR(INDEX(Applications!$B$5:$B$600,MATCH(B243,Applications!$A$5:$A$600,0)),"Application ID not found"))</f>
        <v>Open Door Youth Food Lab</v>
      </c>
      <c r="D243" s="35" t="s">
        <v>82</v>
      </c>
      <c r="E243" s="35" t="s">
        <v>80</v>
      </c>
      <c r="F243" s="36" t="n">
        <v>45940</v>
      </c>
      <c r="G243" s="35" t="n">
        <v>3</v>
      </c>
      <c r="H243" s="35" t="n">
        <v>4</v>
      </c>
      <c r="I243" s="35" t="n">
        <v>3</v>
      </c>
      <c r="J243" s="35" t="n">
        <v>3</v>
      </c>
      <c r="K243" s="35" t="n">
        <v>3</v>
      </c>
      <c r="L243" s="35" t="n">
        <v>4</v>
      </c>
      <c r="M243" s="50" t="n">
        <f aca="false">IF(COUNT(G243:L243)&lt;6,"",ROUND((G243*Rubric!$D$5+H243*Rubric!$D$6+I243*Rubric!$D$7+J243*Rubric!$D$8+K243*Rubric!$D$9+L243*Rubric!$D$10)/5*100,1))</f>
        <v>66</v>
      </c>
      <c r="N243" s="37" t="str">
        <f aca="false">IF(OR(B243="",D243=""),"",IFERROR(IF(IF(E243="Primary",INDEX(Applications!$I$5:$I$600,MATCH(B243,Applications!$A$5:$A$600,0)),IF(E243="Secondary",INDEX(Applications!$J$5:$J$600,MATCH(B243,Applications!$A$5:$A$600,0)),INDEX(Applications!$K$5:$K$600,MATCH(B243,Applications!$A$5:$A$600,0))))=D243,"OK","Not assigned"),"Check ID"))</f>
        <v>OK</v>
      </c>
      <c r="O243" s="7"/>
    </row>
    <row r="244" customFormat="false" ht="15" hidden="false" customHeight="false" outlineLevel="0" collapsed="false">
      <c r="A244" s="35" t="s">
        <v>1640</v>
      </c>
      <c r="B244" s="35" t="s">
        <v>881</v>
      </c>
      <c r="C244" s="37" t="str">
        <f aca="false">IF(B244="","",IFERROR(INDEX(Applications!$B$5:$B$600,MATCH(B244,Applications!$A$5:$A$600,0)),"Application ID not found"))</f>
        <v>Sunrise Youth Food Lab</v>
      </c>
      <c r="D244" s="35" t="s">
        <v>82</v>
      </c>
      <c r="E244" s="35" t="s">
        <v>83</v>
      </c>
      <c r="F244" s="36" t="n">
        <v>45940</v>
      </c>
      <c r="G244" s="35" t="n">
        <v>2</v>
      </c>
      <c r="H244" s="35" t="n">
        <v>3</v>
      </c>
      <c r="I244" s="35" t="n">
        <v>2</v>
      </c>
      <c r="J244" s="35" t="n">
        <v>3</v>
      </c>
      <c r="K244" s="35" t="n">
        <v>4</v>
      </c>
      <c r="L244" s="35" t="n">
        <v>3</v>
      </c>
      <c r="M244" s="50" t="n">
        <f aca="false">IF(COUNT(G244:L244)&lt;6,"",ROUND((G244*Rubric!$D$5+H244*Rubric!$D$6+I244*Rubric!$D$7+J244*Rubric!$D$8+K244*Rubric!$D$9+L244*Rubric!$D$10)/5*100,1))</f>
        <v>53</v>
      </c>
      <c r="N244" s="37" t="str">
        <f aca="false">IF(OR(B244="",D244=""),"",IFERROR(IF(IF(E244="Primary",INDEX(Applications!$I$5:$I$600,MATCH(B244,Applications!$A$5:$A$600,0)),IF(E244="Secondary",INDEX(Applications!$J$5:$J$600,MATCH(B244,Applications!$A$5:$A$600,0)),INDEX(Applications!$K$5:$K$600,MATCH(B244,Applications!$A$5:$A$600,0))))=D244,"OK","Not assigned"),"Check ID"))</f>
        <v>OK</v>
      </c>
      <c r="O244" s="7"/>
    </row>
    <row r="245" customFormat="false" ht="15" hidden="false" customHeight="false" outlineLevel="0" collapsed="false">
      <c r="A245" s="35" t="s">
        <v>1641</v>
      </c>
      <c r="B245" s="35" t="s">
        <v>1085</v>
      </c>
      <c r="C245" s="37" t="str">
        <f aca="false">IF(B245="","",IFERROR(INDEX(Applications!$B$5:$B$600,MATCH(B245,Applications!$A$5:$A$600,0)),"Application ID not found"))</f>
        <v>Open Door Meals Project</v>
      </c>
      <c r="D245" s="35" t="s">
        <v>82</v>
      </c>
      <c r="E245" s="35" t="s">
        <v>83</v>
      </c>
      <c r="F245" s="36" t="n">
        <v>45940</v>
      </c>
      <c r="G245" s="35" t="n">
        <v>1</v>
      </c>
      <c r="H245" s="35" t="n">
        <v>1</v>
      </c>
      <c r="I245" s="35" t="n">
        <v>3</v>
      </c>
      <c r="J245" s="35" t="n">
        <v>2</v>
      </c>
      <c r="K245" s="35" t="n">
        <v>2</v>
      </c>
      <c r="L245" s="35" t="n">
        <v>2</v>
      </c>
      <c r="M245" s="50" t="n">
        <f aca="false">IF(COUNT(G245:L245)&lt;6,"",ROUND((G245*Rubric!$D$5+H245*Rubric!$D$6+I245*Rubric!$D$7+J245*Rubric!$D$8+K245*Rubric!$D$9+L245*Rubric!$D$10)/5*100,1))</f>
        <v>35</v>
      </c>
      <c r="N245" s="37" t="str">
        <f aca="false">IF(OR(B245="",D245=""),"",IFERROR(IF(IF(E245="Primary",INDEX(Applications!$I$5:$I$600,MATCH(B245,Applications!$A$5:$A$600,0)),IF(E245="Secondary",INDEX(Applications!$J$5:$J$600,MATCH(B245,Applications!$A$5:$A$600,0)),INDEX(Applications!$K$5:$K$600,MATCH(B245,Applications!$A$5:$A$600,0))))=D245,"OK","Not assigned"),"Check ID"))</f>
        <v>OK</v>
      </c>
      <c r="O245" s="7" t="s">
        <v>1416</v>
      </c>
    </row>
    <row r="246" customFormat="false" ht="15" hidden="false" customHeight="false" outlineLevel="0" collapsed="false">
      <c r="A246" s="35" t="s">
        <v>1642</v>
      </c>
      <c r="B246" s="35" t="s">
        <v>1289</v>
      </c>
      <c r="C246" s="37" t="str">
        <f aca="false">IF(B246="","",IFERROR(INDEX(Applications!$B$5:$B$600,MATCH(B246,Applications!$A$5:$A$600,0)),"Application ID not found"))</f>
        <v>Cape Town Mobile Market</v>
      </c>
      <c r="D246" s="35" t="s">
        <v>88</v>
      </c>
      <c r="E246" s="35" t="s">
        <v>80</v>
      </c>
      <c r="F246" s="36" t="n">
        <v>45940</v>
      </c>
      <c r="G246" s="35" t="n">
        <v>3</v>
      </c>
      <c r="H246" s="35" t="n">
        <v>3</v>
      </c>
      <c r="I246" s="35" t="n">
        <v>4</v>
      </c>
      <c r="J246" s="35" t="n">
        <v>4</v>
      </c>
      <c r="K246" s="35" t="n">
        <v>4</v>
      </c>
      <c r="L246" s="35" t="n">
        <v>4</v>
      </c>
      <c r="M246" s="50" t="n">
        <f aca="false">IF(COUNT(G246:L246)&lt;6,"",ROUND((G246*Rubric!$D$5+H246*Rubric!$D$6+I246*Rubric!$D$7+J246*Rubric!$D$8+K246*Rubric!$D$9+L246*Rubric!$D$10)/5*100,1))</f>
        <v>71</v>
      </c>
      <c r="N246" s="37" t="str">
        <f aca="false">IF(OR(B246="",D246=""),"",IFERROR(IF(IF(E246="Primary",INDEX(Applications!$I$5:$I$600,MATCH(B246,Applications!$A$5:$A$600,0)),IF(E246="Secondary",INDEX(Applications!$J$5:$J$600,MATCH(B246,Applications!$A$5:$A$600,0)),INDEX(Applications!$K$5:$K$600,MATCH(B246,Applications!$A$5:$A$600,0))))=D246,"OK","Not assigned"),"Check ID"))</f>
        <v>OK</v>
      </c>
      <c r="O246" s="7"/>
    </row>
    <row r="247" customFormat="false" ht="15" hidden="false" customHeight="false" outlineLevel="0" collapsed="false">
      <c r="A247" s="35" t="s">
        <v>1643</v>
      </c>
      <c r="B247" s="35" t="s">
        <v>1301</v>
      </c>
      <c r="C247" s="37" t="str">
        <f aca="false">IF(B247="","",IFERROR(INDEX(Applications!$B$5:$B$600,MATCH(B247,Applications!$A$5:$A$600,0)),"Application ID not found"))</f>
        <v>Atlanta Pantry Network</v>
      </c>
      <c r="D247" s="35" t="s">
        <v>88</v>
      </c>
      <c r="E247" s="35" t="s">
        <v>83</v>
      </c>
      <c r="F247" s="36" t="n">
        <v>45940</v>
      </c>
      <c r="G247" s="35" t="n">
        <v>3</v>
      </c>
      <c r="H247" s="35" t="n">
        <v>3</v>
      </c>
      <c r="I247" s="35" t="n">
        <v>3</v>
      </c>
      <c r="J247" s="35" t="n">
        <v>4</v>
      </c>
      <c r="K247" s="35" t="n">
        <v>3</v>
      </c>
      <c r="L247" s="35" t="n">
        <v>3</v>
      </c>
      <c r="M247" s="50" t="n">
        <f aca="false">IF(COUNT(G247:L247)&lt;6,"",ROUND((G247*Rubric!$D$5+H247*Rubric!$D$6+I247*Rubric!$D$7+J247*Rubric!$D$8+K247*Rubric!$D$9+L247*Rubric!$D$10)/5*100,1))</f>
        <v>63</v>
      </c>
      <c r="N247" s="37" t="str">
        <f aca="false">IF(OR(B247="",D247=""),"",IFERROR(IF(IF(E247="Primary",INDEX(Applications!$I$5:$I$600,MATCH(B247,Applications!$A$5:$A$600,0)),IF(E247="Secondary",INDEX(Applications!$J$5:$J$600,MATCH(B247,Applications!$A$5:$A$600,0)),INDEX(Applications!$K$5:$K$600,MATCH(B247,Applications!$A$5:$A$600,0))))=D247,"OK","Not assigned"),"Check ID"))</f>
        <v>OK</v>
      </c>
      <c r="O247" s="7"/>
    </row>
    <row r="248" customFormat="false" ht="15" hidden="false" customHeight="false" outlineLevel="0" collapsed="false">
      <c r="A248" s="35" t="s">
        <v>1644</v>
      </c>
      <c r="B248" s="35" t="s">
        <v>789</v>
      </c>
      <c r="C248" s="37" t="str">
        <f aca="false">IF(B248="","",IFERROR(INDEX(Applications!$B$5:$B$600,MATCH(B248,Applications!$A$5:$A$600,0)),"Application ID not found"))</f>
        <v>Chennai Growers Cooperative</v>
      </c>
      <c r="D248" s="35" t="s">
        <v>88</v>
      </c>
      <c r="E248" s="35" t="s">
        <v>83</v>
      </c>
      <c r="F248" s="36" t="n">
        <v>45940</v>
      </c>
      <c r="G248" s="35" t="n">
        <v>5</v>
      </c>
      <c r="H248" s="35" t="n">
        <v>4</v>
      </c>
      <c r="I248" s="35" t="n">
        <v>5</v>
      </c>
      <c r="J248" s="35" t="n">
        <v>4</v>
      </c>
      <c r="K248" s="35" t="n">
        <v>4</v>
      </c>
      <c r="L248" s="35" t="n">
        <v>4</v>
      </c>
      <c r="M248" s="50" t="n">
        <f aca="false">IF(COUNT(G248:L248)&lt;6,"",ROUND((G248*Rubric!$D$5+H248*Rubric!$D$6+I248*Rubric!$D$7+J248*Rubric!$D$8+K248*Rubric!$D$9+L248*Rubric!$D$10)/5*100,1))</f>
        <v>89</v>
      </c>
      <c r="N248" s="37" t="str">
        <f aca="false">IF(OR(B248="",D248=""),"",IFERROR(IF(IF(E248="Primary",INDEX(Applications!$I$5:$I$600,MATCH(B248,Applications!$A$5:$A$600,0)),IF(E248="Secondary",INDEX(Applications!$J$5:$J$600,MATCH(B248,Applications!$A$5:$A$600,0)),INDEX(Applications!$K$5:$K$600,MATCH(B248,Applications!$A$5:$A$600,0))))=D248,"OK","Not assigned"),"Check ID"))</f>
        <v>OK</v>
      </c>
      <c r="O248" s="7" t="s">
        <v>1493</v>
      </c>
    </row>
    <row r="249" customFormat="false" ht="15" hidden="false" customHeight="false" outlineLevel="0" collapsed="false">
      <c r="A249" s="35" t="s">
        <v>1645</v>
      </c>
      <c r="B249" s="35" t="s">
        <v>731</v>
      </c>
      <c r="C249" s="37" t="str">
        <f aca="false">IF(B249="","",IFERROR(INDEX(Applications!$B$5:$B$600,MATCH(B249,Applications!$A$5:$A$600,0)),"Application ID not found"))</f>
        <v>Louisville Mobile Market</v>
      </c>
      <c r="D249" s="35" t="s">
        <v>88</v>
      </c>
      <c r="E249" s="35" t="s">
        <v>80</v>
      </c>
      <c r="F249" s="36" t="n">
        <v>45940</v>
      </c>
      <c r="G249" s="35" t="n">
        <v>4</v>
      </c>
      <c r="H249" s="35" t="n">
        <v>4</v>
      </c>
      <c r="I249" s="35" t="n">
        <v>3</v>
      </c>
      <c r="J249" s="35" t="n">
        <v>4</v>
      </c>
      <c r="K249" s="35" t="n">
        <v>4</v>
      </c>
      <c r="L249" s="35" t="n">
        <v>3</v>
      </c>
      <c r="M249" s="50" t="n">
        <f aca="false">IF(COUNT(G249:L249)&lt;6,"",ROUND((G249*Rubric!$D$5+H249*Rubric!$D$6+I249*Rubric!$D$7+J249*Rubric!$D$8+K249*Rubric!$D$9+L249*Rubric!$D$10)/5*100,1))</f>
        <v>74</v>
      </c>
      <c r="N249" s="37" t="str">
        <f aca="false">IF(OR(B249="",D249=""),"",IFERROR(IF(IF(E249="Primary",INDEX(Applications!$I$5:$I$600,MATCH(B249,Applications!$A$5:$A$600,0)),IF(E249="Secondary",INDEX(Applications!$J$5:$J$600,MATCH(B249,Applications!$A$5:$A$600,0)),INDEX(Applications!$K$5:$K$600,MATCH(B249,Applications!$A$5:$A$600,0))))=D249,"OK","Not assigned"),"Check ID"))</f>
        <v>OK</v>
      </c>
      <c r="O249" s="7"/>
    </row>
    <row r="250" customFormat="false" ht="15" hidden="false" customHeight="false" outlineLevel="0" collapsed="false">
      <c r="A250" s="35" t="s">
        <v>1646</v>
      </c>
      <c r="B250" s="35" t="s">
        <v>172</v>
      </c>
      <c r="C250" s="37" t="str">
        <f aca="false">IF(B250="","",IFERROR(INDEX(Applications!$B$5:$B$600,MATCH(B250,Applications!$A$5:$A$600,0)),"Application ID not found"))</f>
        <v>Boise Farm Collective</v>
      </c>
      <c r="D250" s="35" t="s">
        <v>88</v>
      </c>
      <c r="E250" s="35" t="s">
        <v>80</v>
      </c>
      <c r="F250" s="36" t="n">
        <v>45940</v>
      </c>
      <c r="G250" s="35" t="n">
        <v>3</v>
      </c>
      <c r="H250" s="35" t="n">
        <v>3</v>
      </c>
      <c r="I250" s="35" t="n">
        <v>3</v>
      </c>
      <c r="J250" s="35" t="n">
        <v>3</v>
      </c>
      <c r="K250" s="35" t="n">
        <v>3</v>
      </c>
      <c r="L250" s="35" t="n">
        <v>3</v>
      </c>
      <c r="M250" s="50" t="n">
        <f aca="false">IF(COUNT(G250:L250)&lt;6,"",ROUND((G250*Rubric!$D$5+H250*Rubric!$D$6+I250*Rubric!$D$7+J250*Rubric!$D$8+K250*Rubric!$D$9+L250*Rubric!$D$10)/5*100,1))</f>
        <v>60</v>
      </c>
      <c r="N250" s="37" t="str">
        <f aca="false">IF(OR(B250="",D250=""),"",IFERROR(IF(IF(E250="Primary",INDEX(Applications!$I$5:$I$600,MATCH(B250,Applications!$A$5:$A$600,0)),IF(E250="Secondary",INDEX(Applications!$J$5:$J$600,MATCH(B250,Applications!$A$5:$A$600,0)),INDEX(Applications!$K$5:$K$600,MATCH(B250,Applications!$A$5:$A$600,0))))=D250,"OK","Not assigned"),"Check ID"))</f>
        <v>OK</v>
      </c>
      <c r="O250" s="7"/>
    </row>
    <row r="251" customFormat="false" ht="15" hidden="false" customHeight="false" outlineLevel="0" collapsed="false">
      <c r="A251" s="35" t="s">
        <v>1647</v>
      </c>
      <c r="B251" s="35" t="s">
        <v>1175</v>
      </c>
      <c r="C251" s="37" t="str">
        <f aca="false">IF(B251="","",IFERROR(INDEX(Applications!$B$5:$B$600,MATCH(B251,Applications!$A$5:$A$600,0)),"Application ID not found"))</f>
        <v>Saltgrass Farm School</v>
      </c>
      <c r="D251" s="35" t="s">
        <v>88</v>
      </c>
      <c r="E251" s="35" t="s">
        <v>80</v>
      </c>
      <c r="F251" s="36" t="n">
        <v>45940</v>
      </c>
      <c r="G251" s="35" t="n">
        <v>3</v>
      </c>
      <c r="H251" s="35" t="n">
        <v>3</v>
      </c>
      <c r="I251" s="35" t="n">
        <v>4</v>
      </c>
      <c r="J251" s="35" t="n">
        <v>3</v>
      </c>
      <c r="K251" s="35" t="n">
        <v>3</v>
      </c>
      <c r="L251" s="35" t="n">
        <v>4</v>
      </c>
      <c r="M251" s="50" t="n">
        <f aca="false">IF(COUNT(G251:L251)&lt;6,"",ROUND((G251*Rubric!$D$5+H251*Rubric!$D$6+I251*Rubric!$D$7+J251*Rubric!$D$8+K251*Rubric!$D$9+L251*Rubric!$D$10)/5*100,1))</f>
        <v>66</v>
      </c>
      <c r="N251" s="37" t="str">
        <f aca="false">IF(OR(B251="",D251=""),"",IFERROR(IF(IF(E251="Primary",INDEX(Applications!$I$5:$I$600,MATCH(B251,Applications!$A$5:$A$600,0)),IF(E251="Secondary",INDEX(Applications!$J$5:$J$600,MATCH(B251,Applications!$A$5:$A$600,0)),INDEX(Applications!$K$5:$K$600,MATCH(B251,Applications!$A$5:$A$600,0))))=D251,"OK","Not assigned"),"Check ID"))</f>
        <v>OK</v>
      </c>
      <c r="O251" s="7"/>
    </row>
    <row r="252" customFormat="false" ht="15" hidden="false" customHeight="false" outlineLevel="0" collapsed="false">
      <c r="A252" s="35" t="s">
        <v>1648</v>
      </c>
      <c r="B252" s="35" t="s">
        <v>693</v>
      </c>
      <c r="C252" s="37" t="str">
        <f aca="false">IF(B252="","",IFERROR(INDEX(Applications!$B$5:$B$600,MATCH(B252,Applications!$A$5:$A$600,0)),"Application ID not found"))</f>
        <v>Kumasi Mobile Market</v>
      </c>
      <c r="D252" s="35" t="s">
        <v>88</v>
      </c>
      <c r="E252" s="35" t="s">
        <v>80</v>
      </c>
      <c r="F252" s="36" t="n">
        <v>45940</v>
      </c>
      <c r="G252" s="35" t="n">
        <v>3</v>
      </c>
      <c r="H252" s="35" t="n">
        <v>3</v>
      </c>
      <c r="I252" s="35" t="n">
        <v>4</v>
      </c>
      <c r="J252" s="35" t="n">
        <v>3</v>
      </c>
      <c r="K252" s="35" t="n">
        <v>3</v>
      </c>
      <c r="L252" s="35" t="n">
        <v>3</v>
      </c>
      <c r="M252" s="50" t="n">
        <f aca="false">IF(COUNT(G252:L252)&lt;6,"",ROUND((G252*Rubric!$D$5+H252*Rubric!$D$6+I252*Rubric!$D$7+J252*Rubric!$D$8+K252*Rubric!$D$9+L252*Rubric!$D$10)/5*100,1))</f>
        <v>64</v>
      </c>
      <c r="N252" s="37" t="str">
        <f aca="false">IF(OR(B252="",D252=""),"",IFERROR(IF(IF(E252="Primary",INDEX(Applications!$I$5:$I$600,MATCH(B252,Applications!$A$5:$A$600,0)),IF(E252="Secondary",INDEX(Applications!$J$5:$J$600,MATCH(B252,Applications!$A$5:$A$600,0)),INDEX(Applications!$K$5:$K$600,MATCH(B252,Applications!$A$5:$A$600,0))))=D252,"OK","Not assigned"),"Check ID"))</f>
        <v>OK</v>
      </c>
      <c r="O252" s="7"/>
    </row>
    <row r="253" customFormat="false" ht="15" hidden="false" customHeight="false" outlineLevel="0" collapsed="false">
      <c r="A253" s="35" t="s">
        <v>1649</v>
      </c>
      <c r="B253" s="35" t="s">
        <v>200</v>
      </c>
      <c r="C253" s="37" t="str">
        <f aca="false">IF(B253="","",IFERROR(INDEX(Applications!$B$5:$B$600,MATCH(B253,Applications!$A$5:$A$600,0)),"Application ID not found"))</f>
        <v>Albany Schools Nutrition Fund</v>
      </c>
      <c r="D253" s="35" t="s">
        <v>88</v>
      </c>
      <c r="E253" s="35" t="s">
        <v>80</v>
      </c>
      <c r="F253" s="36" t="n">
        <v>45940</v>
      </c>
      <c r="G253" s="35" t="n">
        <v>4</v>
      </c>
      <c r="H253" s="35" t="n">
        <v>4</v>
      </c>
      <c r="I253" s="35" t="n">
        <v>4</v>
      </c>
      <c r="J253" s="35" t="n">
        <v>3</v>
      </c>
      <c r="K253" s="35" t="n">
        <v>4</v>
      </c>
      <c r="L253" s="35" t="n">
        <v>4</v>
      </c>
      <c r="M253" s="50" t="n">
        <f aca="false">IF(COUNT(G253:L253)&lt;6,"",ROUND((G253*Rubric!$D$5+H253*Rubric!$D$6+I253*Rubric!$D$7+J253*Rubric!$D$8+K253*Rubric!$D$9+L253*Rubric!$D$10)/5*100,1))</f>
        <v>77</v>
      </c>
      <c r="N253" s="37" t="str">
        <f aca="false">IF(OR(B253="",D253=""),"",IFERROR(IF(IF(E253="Primary",INDEX(Applications!$I$5:$I$600,MATCH(B253,Applications!$A$5:$A$600,0)),IF(E253="Secondary",INDEX(Applications!$J$5:$J$600,MATCH(B253,Applications!$A$5:$A$600,0)),INDEX(Applications!$K$5:$K$600,MATCH(B253,Applications!$A$5:$A$600,0))))=D253,"OK","Not assigned"),"Check ID"))</f>
        <v>OK</v>
      </c>
      <c r="O253" s="7"/>
    </row>
    <row r="254" customFormat="false" ht="15" hidden="false" customHeight="false" outlineLevel="0" collapsed="false">
      <c r="A254" s="35" t="s">
        <v>1650</v>
      </c>
      <c r="B254" s="35" t="s">
        <v>1241</v>
      </c>
      <c r="C254" s="37" t="str">
        <f aca="false">IF(B254="","",IFERROR(INDEX(Applications!$B$5:$B$600,MATCH(B254,Applications!$A$5:$A$600,0)),"Application ID not found"))</f>
        <v>Salvador Bakery Collective</v>
      </c>
      <c r="D254" s="35" t="s">
        <v>88</v>
      </c>
      <c r="E254" s="35" t="s">
        <v>83</v>
      </c>
      <c r="F254" s="36" t="n">
        <v>45940</v>
      </c>
      <c r="G254" s="35" t="n">
        <v>4</v>
      </c>
      <c r="H254" s="35" t="n">
        <v>3</v>
      </c>
      <c r="I254" s="35" t="n">
        <v>4</v>
      </c>
      <c r="J254" s="35" t="n">
        <v>4</v>
      </c>
      <c r="K254" s="35" t="n">
        <v>3</v>
      </c>
      <c r="L254" s="35" t="n">
        <v>4</v>
      </c>
      <c r="M254" s="50" t="n">
        <f aca="false">IF(COUNT(G254:L254)&lt;6,"",ROUND((G254*Rubric!$D$5+H254*Rubric!$D$6+I254*Rubric!$D$7+J254*Rubric!$D$8+K254*Rubric!$D$9+L254*Rubric!$D$10)/5*100,1))</f>
        <v>74</v>
      </c>
      <c r="N254" s="37" t="str">
        <f aca="false">IF(OR(B254="",D254=""),"",IFERROR(IF(IF(E254="Primary",INDEX(Applications!$I$5:$I$600,MATCH(B254,Applications!$A$5:$A$600,0)),IF(E254="Secondary",INDEX(Applications!$J$5:$J$600,MATCH(B254,Applications!$A$5:$A$600,0)),INDEX(Applications!$K$5:$K$600,MATCH(B254,Applications!$A$5:$A$600,0))))=D254,"OK","Not assigned"),"Check ID"))</f>
        <v>OK</v>
      </c>
      <c r="O254" s="7"/>
    </row>
    <row r="255" customFormat="false" ht="15" hidden="false" customHeight="false" outlineLevel="0" collapsed="false">
      <c r="A255" s="35" t="s">
        <v>1651</v>
      </c>
      <c r="B255" s="35" t="s">
        <v>879</v>
      </c>
      <c r="C255" s="37" t="str">
        <f aca="false">IF(B255="","",IFERROR(INDEX(Applications!$B$5:$B$600,MATCH(B255,Applications!$A$5:$A$600,0)),"Application ID not found"))</f>
        <v>Halifax Meals Project</v>
      </c>
      <c r="D255" s="35" t="s">
        <v>88</v>
      </c>
      <c r="E255" s="35" t="s">
        <v>80</v>
      </c>
      <c r="F255" s="36" t="n">
        <v>45940</v>
      </c>
      <c r="G255" s="35" t="n">
        <v>3</v>
      </c>
      <c r="H255" s="35" t="n">
        <v>3</v>
      </c>
      <c r="I255" s="35" t="n">
        <v>3</v>
      </c>
      <c r="J255" s="35" t="n">
        <v>3</v>
      </c>
      <c r="K255" s="35" t="n">
        <v>4</v>
      </c>
      <c r="L255" s="35" t="n">
        <v>3</v>
      </c>
      <c r="M255" s="50" t="n">
        <f aca="false">IF(COUNT(G255:L255)&lt;6,"",ROUND((G255*Rubric!$D$5+H255*Rubric!$D$6+I255*Rubric!$D$7+J255*Rubric!$D$8+K255*Rubric!$D$9+L255*Rubric!$D$10)/5*100,1))</f>
        <v>62</v>
      </c>
      <c r="N255" s="37" t="str">
        <f aca="false">IF(OR(B255="",D255=""),"",IFERROR(IF(IF(E255="Primary",INDEX(Applications!$I$5:$I$600,MATCH(B255,Applications!$A$5:$A$600,0)),IF(E255="Secondary",INDEX(Applications!$J$5:$J$600,MATCH(B255,Applications!$A$5:$A$600,0)),INDEX(Applications!$K$5:$K$600,MATCH(B255,Applications!$A$5:$A$600,0))))=D255,"OK","Not assigned"),"Check ID"))</f>
        <v>OK</v>
      </c>
      <c r="O255" s="7"/>
    </row>
    <row r="256" customFormat="false" ht="15" hidden="false" customHeight="false" outlineLevel="0" collapsed="false">
      <c r="A256" s="35" t="s">
        <v>1652</v>
      </c>
      <c r="B256" s="35" t="s">
        <v>1345</v>
      </c>
      <c r="C256" s="37" t="str">
        <f aca="false">IF(B256="","",IFERROR(INDEX(Applications!$B$5:$B$600,MATCH(B256,Applications!$A$5:$A$600,0)),"Application ID not found"))</f>
        <v>Albany Pantry Network</v>
      </c>
      <c r="D256" s="35" t="s">
        <v>88</v>
      </c>
      <c r="E256" s="35" t="s">
        <v>80</v>
      </c>
      <c r="F256" s="36" t="n">
        <v>45940</v>
      </c>
      <c r="G256" s="35" t="n">
        <v>4</v>
      </c>
      <c r="H256" s="35" t="n">
        <v>4</v>
      </c>
      <c r="I256" s="35" t="n">
        <v>4</v>
      </c>
      <c r="J256" s="35" t="n">
        <v>5</v>
      </c>
      <c r="K256" s="35" t="n">
        <v>4</v>
      </c>
      <c r="L256" s="35" t="n">
        <v>4</v>
      </c>
      <c r="M256" s="50" t="n">
        <f aca="false">IF(COUNT(G256:L256)&lt;6,"",ROUND((G256*Rubric!$D$5+H256*Rubric!$D$6+I256*Rubric!$D$7+J256*Rubric!$D$8+K256*Rubric!$D$9+L256*Rubric!$D$10)/5*100,1))</f>
        <v>83</v>
      </c>
      <c r="N256" s="37" t="str">
        <f aca="false">IF(OR(B256="",D256=""),"",IFERROR(IF(IF(E256="Primary",INDEX(Applications!$I$5:$I$600,MATCH(B256,Applications!$A$5:$A$600,0)),IF(E256="Secondary",INDEX(Applications!$J$5:$J$600,MATCH(B256,Applications!$A$5:$A$600,0)),INDEX(Applications!$K$5:$K$600,MATCH(B256,Applications!$A$5:$A$600,0))))=D256,"OK","Not assigned"),"Check ID"))</f>
        <v>OK</v>
      </c>
      <c r="O256" s="7"/>
    </row>
    <row r="257" customFormat="false" ht="15" hidden="false" customHeight="false" outlineLevel="0" collapsed="false">
      <c r="A257" s="35" t="s">
        <v>1653</v>
      </c>
      <c r="B257" s="35" t="s">
        <v>659</v>
      </c>
      <c r="C257" s="37" t="str">
        <f aca="false">IF(B257="","",IFERROR(INDEX(Applications!$B$5:$B$600,MATCH(B257,Applications!$A$5:$A$600,0)),"Application ID not found"))</f>
        <v>Ironwood Bakery Collective</v>
      </c>
      <c r="D257" s="35" t="s">
        <v>88</v>
      </c>
      <c r="E257" s="35" t="s">
        <v>83</v>
      </c>
      <c r="F257" s="36" t="n">
        <v>45940</v>
      </c>
      <c r="G257" s="35" t="n">
        <v>4</v>
      </c>
      <c r="H257" s="35" t="n">
        <v>3</v>
      </c>
      <c r="I257" s="35" t="n">
        <v>3</v>
      </c>
      <c r="J257" s="35" t="n">
        <v>4</v>
      </c>
      <c r="K257" s="35" t="n">
        <v>3</v>
      </c>
      <c r="L257" s="35" t="n">
        <v>4</v>
      </c>
      <c r="M257" s="50" t="n">
        <f aca="false">IF(COUNT(G257:L257)&lt;6,"",ROUND((G257*Rubric!$D$5+H257*Rubric!$D$6+I257*Rubric!$D$7+J257*Rubric!$D$8+K257*Rubric!$D$9+L257*Rubric!$D$10)/5*100,1))</f>
        <v>70</v>
      </c>
      <c r="N257" s="37" t="str">
        <f aca="false">IF(OR(B257="",D257=""),"",IFERROR(IF(IF(E257="Primary",INDEX(Applications!$I$5:$I$600,MATCH(B257,Applications!$A$5:$A$600,0)),IF(E257="Secondary",INDEX(Applications!$J$5:$J$600,MATCH(B257,Applications!$A$5:$A$600,0)),INDEX(Applications!$K$5:$K$600,MATCH(B257,Applications!$A$5:$A$600,0))))=D257,"OK","Not assigned"),"Check ID"))</f>
        <v>OK</v>
      </c>
      <c r="O257" s="7"/>
    </row>
    <row r="258" customFormat="false" ht="15" hidden="false" customHeight="false" outlineLevel="0" collapsed="false">
      <c r="A258" s="35" t="s">
        <v>1654</v>
      </c>
      <c r="B258" s="35" t="s">
        <v>1133</v>
      </c>
      <c r="C258" s="37" t="str">
        <f aca="false">IF(B258="","",IFERROR(INDEX(Applications!$B$5:$B$600,MATCH(B258,Applications!$A$5:$A$600,0)),"Application ID not found"))</f>
        <v>Des Moines Food Shelf</v>
      </c>
      <c r="D258" s="35" t="s">
        <v>88</v>
      </c>
      <c r="E258" s="35" t="s">
        <v>80</v>
      </c>
      <c r="F258" s="36" t="n">
        <v>45940</v>
      </c>
      <c r="G258" s="35" t="n">
        <v>4</v>
      </c>
      <c r="H258" s="35" t="n">
        <v>3</v>
      </c>
      <c r="I258" s="35" t="n">
        <v>3</v>
      </c>
      <c r="J258" s="35" t="n">
        <v>4</v>
      </c>
      <c r="K258" s="35" t="n">
        <v>3</v>
      </c>
      <c r="L258" s="35" t="n">
        <v>4</v>
      </c>
      <c r="M258" s="50" t="n">
        <f aca="false">IF(COUNT(G258:L258)&lt;6,"",ROUND((G258*Rubric!$D$5+H258*Rubric!$D$6+I258*Rubric!$D$7+J258*Rubric!$D$8+K258*Rubric!$D$9+L258*Rubric!$D$10)/5*100,1))</f>
        <v>70</v>
      </c>
      <c r="N258" s="37" t="str">
        <f aca="false">IF(OR(B258="",D258=""),"",IFERROR(IF(IF(E258="Primary",INDEX(Applications!$I$5:$I$600,MATCH(B258,Applications!$A$5:$A$600,0)),IF(E258="Secondary",INDEX(Applications!$J$5:$J$600,MATCH(B258,Applications!$A$5:$A$600,0)),INDEX(Applications!$K$5:$K$600,MATCH(B258,Applications!$A$5:$A$600,0))))=D258,"OK","Not assigned"),"Check ID"))</f>
        <v>OK</v>
      </c>
      <c r="O258" s="7"/>
    </row>
    <row r="259" customFormat="false" ht="15" hidden="false" customHeight="false" outlineLevel="0" collapsed="false">
      <c r="A259" s="35" t="s">
        <v>1655</v>
      </c>
      <c r="B259" s="35" t="s">
        <v>835</v>
      </c>
      <c r="C259" s="37" t="str">
        <f aca="false">IF(B259="","",IFERROR(INDEX(Applications!$B$5:$B$600,MATCH(B259,Applications!$A$5:$A$600,0)),"Application ID not found"))</f>
        <v>Dayton Farm Collective</v>
      </c>
      <c r="D259" s="35" t="s">
        <v>91</v>
      </c>
      <c r="E259" s="35" t="s">
        <v>80</v>
      </c>
      <c r="F259" s="36" t="n">
        <v>45940</v>
      </c>
      <c r="G259" s="35" t="n">
        <v>4</v>
      </c>
      <c r="H259" s="35" t="n">
        <v>3</v>
      </c>
      <c r="I259" s="35" t="n">
        <v>3</v>
      </c>
      <c r="J259" s="35" t="n">
        <v>3</v>
      </c>
      <c r="K259" s="35" t="n">
        <v>4</v>
      </c>
      <c r="L259" s="35" t="n">
        <v>3</v>
      </c>
      <c r="M259" s="50" t="n">
        <f aca="false">IF(COUNT(G259:L259)&lt;6,"",ROUND((G259*Rubric!$D$5+H259*Rubric!$D$6+I259*Rubric!$D$7+J259*Rubric!$D$8+K259*Rubric!$D$9+L259*Rubric!$D$10)/5*100,1))</f>
        <v>67</v>
      </c>
      <c r="N259" s="37" t="str">
        <f aca="false">IF(OR(B259="",D259=""),"",IFERROR(IF(IF(E259="Primary",INDEX(Applications!$I$5:$I$600,MATCH(B259,Applications!$A$5:$A$600,0)),IF(E259="Secondary",INDEX(Applications!$J$5:$J$600,MATCH(B259,Applications!$A$5:$A$600,0)),INDEX(Applications!$K$5:$K$600,MATCH(B259,Applications!$A$5:$A$600,0))))=D259,"OK","Not assigned"),"Check ID"))</f>
        <v>OK</v>
      </c>
      <c r="O259" s="7"/>
    </row>
    <row r="260" customFormat="false" ht="15" hidden="false" customHeight="false" outlineLevel="0" collapsed="false">
      <c r="A260" s="35" t="s">
        <v>1656</v>
      </c>
      <c r="B260" s="35" t="s">
        <v>589</v>
      </c>
      <c r="C260" s="37" t="str">
        <f aca="false">IF(B260="","",IFERROR(INDEX(Applications!$B$5:$B$600,MATCH(B260,Applications!$A$5:$A$600,0)),"Application ID not found"))</f>
        <v>Hamburg Cafe Training Program</v>
      </c>
      <c r="D260" s="35" t="s">
        <v>91</v>
      </c>
      <c r="E260" s="35" t="s">
        <v>80</v>
      </c>
      <c r="F260" s="36" t="n">
        <v>45940</v>
      </c>
      <c r="G260" s="35" t="n">
        <v>3</v>
      </c>
      <c r="H260" s="35" t="n">
        <v>3</v>
      </c>
      <c r="I260" s="35" t="n">
        <v>3</v>
      </c>
      <c r="J260" s="35" t="n">
        <v>3</v>
      </c>
      <c r="K260" s="35" t="n">
        <v>3</v>
      </c>
      <c r="L260" s="35" t="n">
        <v>3</v>
      </c>
      <c r="M260" s="50" t="n">
        <f aca="false">IF(COUNT(G260:L260)&lt;6,"",ROUND((G260*Rubric!$D$5+H260*Rubric!$D$6+I260*Rubric!$D$7+J260*Rubric!$D$8+K260*Rubric!$D$9+L260*Rubric!$D$10)/5*100,1))</f>
        <v>60</v>
      </c>
      <c r="N260" s="37" t="str">
        <f aca="false">IF(OR(B260="",D260=""),"",IFERROR(IF(IF(E260="Primary",INDEX(Applications!$I$5:$I$600,MATCH(B260,Applications!$A$5:$A$600,0)),IF(E260="Secondary",INDEX(Applications!$J$5:$J$600,MATCH(B260,Applications!$A$5:$A$600,0)),INDEX(Applications!$K$5:$K$600,MATCH(B260,Applications!$A$5:$A$600,0))))=D260,"OK","Not assigned"),"Check ID"))</f>
        <v>OK</v>
      </c>
      <c r="O260" s="7"/>
    </row>
    <row r="261" customFormat="false" ht="15" hidden="false" customHeight="false" outlineLevel="0" collapsed="false">
      <c r="A261" s="35" t="s">
        <v>1657</v>
      </c>
      <c r="B261" s="35" t="s">
        <v>347</v>
      </c>
      <c r="C261" s="37" t="str">
        <f aca="false">IF(B261="","",IFERROR(INDEX(Applications!$B$5:$B$600,MATCH(B261,Applications!$A$5:$A$600,0)),"Application ID not found"))</f>
        <v>Open Door Food Bank</v>
      </c>
      <c r="D261" s="35" t="s">
        <v>91</v>
      </c>
      <c r="E261" s="35" t="s">
        <v>83</v>
      </c>
      <c r="F261" s="36" t="n">
        <v>45940</v>
      </c>
      <c r="G261" s="35" t="n">
        <v>3</v>
      </c>
      <c r="H261" s="35" t="n">
        <v>3</v>
      </c>
      <c r="I261" s="35" t="n">
        <v>3</v>
      </c>
      <c r="J261" s="35" t="n">
        <v>3</v>
      </c>
      <c r="K261" s="35" t="n">
        <v>3</v>
      </c>
      <c r="L261" s="35" t="n">
        <v>3</v>
      </c>
      <c r="M261" s="50" t="n">
        <f aca="false">IF(COUNT(G261:L261)&lt;6,"",ROUND((G261*Rubric!$D$5+H261*Rubric!$D$6+I261*Rubric!$D$7+J261*Rubric!$D$8+K261*Rubric!$D$9+L261*Rubric!$D$10)/5*100,1))</f>
        <v>60</v>
      </c>
      <c r="N261" s="37" t="str">
        <f aca="false">IF(OR(B261="",D261=""),"",IFERROR(IF(IF(E261="Primary",INDEX(Applications!$I$5:$I$600,MATCH(B261,Applications!$A$5:$A$600,0)),IF(E261="Secondary",INDEX(Applications!$J$5:$J$600,MATCH(B261,Applications!$A$5:$A$600,0)),INDEX(Applications!$K$5:$K$600,MATCH(B261,Applications!$A$5:$A$600,0))))=D261,"OK","Not assigned"),"Check ID"))</f>
        <v>OK</v>
      </c>
      <c r="O261" s="7" t="s">
        <v>1493</v>
      </c>
    </row>
    <row r="262" customFormat="false" ht="15" hidden="false" customHeight="false" outlineLevel="0" collapsed="false">
      <c r="A262" s="35" t="s">
        <v>1658</v>
      </c>
      <c r="B262" s="35" t="s">
        <v>847</v>
      </c>
      <c r="C262" s="37" t="str">
        <f aca="false">IF(B262="","",IFERROR(INDEX(Applications!$B$5:$B$600,MATCH(B262,Applications!$A$5:$A$600,0)),"Application ID not found"))</f>
        <v>Lima Farm School</v>
      </c>
      <c r="D262" s="35" t="s">
        <v>91</v>
      </c>
      <c r="E262" s="35" t="s">
        <v>83</v>
      </c>
      <c r="F262" s="36" t="n">
        <v>45940</v>
      </c>
      <c r="G262" s="35" t="n">
        <v>4</v>
      </c>
      <c r="H262" s="35" t="n">
        <v>4</v>
      </c>
      <c r="I262" s="35" t="n">
        <v>5</v>
      </c>
      <c r="J262" s="35" t="n">
        <v>5</v>
      </c>
      <c r="K262" s="35" t="n">
        <v>5</v>
      </c>
      <c r="L262" s="35" t="n">
        <v>4</v>
      </c>
      <c r="M262" s="50" t="n">
        <f aca="false">IF(COUNT(G262:L262)&lt;6,"",ROUND((G262*Rubric!$D$5+H262*Rubric!$D$6+I262*Rubric!$D$7+J262*Rubric!$D$8+K262*Rubric!$D$9+L262*Rubric!$D$10)/5*100,1))</f>
        <v>89</v>
      </c>
      <c r="N262" s="37" t="str">
        <f aca="false">IF(OR(B262="",D262=""),"",IFERROR(IF(IF(E262="Primary",INDEX(Applications!$I$5:$I$600,MATCH(B262,Applications!$A$5:$A$600,0)),IF(E262="Secondary",INDEX(Applications!$J$5:$J$600,MATCH(B262,Applications!$A$5:$A$600,0)),INDEX(Applications!$K$5:$K$600,MATCH(B262,Applications!$A$5:$A$600,0))))=D262,"OK","Not assigned"),"Check ID"))</f>
        <v>OK</v>
      </c>
      <c r="O262" s="7"/>
    </row>
    <row r="263" customFormat="false" ht="15" hidden="false" customHeight="false" outlineLevel="0" collapsed="false">
      <c r="A263" s="35" t="s">
        <v>1659</v>
      </c>
      <c r="B263" s="35" t="s">
        <v>1285</v>
      </c>
      <c r="C263" s="37" t="str">
        <f aca="false">IF(B263="","",IFERROR(INDEX(Applications!$B$5:$B$600,MATCH(B263,Applications!$A$5:$A$600,0)),"Application ID not found"))</f>
        <v>Riverbend Youth Food Lab</v>
      </c>
      <c r="D263" s="35" t="s">
        <v>91</v>
      </c>
      <c r="E263" s="35" t="s">
        <v>80</v>
      </c>
      <c r="F263" s="36" t="n">
        <v>45940</v>
      </c>
      <c r="G263" s="35" t="n">
        <v>4</v>
      </c>
      <c r="H263" s="35" t="n">
        <v>4</v>
      </c>
      <c r="I263" s="35" t="n">
        <v>4</v>
      </c>
      <c r="J263" s="35" t="n">
        <v>4</v>
      </c>
      <c r="K263" s="35" t="n">
        <v>4</v>
      </c>
      <c r="L263" s="35" t="n">
        <v>4</v>
      </c>
      <c r="M263" s="50" t="n">
        <f aca="false">IF(COUNT(G263:L263)&lt;6,"",ROUND((G263*Rubric!$D$5+H263*Rubric!$D$6+I263*Rubric!$D$7+J263*Rubric!$D$8+K263*Rubric!$D$9+L263*Rubric!$D$10)/5*100,1))</f>
        <v>80</v>
      </c>
      <c r="N263" s="37" t="str">
        <f aca="false">IF(OR(B263="",D263=""),"",IFERROR(IF(IF(E263="Primary",INDEX(Applications!$I$5:$I$600,MATCH(B263,Applications!$A$5:$A$600,0)),IF(E263="Secondary",INDEX(Applications!$J$5:$J$600,MATCH(B263,Applications!$A$5:$A$600,0)),INDEX(Applications!$K$5:$K$600,MATCH(B263,Applications!$A$5:$A$600,0))))=D263,"OK","Not assigned"),"Check ID"))</f>
        <v>OK</v>
      </c>
      <c r="O263" s="7"/>
    </row>
    <row r="264" customFormat="false" ht="15" hidden="false" customHeight="false" outlineLevel="0" collapsed="false">
      <c r="A264" s="35" t="s">
        <v>1660</v>
      </c>
      <c r="B264" s="35" t="s">
        <v>380</v>
      </c>
      <c r="C264" s="37" t="str">
        <f aca="false">IF(B264="","",IFERROR(INDEX(Applications!$B$5:$B$600,MATCH(B264,Applications!$A$5:$A$600,0)),"Application ID not found"))</f>
        <v>Ironwood Mobile Market</v>
      </c>
      <c r="D264" s="35" t="s">
        <v>91</v>
      </c>
      <c r="E264" s="35" t="s">
        <v>80</v>
      </c>
      <c r="F264" s="36" t="n">
        <v>45940</v>
      </c>
      <c r="G264" s="35" t="n">
        <v>4</v>
      </c>
      <c r="H264" s="35" t="n">
        <v>4</v>
      </c>
      <c r="I264" s="35" t="n">
        <v>4</v>
      </c>
      <c r="J264" s="35" t="n">
        <v>4</v>
      </c>
      <c r="K264" s="35" t="n">
        <v>3</v>
      </c>
      <c r="L264" s="35" t="n">
        <v>4</v>
      </c>
      <c r="M264" s="50" t="n">
        <f aca="false">IF(COUNT(G264:L264)&lt;6,"",ROUND((G264*Rubric!$D$5+H264*Rubric!$D$6+I264*Rubric!$D$7+J264*Rubric!$D$8+K264*Rubric!$D$9+L264*Rubric!$D$10)/5*100,1))</f>
        <v>78</v>
      </c>
      <c r="N264" s="37" t="str">
        <f aca="false">IF(OR(B264="",D264=""),"",IFERROR(IF(IF(E264="Primary",INDEX(Applications!$I$5:$I$600,MATCH(B264,Applications!$A$5:$A$600,0)),IF(E264="Secondary",INDEX(Applications!$J$5:$J$600,MATCH(B264,Applications!$A$5:$A$600,0)),INDEX(Applications!$K$5:$K$600,MATCH(B264,Applications!$A$5:$A$600,0))))=D264,"OK","Not assigned"),"Check ID"))</f>
        <v>OK</v>
      </c>
      <c r="O264" s="7"/>
    </row>
    <row r="265" customFormat="false" ht="15" hidden="false" customHeight="false" outlineLevel="0" collapsed="false">
      <c r="A265" s="35" t="s">
        <v>1661</v>
      </c>
      <c r="B265" s="35" t="s">
        <v>1323</v>
      </c>
      <c r="C265" s="37" t="str">
        <f aca="false">IF(B265="","",IFERROR(INDEX(Applications!$B$5:$B$600,MATCH(B265,Applications!$A$5:$A$600,0)),"Application ID not found"))</f>
        <v>Guadalajara Seed Library</v>
      </c>
      <c r="D265" s="35" t="s">
        <v>91</v>
      </c>
      <c r="E265" s="35" t="s">
        <v>83</v>
      </c>
      <c r="F265" s="36" t="n">
        <v>45940</v>
      </c>
      <c r="G265" s="35" t="n">
        <v>3</v>
      </c>
      <c r="H265" s="35" t="n">
        <v>3</v>
      </c>
      <c r="I265" s="35" t="n">
        <v>2</v>
      </c>
      <c r="J265" s="35" t="n">
        <v>2</v>
      </c>
      <c r="K265" s="35" t="n">
        <v>3</v>
      </c>
      <c r="L265" s="35" t="n">
        <v>3</v>
      </c>
      <c r="M265" s="50" t="n">
        <f aca="false">IF(COUNT(G265:L265)&lt;6,"",ROUND((G265*Rubric!$D$5+H265*Rubric!$D$6+I265*Rubric!$D$7+J265*Rubric!$D$8+K265*Rubric!$D$9+L265*Rubric!$D$10)/5*100,1))</f>
        <v>53</v>
      </c>
      <c r="N265" s="37" t="str">
        <f aca="false">IF(OR(B265="",D265=""),"",IFERROR(IF(IF(E265="Primary",INDEX(Applications!$I$5:$I$600,MATCH(B265,Applications!$A$5:$A$600,0)),IF(E265="Secondary",INDEX(Applications!$J$5:$J$600,MATCH(B265,Applications!$A$5:$A$600,0)),INDEX(Applications!$K$5:$K$600,MATCH(B265,Applications!$A$5:$A$600,0))))=D265,"OK","Not assigned"),"Check ID"))</f>
        <v>OK</v>
      </c>
      <c r="O265" s="7"/>
    </row>
    <row r="266" customFormat="false" ht="15" hidden="false" customHeight="false" outlineLevel="0" collapsed="false">
      <c r="A266" s="35" t="s">
        <v>1662</v>
      </c>
      <c r="B266" s="35" t="s">
        <v>785</v>
      </c>
      <c r="C266" s="37" t="str">
        <f aca="false">IF(B266="","",IFERROR(INDEX(Applications!$B$5:$B$600,MATCH(B266,Applications!$A$5:$A$600,0)),"Application ID not found"))</f>
        <v>Cardiff Mobile Market</v>
      </c>
      <c r="D266" s="35" t="s">
        <v>91</v>
      </c>
      <c r="E266" s="35" t="s">
        <v>83</v>
      </c>
      <c r="F266" s="36" t="n">
        <v>45940</v>
      </c>
      <c r="G266" s="35" t="n">
        <v>5</v>
      </c>
      <c r="H266" s="35" t="n">
        <v>5</v>
      </c>
      <c r="I266" s="35" t="n">
        <v>4</v>
      </c>
      <c r="J266" s="35" t="n">
        <v>4</v>
      </c>
      <c r="K266" s="35" t="n">
        <v>4</v>
      </c>
      <c r="L266" s="35" t="n">
        <v>5</v>
      </c>
      <c r="M266" s="50" t="n">
        <f aca="false">IF(COUNT(G266:L266)&lt;6,"",ROUND((G266*Rubric!$D$5+H266*Rubric!$D$6+I266*Rubric!$D$7+J266*Rubric!$D$8+K266*Rubric!$D$9+L266*Rubric!$D$10)/5*100,1))</f>
        <v>91</v>
      </c>
      <c r="N266" s="37" t="str">
        <f aca="false">IF(OR(B266="",D266=""),"",IFERROR(IF(IF(E266="Primary",INDEX(Applications!$I$5:$I$600,MATCH(B266,Applications!$A$5:$A$600,0)),IF(E266="Secondary",INDEX(Applications!$J$5:$J$600,MATCH(B266,Applications!$A$5:$A$600,0)),INDEX(Applications!$K$5:$K$600,MATCH(B266,Applications!$A$5:$A$600,0))))=D266,"OK","Not assigned"),"Check ID"))</f>
        <v>OK</v>
      </c>
      <c r="O266" s="7"/>
    </row>
    <row r="267" customFormat="false" ht="15" hidden="false" customHeight="false" outlineLevel="0" collapsed="false">
      <c r="A267" s="35" t="s">
        <v>1663</v>
      </c>
      <c r="B267" s="35" t="s">
        <v>965</v>
      </c>
      <c r="C267" s="37" t="str">
        <f aca="false">IF(B267="","",IFERROR(INDEX(Applications!$B$5:$B$600,MATCH(B267,Applications!$A$5:$A$600,0)),"Application ID not found"))</f>
        <v>Toledo Youth Food Lab</v>
      </c>
      <c r="D267" s="35" t="s">
        <v>91</v>
      </c>
      <c r="E267" s="35" t="s">
        <v>80</v>
      </c>
      <c r="F267" s="36" t="n">
        <v>45940</v>
      </c>
      <c r="G267" s="35" t="n">
        <v>4</v>
      </c>
      <c r="H267" s="35" t="n">
        <v>4</v>
      </c>
      <c r="I267" s="35" t="n">
        <v>4</v>
      </c>
      <c r="J267" s="35" t="n">
        <v>4</v>
      </c>
      <c r="K267" s="35" t="n">
        <v>4</v>
      </c>
      <c r="L267" s="35" t="n">
        <v>4</v>
      </c>
      <c r="M267" s="50" t="n">
        <f aca="false">IF(COUNT(G267:L267)&lt;6,"",ROUND((G267*Rubric!$D$5+H267*Rubric!$D$6+I267*Rubric!$D$7+J267*Rubric!$D$8+K267*Rubric!$D$9+L267*Rubric!$D$10)/5*100,1))</f>
        <v>80</v>
      </c>
      <c r="N267" s="37" t="str">
        <f aca="false">IF(OR(B267="",D267=""),"",IFERROR(IF(IF(E267="Primary",INDEX(Applications!$I$5:$I$600,MATCH(B267,Applications!$A$5:$A$600,0)),IF(E267="Secondary",INDEX(Applications!$J$5:$J$600,MATCH(B267,Applications!$A$5:$A$600,0)),INDEX(Applications!$K$5:$K$600,MATCH(B267,Applications!$A$5:$A$600,0))))=D267,"OK","Not assigned"),"Check ID"))</f>
        <v>OK</v>
      </c>
      <c r="O267" s="7"/>
    </row>
    <row r="268" customFormat="false" ht="15" hidden="false" customHeight="false" outlineLevel="0" collapsed="false">
      <c r="A268" s="35" t="s">
        <v>1664</v>
      </c>
      <c r="B268" s="35" t="s">
        <v>1193</v>
      </c>
      <c r="C268" s="37" t="str">
        <f aca="false">IF(B268="","",IFERROR(INDEX(Applications!$B$5:$B$600,MATCH(B268,Applications!$A$5:$A$600,0)),"Application ID not found"))</f>
        <v>Oak Hollow Farm Collective</v>
      </c>
      <c r="D268" s="35" t="s">
        <v>91</v>
      </c>
      <c r="E268" s="35" t="s">
        <v>83</v>
      </c>
      <c r="F268" s="36" t="n">
        <v>45940</v>
      </c>
      <c r="G268" s="35" t="n">
        <v>5</v>
      </c>
      <c r="H268" s="35" t="n">
        <v>4</v>
      </c>
      <c r="I268" s="35" t="n">
        <v>4</v>
      </c>
      <c r="J268" s="35" t="n">
        <v>4</v>
      </c>
      <c r="K268" s="35" t="n">
        <v>4</v>
      </c>
      <c r="L268" s="35" t="n">
        <v>4</v>
      </c>
      <c r="M268" s="50" t="n">
        <f aca="false">IF(COUNT(G268:L268)&lt;6,"",ROUND((G268*Rubric!$D$5+H268*Rubric!$D$6+I268*Rubric!$D$7+J268*Rubric!$D$8+K268*Rubric!$D$9+L268*Rubric!$D$10)/5*100,1))</f>
        <v>85</v>
      </c>
      <c r="N268" s="37" t="str">
        <f aca="false">IF(OR(B268="",D268=""),"",IFERROR(IF(IF(E268="Primary",INDEX(Applications!$I$5:$I$600,MATCH(B268,Applications!$A$5:$A$600,0)),IF(E268="Secondary",INDEX(Applications!$J$5:$J$600,MATCH(B268,Applications!$A$5:$A$600,0)),INDEX(Applications!$K$5:$K$600,MATCH(B268,Applications!$A$5:$A$600,0))))=D268,"OK","Not assigned"),"Check ID"))</f>
        <v>OK</v>
      </c>
      <c r="O268" s="7"/>
    </row>
    <row r="269" customFormat="false" ht="15" hidden="false" customHeight="false" outlineLevel="0" collapsed="false">
      <c r="A269" s="35" t="s">
        <v>1665</v>
      </c>
      <c r="B269" s="35" t="s">
        <v>250</v>
      </c>
      <c r="C269" s="37" t="str">
        <f aca="false">IF(B269="","",IFERROR(INDEX(Applications!$B$5:$B$600,MATCH(B269,Applications!$A$5:$A$600,0)),"Application ID not found"))</f>
        <v>Dublin Food Ventures</v>
      </c>
      <c r="D269" s="35" t="s">
        <v>91</v>
      </c>
      <c r="E269" s="35" t="s">
        <v>83</v>
      </c>
      <c r="F269" s="36" t="n">
        <v>45940</v>
      </c>
      <c r="G269" s="35" t="n">
        <v>4</v>
      </c>
      <c r="H269" s="35" t="n">
        <v>4</v>
      </c>
      <c r="I269" s="35" t="n">
        <v>5</v>
      </c>
      <c r="J269" s="35" t="n">
        <v>5</v>
      </c>
      <c r="K269" s="35" t="n">
        <v>5</v>
      </c>
      <c r="L269" s="35" t="n">
        <v>5</v>
      </c>
      <c r="M269" s="50" t="n">
        <f aca="false">IF(COUNT(G269:L269)&lt;6,"",ROUND((G269*Rubric!$D$5+H269*Rubric!$D$6+I269*Rubric!$D$7+J269*Rubric!$D$8+K269*Rubric!$D$9+L269*Rubric!$D$10)/5*100,1))</f>
        <v>91</v>
      </c>
      <c r="N269" s="37" t="str">
        <f aca="false">IF(OR(B269="",D269=""),"",IFERROR(IF(IF(E269="Primary",INDEX(Applications!$I$5:$I$600,MATCH(B269,Applications!$A$5:$A$600,0)),IF(E269="Secondary",INDEX(Applications!$J$5:$J$600,MATCH(B269,Applications!$A$5:$A$600,0)),INDEX(Applications!$K$5:$K$600,MATCH(B269,Applications!$A$5:$A$600,0))))=D269,"OK","Not assigned"),"Check ID"))</f>
        <v>OK</v>
      </c>
      <c r="O269" s="7"/>
    </row>
    <row r="270" customFormat="false" ht="15" hidden="false" customHeight="false" outlineLevel="0" collapsed="false">
      <c r="A270" s="35" t="s">
        <v>1666</v>
      </c>
      <c r="B270" s="35" t="s">
        <v>540</v>
      </c>
      <c r="C270" s="37" t="str">
        <f aca="false">IF(B270="","",IFERROR(INDEX(Applications!$B$5:$B$600,MATCH(B270,Applications!$A$5:$A$600,0)),"Application ID not found"))</f>
        <v>Oak Hollow Food Bank</v>
      </c>
      <c r="D270" s="35" t="s">
        <v>91</v>
      </c>
      <c r="E270" s="35" t="s">
        <v>80</v>
      </c>
      <c r="F270" s="36" t="n">
        <v>45940</v>
      </c>
      <c r="G270" s="35" t="n">
        <v>5</v>
      </c>
      <c r="H270" s="35" t="n">
        <v>4</v>
      </c>
      <c r="I270" s="35" t="n">
        <v>4</v>
      </c>
      <c r="J270" s="35" t="n">
        <v>4</v>
      </c>
      <c r="K270" s="35" t="n">
        <v>4</v>
      </c>
      <c r="L270" s="35" t="n">
        <v>4</v>
      </c>
      <c r="M270" s="50" t="n">
        <f aca="false">IF(COUNT(G270:L270)&lt;6,"",ROUND((G270*Rubric!$D$5+H270*Rubric!$D$6+I270*Rubric!$D$7+J270*Rubric!$D$8+K270*Rubric!$D$9+L270*Rubric!$D$10)/5*100,1))</f>
        <v>85</v>
      </c>
      <c r="N270" s="37" t="str">
        <f aca="false">IF(OR(B270="",D270=""),"",IFERROR(IF(IF(E270="Primary",INDEX(Applications!$I$5:$I$600,MATCH(B270,Applications!$A$5:$A$600,0)),IF(E270="Secondary",INDEX(Applications!$J$5:$J$600,MATCH(B270,Applications!$A$5:$A$600,0)),INDEX(Applications!$K$5:$K$600,MATCH(B270,Applications!$A$5:$A$600,0))))=D270,"OK","Not assigned"),"Check ID"))</f>
        <v>OK</v>
      </c>
      <c r="O270" s="7"/>
    </row>
    <row r="271" customFormat="false" ht="15" hidden="false" customHeight="false" outlineLevel="0" collapsed="false">
      <c r="A271" s="35" t="s">
        <v>1667</v>
      </c>
      <c r="B271" s="35" t="s">
        <v>599</v>
      </c>
      <c r="C271" s="37" t="str">
        <f aca="false">IF(B271="","",IFERROR(INDEX(Applications!$B$5:$B$600,MATCH(B271,Applications!$A$5:$A$600,0)),"Application ID not found"))</f>
        <v>Linden Pantry Network</v>
      </c>
      <c r="D271" s="35" t="s">
        <v>91</v>
      </c>
      <c r="E271" s="35" t="s">
        <v>80</v>
      </c>
      <c r="F271" s="36" t="n">
        <v>45940</v>
      </c>
      <c r="G271" s="35" t="n">
        <v>4</v>
      </c>
      <c r="H271" s="35" t="n">
        <v>4</v>
      </c>
      <c r="I271" s="35" t="n">
        <v>5</v>
      </c>
      <c r="J271" s="35" t="n">
        <v>5</v>
      </c>
      <c r="K271" s="35" t="n">
        <v>4</v>
      </c>
      <c r="L271" s="35" t="n">
        <v>5</v>
      </c>
      <c r="M271" s="50" t="n">
        <f aca="false">IF(COUNT(G271:L271)&lt;6,"",ROUND((G271*Rubric!$D$5+H271*Rubric!$D$6+I271*Rubric!$D$7+J271*Rubric!$D$8+K271*Rubric!$D$9+L271*Rubric!$D$10)/5*100,1))</f>
        <v>89</v>
      </c>
      <c r="N271" s="37" t="str">
        <f aca="false">IF(OR(B271="",D271=""),"",IFERROR(IF(IF(E271="Primary",INDEX(Applications!$I$5:$I$600,MATCH(B271,Applications!$A$5:$A$600,0)),IF(E271="Secondary",INDEX(Applications!$J$5:$J$600,MATCH(B271,Applications!$A$5:$A$600,0)),INDEX(Applications!$K$5:$K$600,MATCH(B271,Applications!$A$5:$A$600,0))))=D271,"OK","Not assigned"),"Check ID"))</f>
        <v>OK</v>
      </c>
      <c r="O271" s="7"/>
    </row>
    <row r="272" customFormat="false" ht="15" hidden="false" customHeight="false" outlineLevel="0" collapsed="false">
      <c r="A272" s="35" t="s">
        <v>1668</v>
      </c>
      <c r="B272" s="35" t="s">
        <v>969</v>
      </c>
      <c r="C272" s="37" t="str">
        <f aca="false">IF(B272="","",IFERROR(INDEX(Applications!$B$5:$B$600,MATCH(B272,Applications!$A$5:$A$600,0)),"Application ID not found"))</f>
        <v>Davao Seed Library</v>
      </c>
      <c r="D272" s="35" t="s">
        <v>91</v>
      </c>
      <c r="E272" s="35" t="s">
        <v>80</v>
      </c>
      <c r="F272" s="36" t="n">
        <v>45940</v>
      </c>
      <c r="G272" s="35" t="n">
        <v>4</v>
      </c>
      <c r="H272" s="35" t="n">
        <v>3</v>
      </c>
      <c r="I272" s="35" t="n">
        <v>4</v>
      </c>
      <c r="J272" s="35" t="n">
        <v>4</v>
      </c>
      <c r="K272" s="35" t="n">
        <v>4</v>
      </c>
      <c r="L272" s="35" t="n">
        <v>3</v>
      </c>
      <c r="M272" s="50" t="n">
        <f aca="false">IF(COUNT(G272:L272)&lt;6,"",ROUND((G272*Rubric!$D$5+H272*Rubric!$D$6+I272*Rubric!$D$7+J272*Rubric!$D$8+K272*Rubric!$D$9+L272*Rubric!$D$10)/5*100,1))</f>
        <v>74</v>
      </c>
      <c r="N272" s="37" t="str">
        <f aca="false">IF(OR(B272="",D272=""),"",IFERROR(IF(IF(E272="Primary",INDEX(Applications!$I$5:$I$600,MATCH(B272,Applications!$A$5:$A$600,0)),IF(E272="Secondary",INDEX(Applications!$J$5:$J$600,MATCH(B272,Applications!$A$5:$A$600,0)),INDEX(Applications!$K$5:$K$600,MATCH(B272,Applications!$A$5:$A$600,0))))=D272,"OK","Not assigned"),"Check ID"))</f>
        <v>OK</v>
      </c>
      <c r="O272" s="7"/>
    </row>
    <row r="273" customFormat="false" ht="15" hidden="false" customHeight="false" outlineLevel="0" collapsed="false">
      <c r="A273" s="35" t="s">
        <v>1669</v>
      </c>
      <c r="B273" s="35" t="s">
        <v>1203</v>
      </c>
      <c r="C273" s="37" t="str">
        <f aca="false">IF(B273="","",IFERROR(INDEX(Applications!$B$5:$B$600,MATCH(B273,Applications!$A$5:$A$600,0)),"Application ID not found"))</f>
        <v>Omaha Farm School</v>
      </c>
      <c r="D273" s="35" t="s">
        <v>94</v>
      </c>
      <c r="E273" s="35" t="s">
        <v>80</v>
      </c>
      <c r="F273" s="36" t="n">
        <v>45940</v>
      </c>
      <c r="G273" s="35" t="n">
        <v>3</v>
      </c>
      <c r="H273" s="35" t="n">
        <v>3</v>
      </c>
      <c r="I273" s="35" t="n">
        <v>3</v>
      </c>
      <c r="J273" s="35" t="n">
        <v>3</v>
      </c>
      <c r="K273" s="35" t="n">
        <v>3</v>
      </c>
      <c r="L273" s="35" t="n">
        <v>3</v>
      </c>
      <c r="M273" s="50" t="n">
        <f aca="false">IF(COUNT(G273:L273)&lt;6,"",ROUND((G273*Rubric!$D$5+H273*Rubric!$D$6+I273*Rubric!$D$7+J273*Rubric!$D$8+K273*Rubric!$D$9+L273*Rubric!$D$10)/5*100,1))</f>
        <v>60</v>
      </c>
      <c r="N273" s="37" t="str">
        <f aca="false">IF(OR(B273="",D273=""),"",IFERROR(IF(IF(E273="Primary",INDEX(Applications!$I$5:$I$600,MATCH(B273,Applications!$A$5:$A$600,0)),IF(E273="Secondary",INDEX(Applications!$J$5:$J$600,MATCH(B273,Applications!$A$5:$A$600,0)),INDEX(Applications!$K$5:$K$600,MATCH(B273,Applications!$A$5:$A$600,0))))=D273,"OK","Not assigned"),"Check ID"))</f>
        <v>OK</v>
      </c>
      <c r="O273" s="7"/>
    </row>
    <row r="274" customFormat="false" ht="15" hidden="false" customHeight="false" outlineLevel="0" collapsed="false">
      <c r="A274" s="35" t="s">
        <v>1670</v>
      </c>
      <c r="B274" s="35" t="s">
        <v>430</v>
      </c>
      <c r="C274" s="37" t="str">
        <f aca="false">IF(B274="","",IFERROR(INDEX(Applications!$B$5:$B$600,MATCH(B274,Applications!$A$5:$A$600,0)),"Application ID not found"))</f>
        <v>High Plains Pantry Network</v>
      </c>
      <c r="D274" s="35" t="s">
        <v>94</v>
      </c>
      <c r="E274" s="35" t="s">
        <v>83</v>
      </c>
      <c r="F274" s="36" t="n">
        <v>45940</v>
      </c>
      <c r="G274" s="35" t="n">
        <v>3</v>
      </c>
      <c r="H274" s="35" t="n">
        <v>3</v>
      </c>
      <c r="I274" s="35" t="n">
        <v>3</v>
      </c>
      <c r="J274" s="35" t="n">
        <v>3</v>
      </c>
      <c r="K274" s="35" t="n">
        <v>4</v>
      </c>
      <c r="L274" s="35" t="n">
        <v>3</v>
      </c>
      <c r="M274" s="50" t="n">
        <f aca="false">IF(COUNT(G274:L274)&lt;6,"",ROUND((G274*Rubric!$D$5+H274*Rubric!$D$6+I274*Rubric!$D$7+J274*Rubric!$D$8+K274*Rubric!$D$9+L274*Rubric!$D$10)/5*100,1))</f>
        <v>62</v>
      </c>
      <c r="N274" s="37" t="str">
        <f aca="false">IF(OR(B274="",D274=""),"",IFERROR(IF(IF(E274="Primary",INDEX(Applications!$I$5:$I$600,MATCH(B274,Applications!$A$5:$A$600,0)),IF(E274="Secondary",INDEX(Applications!$J$5:$J$600,MATCH(B274,Applications!$A$5:$A$600,0)),INDEX(Applications!$K$5:$K$600,MATCH(B274,Applications!$A$5:$A$600,0))))=D274,"OK","Not assigned"),"Check ID"))</f>
        <v>OK</v>
      </c>
      <c r="O274" s="7"/>
    </row>
    <row r="275" customFormat="false" ht="15" hidden="false" customHeight="false" outlineLevel="0" collapsed="false">
      <c r="A275" s="35" t="s">
        <v>1671</v>
      </c>
      <c r="B275" s="35" t="s">
        <v>1319</v>
      </c>
      <c r="C275" s="37" t="str">
        <f aca="false">IF(B275="","",IFERROR(INDEX(Applications!$B$5:$B$600,MATCH(B275,Applications!$A$5:$A$600,0)),"Application ID not found"))</f>
        <v>Boise Cafe Training Program</v>
      </c>
      <c r="D275" s="35" t="s">
        <v>94</v>
      </c>
      <c r="E275" s="35" t="s">
        <v>83</v>
      </c>
      <c r="F275" s="36" t="n">
        <v>45940</v>
      </c>
      <c r="G275" s="35" t="n">
        <v>3</v>
      </c>
      <c r="H275" s="35" t="n">
        <v>2</v>
      </c>
      <c r="I275" s="35" t="n">
        <v>3</v>
      </c>
      <c r="J275" s="35" t="n">
        <v>3</v>
      </c>
      <c r="K275" s="35" t="n">
        <v>3</v>
      </c>
      <c r="L275" s="35" t="n">
        <v>3</v>
      </c>
      <c r="M275" s="50" t="n">
        <f aca="false">IF(COUNT(G275:L275)&lt;6,"",ROUND((G275*Rubric!$D$5+H275*Rubric!$D$6+I275*Rubric!$D$7+J275*Rubric!$D$8+K275*Rubric!$D$9+L275*Rubric!$D$10)/5*100,1))</f>
        <v>56</v>
      </c>
      <c r="N275" s="37" t="str">
        <f aca="false">IF(OR(B275="",D275=""),"",IFERROR(IF(IF(E275="Primary",INDEX(Applications!$I$5:$I$600,MATCH(B275,Applications!$A$5:$A$600,0)),IF(E275="Secondary",INDEX(Applications!$J$5:$J$600,MATCH(B275,Applications!$A$5:$A$600,0)),INDEX(Applications!$K$5:$K$600,MATCH(B275,Applications!$A$5:$A$600,0))))=D275,"OK","Not assigned"),"Check ID"))</f>
        <v>OK</v>
      </c>
      <c r="O275" s="7" t="s">
        <v>1416</v>
      </c>
    </row>
    <row r="276" customFormat="false" ht="15" hidden="false" customHeight="false" outlineLevel="0" collapsed="false">
      <c r="A276" s="35" t="s">
        <v>1672</v>
      </c>
      <c r="B276" s="35" t="s">
        <v>524</v>
      </c>
      <c r="C276" s="37" t="str">
        <f aca="false">IF(B276="","",IFERROR(INDEX(Applications!$B$5:$B$600,MATCH(B276,Applications!$A$5:$A$600,0)),"Application ID not found"))</f>
        <v>Utrecht Market Gardens</v>
      </c>
      <c r="D276" s="35" t="s">
        <v>94</v>
      </c>
      <c r="E276" s="35" t="s">
        <v>83</v>
      </c>
      <c r="F276" s="36" t="n">
        <v>45940</v>
      </c>
      <c r="G276" s="35" t="n">
        <v>4</v>
      </c>
      <c r="H276" s="35" t="n">
        <v>5</v>
      </c>
      <c r="I276" s="35" t="n">
        <v>4</v>
      </c>
      <c r="J276" s="35" t="n">
        <v>4</v>
      </c>
      <c r="K276" s="35" t="n">
        <v>4</v>
      </c>
      <c r="L276" s="35" t="n">
        <v>5</v>
      </c>
      <c r="M276" s="50" t="n">
        <f aca="false">IF(COUNT(G276:L276)&lt;6,"",ROUND((G276*Rubric!$D$5+H276*Rubric!$D$6+I276*Rubric!$D$7+J276*Rubric!$D$8+K276*Rubric!$D$9+L276*Rubric!$D$10)/5*100,1))</f>
        <v>86</v>
      </c>
      <c r="N276" s="37" t="str">
        <f aca="false">IF(OR(B276="",D276=""),"",IFERROR(IF(IF(E276="Primary",INDEX(Applications!$I$5:$I$600,MATCH(B276,Applications!$A$5:$A$600,0)),IF(E276="Secondary",INDEX(Applications!$J$5:$J$600,MATCH(B276,Applications!$A$5:$A$600,0)),INDEX(Applications!$K$5:$K$600,MATCH(B276,Applications!$A$5:$A$600,0))))=D276,"OK","Not assigned"),"Check ID"))</f>
        <v>OK</v>
      </c>
      <c r="O276" s="7" t="s">
        <v>1428</v>
      </c>
    </row>
    <row r="277" customFormat="false" ht="15" hidden="false" customHeight="false" outlineLevel="0" collapsed="false">
      <c r="A277" s="35" t="s">
        <v>1673</v>
      </c>
      <c r="B277" s="35" t="s">
        <v>1139</v>
      </c>
      <c r="C277" s="37" t="str">
        <f aca="false">IF(B277="","",IFERROR(INDEX(Applications!$B$5:$B$600,MATCH(B277,Applications!$A$5:$A$600,0)),"Application ID not found"))</f>
        <v>Riverbend Market Gardens</v>
      </c>
      <c r="D277" s="35" t="s">
        <v>94</v>
      </c>
      <c r="E277" s="35" t="s">
        <v>80</v>
      </c>
      <c r="F277" s="36" t="n">
        <v>45940</v>
      </c>
      <c r="G277" s="35" t="n">
        <v>5</v>
      </c>
      <c r="H277" s="35" t="n">
        <v>5</v>
      </c>
      <c r="I277" s="35" t="n">
        <v>5</v>
      </c>
      <c r="J277" s="35" t="n">
        <v>4</v>
      </c>
      <c r="K277" s="35" t="n">
        <v>4</v>
      </c>
      <c r="L277" s="35" t="n">
        <v>4</v>
      </c>
      <c r="M277" s="50" t="n">
        <f aca="false">IF(COUNT(G277:L277)&lt;6,"",ROUND((G277*Rubric!$D$5+H277*Rubric!$D$6+I277*Rubric!$D$7+J277*Rubric!$D$8+K277*Rubric!$D$9+L277*Rubric!$D$10)/5*100,1))</f>
        <v>93</v>
      </c>
      <c r="N277" s="37" t="str">
        <f aca="false">IF(OR(B277="",D277=""),"",IFERROR(IF(IF(E277="Primary",INDEX(Applications!$I$5:$I$600,MATCH(B277,Applications!$A$5:$A$600,0)),IF(E277="Secondary",INDEX(Applications!$J$5:$J$600,MATCH(B277,Applications!$A$5:$A$600,0)),INDEX(Applications!$K$5:$K$600,MATCH(B277,Applications!$A$5:$A$600,0))))=D277,"OK","Not assigned"),"Check ID"))</f>
        <v>OK</v>
      </c>
      <c r="O277" s="7"/>
    </row>
    <row r="278" customFormat="false" ht="15" hidden="false" customHeight="false" outlineLevel="0" collapsed="false">
      <c r="A278" s="35" t="s">
        <v>1674</v>
      </c>
      <c r="B278" s="35" t="s">
        <v>458</v>
      </c>
      <c r="C278" s="37" t="str">
        <f aca="false">IF(B278="","",IFERROR(INDEX(Applications!$B$5:$B$600,MATCH(B278,Applications!$A$5:$A$600,0)),"Application ID not found"))</f>
        <v>Regina Kitchen Project</v>
      </c>
      <c r="D278" s="35" t="s">
        <v>94</v>
      </c>
      <c r="E278" s="35" t="s">
        <v>80</v>
      </c>
      <c r="F278" s="36" t="n">
        <v>45940</v>
      </c>
      <c r="G278" s="35" t="n">
        <v>4</v>
      </c>
      <c r="H278" s="35" t="n">
        <v>3</v>
      </c>
      <c r="I278" s="35" t="n">
        <v>2</v>
      </c>
      <c r="J278" s="35" t="n">
        <v>2</v>
      </c>
      <c r="K278" s="35" t="n">
        <v>3</v>
      </c>
      <c r="L278" s="35" t="n">
        <v>4</v>
      </c>
      <c r="M278" s="50" t="n">
        <f aca="false">IF(COUNT(G278:L278)&lt;6,"",ROUND((G278*Rubric!$D$5+H278*Rubric!$D$6+I278*Rubric!$D$7+J278*Rubric!$D$8+K278*Rubric!$D$9+L278*Rubric!$D$10)/5*100,1))</f>
        <v>60</v>
      </c>
      <c r="N278" s="37" t="str">
        <f aca="false">IF(OR(B278="",D278=""),"",IFERROR(IF(IF(E278="Primary",INDEX(Applications!$I$5:$I$600,MATCH(B278,Applications!$A$5:$A$600,0)),IF(E278="Secondary",INDEX(Applications!$J$5:$J$600,MATCH(B278,Applications!$A$5:$A$600,0)),INDEX(Applications!$K$5:$K$600,MATCH(B278,Applications!$A$5:$A$600,0))))=D278,"OK","Not assigned"),"Check ID"))</f>
        <v>OK</v>
      </c>
      <c r="O278" s="7"/>
    </row>
    <row r="279" customFormat="false" ht="15" hidden="false" customHeight="false" outlineLevel="0" collapsed="false">
      <c r="A279" s="35" t="s">
        <v>1675</v>
      </c>
      <c r="B279" s="35" t="s">
        <v>412</v>
      </c>
      <c r="C279" s="37" t="str">
        <f aca="false">IF(B279="","",IFERROR(INDEX(Applications!$B$5:$B$600,MATCH(B279,Applications!$A$5:$A$600,0)),"Application ID not found"))</f>
        <v>Cardiff Meals Project</v>
      </c>
      <c r="D279" s="35" t="s">
        <v>85</v>
      </c>
      <c r="E279" s="35" t="s">
        <v>80</v>
      </c>
      <c r="F279" s="36" t="n">
        <v>45940</v>
      </c>
      <c r="G279" s="35" t="n">
        <v>4</v>
      </c>
      <c r="H279" s="35" t="n">
        <v>4</v>
      </c>
      <c r="I279" s="35" t="n">
        <v>2</v>
      </c>
      <c r="J279" s="35" t="n">
        <v>3</v>
      </c>
      <c r="K279" s="35" t="n">
        <v>3</v>
      </c>
      <c r="L279" s="35" t="n">
        <v>3</v>
      </c>
      <c r="M279" s="50" t="n">
        <f aca="false">IF(COUNT(G279:L279)&lt;6,"",ROUND((G279*Rubric!$D$5+H279*Rubric!$D$6+I279*Rubric!$D$7+J279*Rubric!$D$8+K279*Rubric!$D$9+L279*Rubric!$D$10)/5*100,1))</f>
        <v>65</v>
      </c>
      <c r="N279" s="37" t="str">
        <f aca="false">IF(OR(B279="",D279=""),"",IFERROR(IF(IF(E279="Primary",INDEX(Applications!$I$5:$I$600,MATCH(B279,Applications!$A$5:$A$600,0)),IF(E279="Secondary",INDEX(Applications!$J$5:$J$600,MATCH(B279,Applications!$A$5:$A$600,0)),INDEX(Applications!$K$5:$K$600,MATCH(B279,Applications!$A$5:$A$600,0))))=D279,"OK","Not assigned"),"Check ID"))</f>
        <v>OK</v>
      </c>
      <c r="O279" s="7"/>
    </row>
    <row r="280" customFormat="false" ht="15" hidden="false" customHeight="false" outlineLevel="0" collapsed="false">
      <c r="A280" s="35" t="s">
        <v>1676</v>
      </c>
      <c r="B280" s="35" t="s">
        <v>325</v>
      </c>
      <c r="C280" s="37" t="str">
        <f aca="false">IF(B280="","",IFERROR(INDEX(Applications!$B$5:$B$600,MATCH(B280,Applications!$A$5:$A$600,0)),"Application ID not found"))</f>
        <v>Willow Run Community Kitchen</v>
      </c>
      <c r="D280" s="35" t="s">
        <v>85</v>
      </c>
      <c r="E280" s="35" t="s">
        <v>80</v>
      </c>
      <c r="F280" s="36" t="n">
        <v>45940</v>
      </c>
      <c r="G280" s="35" t="n">
        <v>4</v>
      </c>
      <c r="H280" s="35" t="n">
        <v>3</v>
      </c>
      <c r="I280" s="35" t="n">
        <v>4</v>
      </c>
      <c r="J280" s="35" t="n">
        <v>4</v>
      </c>
      <c r="K280" s="35" t="n">
        <v>4</v>
      </c>
      <c r="L280" s="35" t="n">
        <v>4</v>
      </c>
      <c r="M280" s="50" t="n">
        <f aca="false">IF(COUNT(G280:L280)&lt;6,"",ROUND((G280*Rubric!$D$5+H280*Rubric!$D$6+I280*Rubric!$D$7+J280*Rubric!$D$8+K280*Rubric!$D$9+L280*Rubric!$D$10)/5*100,1))</f>
        <v>76</v>
      </c>
      <c r="N280" s="37" t="str">
        <f aca="false">IF(OR(B280="",D280=""),"",IFERROR(IF(IF(E280="Primary",INDEX(Applications!$I$5:$I$600,MATCH(B280,Applications!$A$5:$A$600,0)),IF(E280="Secondary",INDEX(Applications!$J$5:$J$600,MATCH(B280,Applications!$A$5:$A$600,0)),INDEX(Applications!$K$5:$K$600,MATCH(B280,Applications!$A$5:$A$600,0))))=D280,"OK","Not assigned"),"Check ID"))</f>
        <v>OK</v>
      </c>
      <c r="O280" s="7"/>
    </row>
    <row r="281" customFormat="false" ht="15" hidden="false" customHeight="false" outlineLevel="0" collapsed="false">
      <c r="A281" s="35" t="s">
        <v>1677</v>
      </c>
      <c r="B281" s="35" t="s">
        <v>1363</v>
      </c>
      <c r="C281" s="37" t="str">
        <f aca="false">IF(B281="","",IFERROR(INDEX(Applications!$B$5:$B$600,MATCH(B281,Applications!$A$5:$A$600,0)),"Application ID not found"))</f>
        <v>Detroit Farm Collective</v>
      </c>
      <c r="D281" s="35" t="s">
        <v>85</v>
      </c>
      <c r="E281" s="35" t="s">
        <v>83</v>
      </c>
      <c r="F281" s="36" t="n">
        <v>45940</v>
      </c>
      <c r="G281" s="35" t="n">
        <v>5</v>
      </c>
      <c r="H281" s="35" t="n">
        <v>3</v>
      </c>
      <c r="I281" s="35" t="n">
        <v>4</v>
      </c>
      <c r="J281" s="35" t="n">
        <v>3</v>
      </c>
      <c r="K281" s="35" t="n">
        <v>3</v>
      </c>
      <c r="L281" s="35" t="n">
        <v>3</v>
      </c>
      <c r="M281" s="50" t="n">
        <f aca="false">IF(COUNT(G281:L281)&lt;6,"",ROUND((G281*Rubric!$D$5+H281*Rubric!$D$6+I281*Rubric!$D$7+J281*Rubric!$D$8+K281*Rubric!$D$9+L281*Rubric!$D$10)/5*100,1))</f>
        <v>74</v>
      </c>
      <c r="N281" s="37" t="str">
        <f aca="false">IF(OR(B281="",D281=""),"",IFERROR(IF(IF(E281="Primary",INDEX(Applications!$I$5:$I$600,MATCH(B281,Applications!$A$5:$A$600,0)),IF(E281="Secondary",INDEX(Applications!$J$5:$J$600,MATCH(B281,Applications!$A$5:$A$600,0)),INDEX(Applications!$K$5:$K$600,MATCH(B281,Applications!$A$5:$A$600,0))))=D281,"OK","Not assigned"),"Check ID"))</f>
        <v>OK</v>
      </c>
      <c r="O281" s="7"/>
    </row>
    <row r="282" customFormat="false" ht="15" hidden="false" customHeight="false" outlineLevel="0" collapsed="false">
      <c r="A282" s="35" t="s">
        <v>1678</v>
      </c>
      <c r="B282" s="35" t="s">
        <v>452</v>
      </c>
      <c r="C282" s="37" t="str">
        <f aca="false">IF(B282="","",IFERROR(INDEX(Applications!$B$5:$B$600,MATCH(B282,Applications!$A$5:$A$600,0)),"Application ID not found"))</f>
        <v>Bridgeview Meals Project</v>
      </c>
      <c r="D282" s="35" t="s">
        <v>85</v>
      </c>
      <c r="E282" s="35" t="s">
        <v>83</v>
      </c>
      <c r="F282" s="36" t="n">
        <v>45940</v>
      </c>
      <c r="G282" s="35" t="n">
        <v>4</v>
      </c>
      <c r="H282" s="35" t="n">
        <v>4</v>
      </c>
      <c r="I282" s="35" t="n">
        <v>4</v>
      </c>
      <c r="J282" s="35" t="n">
        <v>5</v>
      </c>
      <c r="K282" s="35" t="n">
        <v>4</v>
      </c>
      <c r="L282" s="35" t="n">
        <v>4</v>
      </c>
      <c r="M282" s="50" t="n">
        <f aca="false">IF(COUNT(G282:L282)&lt;6,"",ROUND((G282*Rubric!$D$5+H282*Rubric!$D$6+I282*Rubric!$D$7+J282*Rubric!$D$8+K282*Rubric!$D$9+L282*Rubric!$D$10)/5*100,1))</f>
        <v>83</v>
      </c>
      <c r="N282" s="37" t="str">
        <f aca="false">IF(OR(B282="",D282=""),"",IFERROR(IF(IF(E282="Primary",INDEX(Applications!$I$5:$I$600,MATCH(B282,Applications!$A$5:$A$600,0)),IF(E282="Secondary",INDEX(Applications!$J$5:$J$600,MATCH(B282,Applications!$A$5:$A$600,0)),INDEX(Applications!$K$5:$K$600,MATCH(B282,Applications!$A$5:$A$600,0))))=D282,"OK","Not assigned"),"Check ID"))</f>
        <v>OK</v>
      </c>
      <c r="O282" s="7"/>
    </row>
    <row r="283" customFormat="false" ht="15" hidden="false" customHeight="false" outlineLevel="0" collapsed="false">
      <c r="A283" s="35" t="s">
        <v>1679</v>
      </c>
      <c r="B283" s="35" t="s">
        <v>637</v>
      </c>
      <c r="C283" s="37" t="str">
        <f aca="false">IF(B283="","",IFERROR(INDEX(Applications!$B$5:$B$600,MATCH(B283,Applications!$A$5:$A$600,0)),"Application ID not found"))</f>
        <v>Old Town Food Ventures</v>
      </c>
      <c r="D283" s="35" t="s">
        <v>85</v>
      </c>
      <c r="E283" s="35" t="s">
        <v>80</v>
      </c>
      <c r="F283" s="36" t="n">
        <v>45940</v>
      </c>
      <c r="G283" s="35" t="n">
        <v>2</v>
      </c>
      <c r="H283" s="35" t="n">
        <v>2</v>
      </c>
      <c r="I283" s="35" t="n">
        <v>2</v>
      </c>
      <c r="J283" s="35" t="n">
        <v>2</v>
      </c>
      <c r="K283" s="35" t="n">
        <v>2</v>
      </c>
      <c r="L283" s="35" t="n">
        <v>2</v>
      </c>
      <c r="M283" s="50" t="n">
        <f aca="false">IF(COUNT(G283:L283)&lt;6,"",ROUND((G283*Rubric!$D$5+H283*Rubric!$D$6+I283*Rubric!$D$7+J283*Rubric!$D$8+K283*Rubric!$D$9+L283*Rubric!$D$10)/5*100,1))</f>
        <v>40</v>
      </c>
      <c r="N283" s="37" t="str">
        <f aca="false">IF(OR(B283="",D283=""),"",IFERROR(IF(IF(E283="Primary",INDEX(Applications!$I$5:$I$600,MATCH(B283,Applications!$A$5:$A$600,0)),IF(E283="Secondary",INDEX(Applications!$J$5:$J$600,MATCH(B283,Applications!$A$5:$A$600,0)),INDEX(Applications!$K$5:$K$600,MATCH(B283,Applications!$A$5:$A$600,0))))=D283,"OK","Not assigned"),"Check ID"))</f>
        <v>OK</v>
      </c>
      <c r="O283" s="7"/>
    </row>
    <row r="284" customFormat="false" ht="15" hidden="false" customHeight="false" outlineLevel="0" collapsed="false">
      <c r="A284" s="35" t="s">
        <v>1680</v>
      </c>
      <c r="B284" s="35" t="s">
        <v>1159</v>
      </c>
      <c r="C284" s="37" t="str">
        <f aca="false">IF(B284="","",IFERROR(INDEX(Applications!$B$5:$B$600,MATCH(B284,Applications!$A$5:$A$600,0)),"Application ID not found"))</f>
        <v>Parkside Food Shelf</v>
      </c>
      <c r="D284" s="35" t="s">
        <v>85</v>
      </c>
      <c r="E284" s="35" t="s">
        <v>83</v>
      </c>
      <c r="F284" s="36" t="n">
        <v>45940</v>
      </c>
      <c r="G284" s="35" t="n">
        <v>3</v>
      </c>
      <c r="H284" s="35" t="n">
        <v>3</v>
      </c>
      <c r="I284" s="35" t="n">
        <v>3</v>
      </c>
      <c r="J284" s="35" t="n">
        <v>3</v>
      </c>
      <c r="K284" s="35" t="n">
        <v>3</v>
      </c>
      <c r="L284" s="35" t="n">
        <v>3</v>
      </c>
      <c r="M284" s="50" t="n">
        <f aca="false">IF(COUNT(G284:L284)&lt;6,"",ROUND((G284*Rubric!$D$5+H284*Rubric!$D$6+I284*Rubric!$D$7+J284*Rubric!$D$8+K284*Rubric!$D$9+L284*Rubric!$D$10)/5*100,1))</f>
        <v>60</v>
      </c>
      <c r="N284" s="37" t="str">
        <f aca="false">IF(OR(B284="",D284=""),"",IFERROR(IF(IF(E284="Primary",INDEX(Applications!$I$5:$I$600,MATCH(B284,Applications!$A$5:$A$600,0)),IF(E284="Secondary",INDEX(Applications!$J$5:$J$600,MATCH(B284,Applications!$A$5:$A$600,0)),INDEX(Applications!$K$5:$K$600,MATCH(B284,Applications!$A$5:$A$600,0))))=D284,"OK","Not assigned"),"Check ID"))</f>
        <v>OK</v>
      </c>
      <c r="O284" s="7"/>
    </row>
    <row r="285" customFormat="false" ht="15" hidden="false" customHeight="false" outlineLevel="0" collapsed="false">
      <c r="A285" s="35" t="s">
        <v>1681</v>
      </c>
      <c r="B285" s="35" t="s">
        <v>351</v>
      </c>
      <c r="C285" s="37" t="str">
        <f aca="false">IF(B285="","",IFERROR(INDEX(Applications!$B$5:$B$600,MATCH(B285,Applications!$A$5:$A$600,0)),"Application ID not found"))</f>
        <v>Dayton Youth Food Lab</v>
      </c>
      <c r="D285" s="35" t="s">
        <v>85</v>
      </c>
      <c r="E285" s="35" t="s">
        <v>83</v>
      </c>
      <c r="F285" s="36" t="n">
        <v>45940</v>
      </c>
      <c r="G285" s="35" t="n">
        <v>4</v>
      </c>
      <c r="H285" s="35" t="n">
        <v>5</v>
      </c>
      <c r="I285" s="35" t="n">
        <v>5</v>
      </c>
      <c r="J285" s="35" t="n">
        <v>5</v>
      </c>
      <c r="K285" s="35" t="n">
        <v>4</v>
      </c>
      <c r="L285" s="35" t="n">
        <v>5</v>
      </c>
      <c r="M285" s="50" t="n">
        <f aca="false">IF(COUNT(G285:L285)&lt;6,"",ROUND((G285*Rubric!$D$5+H285*Rubric!$D$6+I285*Rubric!$D$7+J285*Rubric!$D$8+K285*Rubric!$D$9+L285*Rubric!$D$10)/5*100,1))</f>
        <v>93</v>
      </c>
      <c r="N285" s="37" t="str">
        <f aca="false">IF(OR(B285="",D285=""),"",IFERROR(IF(IF(E285="Primary",INDEX(Applications!$I$5:$I$600,MATCH(B285,Applications!$A$5:$A$600,0)),IF(E285="Secondary",INDEX(Applications!$J$5:$J$600,MATCH(B285,Applications!$A$5:$A$600,0)),INDEX(Applications!$K$5:$K$600,MATCH(B285,Applications!$A$5:$A$600,0))))=D285,"OK","Not assigned"),"Check ID"))</f>
        <v>OK</v>
      </c>
      <c r="O285" s="7"/>
    </row>
    <row r="286" customFormat="false" ht="15" hidden="false" customHeight="false" outlineLevel="0" collapsed="false">
      <c r="A286" s="35" t="s">
        <v>1682</v>
      </c>
      <c r="B286" s="35" t="s">
        <v>763</v>
      </c>
      <c r="C286" s="37" t="str">
        <f aca="false">IF(B286="","",IFERROR(INDEX(Applications!$B$5:$B$600,MATCH(B286,Applications!$A$5:$A$600,0)),"Application ID not found"))</f>
        <v>Northside Family Center</v>
      </c>
      <c r="D286" s="35" t="s">
        <v>85</v>
      </c>
      <c r="E286" s="35" t="s">
        <v>80</v>
      </c>
      <c r="F286" s="36" t="n">
        <v>45940</v>
      </c>
      <c r="G286" s="35" t="n">
        <v>3</v>
      </c>
      <c r="H286" s="35" t="n">
        <v>3</v>
      </c>
      <c r="I286" s="35" t="n">
        <v>3</v>
      </c>
      <c r="J286" s="35" t="n">
        <v>3</v>
      </c>
      <c r="K286" s="35" t="n">
        <v>3</v>
      </c>
      <c r="L286" s="35" t="n">
        <v>3</v>
      </c>
      <c r="M286" s="50" t="n">
        <f aca="false">IF(COUNT(G286:L286)&lt;6,"",ROUND((G286*Rubric!$D$5+H286*Rubric!$D$6+I286*Rubric!$D$7+J286*Rubric!$D$8+K286*Rubric!$D$9+L286*Rubric!$D$10)/5*100,1))</f>
        <v>60</v>
      </c>
      <c r="N286" s="37" t="str">
        <f aca="false">IF(OR(B286="",D286=""),"",IFERROR(IF(IF(E286="Primary",INDEX(Applications!$I$5:$I$600,MATCH(B286,Applications!$A$5:$A$600,0)),IF(E286="Secondary",INDEX(Applications!$J$5:$J$600,MATCH(B286,Applications!$A$5:$A$600,0)),INDEX(Applications!$K$5:$K$600,MATCH(B286,Applications!$A$5:$A$600,0))))=D286,"OK","Not assigned"),"Check ID"))</f>
        <v>OK</v>
      </c>
      <c r="O286" s="7"/>
    </row>
    <row r="287" customFormat="false" ht="15" hidden="false" customHeight="false" outlineLevel="0" collapsed="false">
      <c r="A287" s="35" t="s">
        <v>1683</v>
      </c>
      <c r="B287" s="35" t="s">
        <v>1123</v>
      </c>
      <c r="C287" s="37" t="str">
        <f aca="false">IF(B287="","",IFERROR(INDEX(Applications!$B$5:$B$600,MATCH(B287,Applications!$A$5:$A$600,0)),"Application ID not found"))</f>
        <v>Greenway Seed Library</v>
      </c>
      <c r="D287" s="35" t="s">
        <v>85</v>
      </c>
      <c r="E287" s="35" t="s">
        <v>83</v>
      </c>
      <c r="F287" s="36" t="n">
        <v>45940</v>
      </c>
      <c r="G287" s="35" t="n">
        <v>4</v>
      </c>
      <c r="H287" s="35" t="n">
        <v>4</v>
      </c>
      <c r="I287" s="35" t="n">
        <v>4</v>
      </c>
      <c r="J287" s="35" t="n">
        <v>5</v>
      </c>
      <c r="K287" s="35" t="n">
        <v>4</v>
      </c>
      <c r="L287" s="35" t="n">
        <v>4</v>
      </c>
      <c r="M287" s="50" t="n">
        <f aca="false">IF(COUNT(G287:L287)&lt;6,"",ROUND((G287*Rubric!$D$5+H287*Rubric!$D$6+I287*Rubric!$D$7+J287*Rubric!$D$8+K287*Rubric!$D$9+L287*Rubric!$D$10)/5*100,1))</f>
        <v>83</v>
      </c>
      <c r="N287" s="37" t="str">
        <f aca="false">IF(OR(B287="",D287=""),"",IFERROR(IF(IF(E287="Primary",INDEX(Applications!$I$5:$I$600,MATCH(B287,Applications!$A$5:$A$600,0)),IF(E287="Secondary",INDEX(Applications!$J$5:$J$600,MATCH(B287,Applications!$A$5:$A$600,0)),INDEX(Applications!$K$5:$K$600,MATCH(B287,Applications!$A$5:$A$600,0))))=D287,"OK","Not assigned"),"Check ID"))</f>
        <v>OK</v>
      </c>
      <c r="O287" s="7" t="s">
        <v>1437</v>
      </c>
    </row>
    <row r="288" customFormat="false" ht="15" hidden="false" customHeight="false" outlineLevel="0" collapsed="false">
      <c r="A288" s="35" t="s">
        <v>1684</v>
      </c>
      <c r="B288" s="35" t="s">
        <v>661</v>
      </c>
      <c r="C288" s="37" t="str">
        <f aca="false">IF(B288="","",IFERROR(INDEX(Applications!$B$5:$B$600,MATCH(B288,Applications!$A$5:$A$600,0)),"Application ID not found"))</f>
        <v>Regina Youth Food Lab</v>
      </c>
      <c r="D288" s="35" t="s">
        <v>85</v>
      </c>
      <c r="E288" s="35" t="s">
        <v>80</v>
      </c>
      <c r="F288" s="36" t="n">
        <v>45940</v>
      </c>
      <c r="G288" s="35" t="n">
        <v>3</v>
      </c>
      <c r="H288" s="35" t="n">
        <v>3</v>
      </c>
      <c r="I288" s="35" t="n">
        <v>3</v>
      </c>
      <c r="J288" s="35" t="n">
        <v>2</v>
      </c>
      <c r="K288" s="35" t="n">
        <v>3</v>
      </c>
      <c r="L288" s="35" t="n">
        <v>4</v>
      </c>
      <c r="M288" s="50" t="n">
        <f aca="false">IF(COUNT(G288:L288)&lt;6,"",ROUND((G288*Rubric!$D$5+H288*Rubric!$D$6+I288*Rubric!$D$7+J288*Rubric!$D$8+K288*Rubric!$D$9+L288*Rubric!$D$10)/5*100,1))</f>
        <v>59</v>
      </c>
      <c r="N288" s="37" t="str">
        <f aca="false">IF(OR(B288="",D288=""),"",IFERROR(IF(IF(E288="Primary",INDEX(Applications!$I$5:$I$600,MATCH(B288,Applications!$A$5:$A$600,0)),IF(E288="Secondary",INDEX(Applications!$J$5:$J$600,MATCH(B288,Applications!$A$5:$A$600,0)),INDEX(Applications!$K$5:$K$600,MATCH(B288,Applications!$A$5:$A$600,0))))=D288,"OK","Not assigned"),"Check ID"))</f>
        <v>OK</v>
      </c>
      <c r="O288" s="7"/>
    </row>
    <row r="289" customFormat="false" ht="15" hidden="false" customHeight="false" outlineLevel="0" collapsed="false">
      <c r="A289" s="35" t="s">
        <v>1685</v>
      </c>
      <c r="B289" s="35" t="s">
        <v>309</v>
      </c>
      <c r="C289" s="37" t="str">
        <f aca="false">IF(B289="","",IFERROR(INDEX(Applications!$B$5:$B$600,MATCH(B289,Applications!$A$5:$A$600,0)),"Application ID not found"))</f>
        <v>Copper Hill Food Shelf</v>
      </c>
      <c r="D289" s="35" t="s">
        <v>85</v>
      </c>
      <c r="E289" s="35" t="s">
        <v>83</v>
      </c>
      <c r="F289" s="36" t="n">
        <v>45940</v>
      </c>
      <c r="G289" s="35" t="n">
        <v>5</v>
      </c>
      <c r="H289" s="35" t="n">
        <v>5</v>
      </c>
      <c r="I289" s="35" t="n">
        <v>5</v>
      </c>
      <c r="J289" s="35" t="n">
        <v>5</v>
      </c>
      <c r="K289" s="35" t="n">
        <v>4</v>
      </c>
      <c r="L289" s="35" t="n">
        <v>5</v>
      </c>
      <c r="M289" s="50" t="n">
        <f aca="false">IF(COUNT(G289:L289)&lt;6,"",ROUND((G289*Rubric!$D$5+H289*Rubric!$D$6+I289*Rubric!$D$7+J289*Rubric!$D$8+K289*Rubric!$D$9+L289*Rubric!$D$10)/5*100,1))</f>
        <v>98</v>
      </c>
      <c r="N289" s="37" t="str">
        <f aca="false">IF(OR(B289="",D289=""),"",IFERROR(IF(IF(E289="Primary",INDEX(Applications!$I$5:$I$600,MATCH(B289,Applications!$A$5:$A$600,0)),IF(E289="Secondary",INDEX(Applications!$J$5:$J$600,MATCH(B289,Applications!$A$5:$A$600,0)),INDEX(Applications!$K$5:$K$600,MATCH(B289,Applications!$A$5:$A$600,0))))=D289,"OK","Not assigned"),"Check ID"))</f>
        <v>OK</v>
      </c>
      <c r="O289" s="7"/>
    </row>
    <row r="290" customFormat="false" ht="15" hidden="false" customHeight="false" outlineLevel="0" collapsed="false">
      <c r="A290" s="35" t="s">
        <v>1686</v>
      </c>
      <c r="B290" s="35" t="s">
        <v>1007</v>
      </c>
      <c r="C290" s="37" t="str">
        <f aca="false">IF(B290="","",IFERROR(INDEX(Applications!$B$5:$B$600,MATCH(B290,Applications!$A$5:$A$600,0)),"Application ID not found"))</f>
        <v>Tidewater Growers Cooperative</v>
      </c>
      <c r="D290" s="35" t="s">
        <v>85</v>
      </c>
      <c r="E290" s="35" t="s">
        <v>80</v>
      </c>
      <c r="F290" s="36" t="n">
        <v>45940</v>
      </c>
      <c r="G290" s="35" t="n">
        <v>4</v>
      </c>
      <c r="H290" s="35" t="n">
        <v>3</v>
      </c>
      <c r="I290" s="35" t="n">
        <v>3</v>
      </c>
      <c r="J290" s="35" t="n">
        <v>3</v>
      </c>
      <c r="K290" s="35" t="n">
        <v>4</v>
      </c>
      <c r="L290" s="35" t="n">
        <v>3</v>
      </c>
      <c r="M290" s="50" t="n">
        <f aca="false">IF(COUNT(G290:L290)&lt;6,"",ROUND((G290*Rubric!$D$5+H290*Rubric!$D$6+I290*Rubric!$D$7+J290*Rubric!$D$8+K290*Rubric!$D$9+L290*Rubric!$D$10)/5*100,1))</f>
        <v>67</v>
      </c>
      <c r="N290" s="37" t="str">
        <f aca="false">IF(OR(B290="",D290=""),"",IFERROR(IF(IF(E290="Primary",INDEX(Applications!$I$5:$I$600,MATCH(B290,Applications!$A$5:$A$600,0)),IF(E290="Secondary",INDEX(Applications!$J$5:$J$600,MATCH(B290,Applications!$A$5:$A$600,0)),INDEX(Applications!$K$5:$K$600,MATCH(B290,Applications!$A$5:$A$600,0))))=D290,"OK","Not assigned"),"Check ID"))</f>
        <v>OK</v>
      </c>
      <c r="O290" s="7"/>
    </row>
    <row r="291" customFormat="false" ht="15" hidden="false" customHeight="false" outlineLevel="0" collapsed="false">
      <c r="A291" s="35" t="s">
        <v>1687</v>
      </c>
      <c r="B291" s="35" t="s">
        <v>703</v>
      </c>
      <c r="C291" s="37" t="str">
        <f aca="false">IF(B291="","",IFERROR(INDEX(Applications!$B$5:$B$600,MATCH(B291,Applications!$A$5:$A$600,0)),"Application ID not found"))</f>
        <v>Lantern Seed Library</v>
      </c>
      <c r="D291" s="35" t="s">
        <v>85</v>
      </c>
      <c r="E291" s="35" t="s">
        <v>80</v>
      </c>
      <c r="F291" s="36" t="n">
        <v>45940</v>
      </c>
      <c r="G291" s="35" t="n">
        <v>3</v>
      </c>
      <c r="H291" s="35" t="n">
        <v>3</v>
      </c>
      <c r="I291" s="35" t="n">
        <v>4</v>
      </c>
      <c r="J291" s="35" t="n">
        <v>4</v>
      </c>
      <c r="K291" s="35" t="n">
        <v>3</v>
      </c>
      <c r="L291" s="35" t="n">
        <v>3</v>
      </c>
      <c r="M291" s="50" t="n">
        <f aca="false">IF(COUNT(G291:L291)&lt;6,"",ROUND((G291*Rubric!$D$5+H291*Rubric!$D$6+I291*Rubric!$D$7+J291*Rubric!$D$8+K291*Rubric!$D$9+L291*Rubric!$D$10)/5*100,1))</f>
        <v>67</v>
      </c>
      <c r="N291" s="37" t="str">
        <f aca="false">IF(OR(B291="",D291=""),"",IFERROR(IF(IF(E291="Primary",INDEX(Applications!$I$5:$I$600,MATCH(B291,Applications!$A$5:$A$600,0)),IF(E291="Secondary",INDEX(Applications!$J$5:$J$600,MATCH(B291,Applications!$A$5:$A$600,0)),INDEX(Applications!$K$5:$K$600,MATCH(B291,Applications!$A$5:$A$600,0))))=D291,"OK","Not assigned"),"Check ID"))</f>
        <v>OK</v>
      </c>
      <c r="O291" s="7" t="s">
        <v>1426</v>
      </c>
    </row>
    <row r="292" customFormat="false" ht="15" hidden="false" customHeight="false" outlineLevel="0" collapsed="false">
      <c r="A292" s="35" t="s">
        <v>1688</v>
      </c>
      <c r="B292" s="35" t="s">
        <v>791</v>
      </c>
      <c r="C292" s="37" t="str">
        <f aca="false">IF(B292="","",IFERROR(INDEX(Applications!$B$5:$B$600,MATCH(B292,Applications!$A$5:$A$600,0)),"Application ID not found"))</f>
        <v>Akron Kitchen Project</v>
      </c>
      <c r="D292" s="35" t="s">
        <v>85</v>
      </c>
      <c r="E292" s="35" t="s">
        <v>80</v>
      </c>
      <c r="F292" s="36" t="n">
        <v>45940</v>
      </c>
      <c r="G292" s="35" t="n">
        <v>4</v>
      </c>
      <c r="H292" s="35" t="n">
        <v>4</v>
      </c>
      <c r="I292" s="35" t="n">
        <v>4</v>
      </c>
      <c r="J292" s="35" t="n">
        <v>4</v>
      </c>
      <c r="K292" s="35" t="n">
        <v>4</v>
      </c>
      <c r="L292" s="35" t="n">
        <v>4</v>
      </c>
      <c r="M292" s="50" t="n">
        <f aca="false">IF(COUNT(G292:L292)&lt;6,"",ROUND((G292*Rubric!$D$5+H292*Rubric!$D$6+I292*Rubric!$D$7+J292*Rubric!$D$8+K292*Rubric!$D$9+L292*Rubric!$D$10)/5*100,1))</f>
        <v>80</v>
      </c>
      <c r="N292" s="37" t="str">
        <f aca="false">IF(OR(B292="",D292=""),"",IFERROR(IF(IF(E292="Primary",INDEX(Applications!$I$5:$I$600,MATCH(B292,Applications!$A$5:$A$600,0)),IF(E292="Secondary",INDEX(Applications!$J$5:$J$600,MATCH(B292,Applications!$A$5:$A$600,0)),INDEX(Applications!$K$5:$K$600,MATCH(B292,Applications!$A$5:$A$600,0))))=D292,"OK","Not assigned"),"Check ID"))</f>
        <v>OK</v>
      </c>
      <c r="O292" s="7"/>
    </row>
    <row r="293" customFormat="false" ht="15" hidden="false" customHeight="false" outlineLevel="0" collapsed="false">
      <c r="A293" s="35" t="s">
        <v>1689</v>
      </c>
      <c r="B293" s="35" t="s">
        <v>1275</v>
      </c>
      <c r="C293" s="37" t="str">
        <f aca="false">IF(B293="","",IFERROR(INDEX(Applications!$B$5:$B$600,MATCH(B293,Applications!$A$5:$A$600,0)),"Application ID not found"))</f>
        <v>Marigold Bakery Collective</v>
      </c>
      <c r="D293" s="35" t="s">
        <v>85</v>
      </c>
      <c r="E293" s="35" t="s">
        <v>83</v>
      </c>
      <c r="F293" s="36" t="n">
        <v>45940</v>
      </c>
      <c r="G293" s="35" t="n">
        <v>2</v>
      </c>
      <c r="H293" s="35" t="n">
        <v>1</v>
      </c>
      <c r="I293" s="35" t="n">
        <v>1</v>
      </c>
      <c r="J293" s="35" t="n">
        <v>2</v>
      </c>
      <c r="K293" s="35" t="n">
        <v>1</v>
      </c>
      <c r="L293" s="35" t="n">
        <v>1</v>
      </c>
      <c r="M293" s="50" t="n">
        <f aca="false">IF(COUNT(G293:L293)&lt;6,"",ROUND((G293*Rubric!$D$5+H293*Rubric!$D$6+I293*Rubric!$D$7+J293*Rubric!$D$8+K293*Rubric!$D$9+L293*Rubric!$D$10)/5*100,1))</f>
        <v>28</v>
      </c>
      <c r="N293" s="37" t="str">
        <f aca="false">IF(OR(B293="",D293=""),"",IFERROR(IF(IF(E293="Primary",INDEX(Applications!$I$5:$I$600,MATCH(B293,Applications!$A$5:$A$600,0)),IF(E293="Secondary",INDEX(Applications!$J$5:$J$600,MATCH(B293,Applications!$A$5:$A$600,0)),INDEX(Applications!$K$5:$K$600,MATCH(B293,Applications!$A$5:$A$600,0))))=D293,"OK","Not assigned"),"Check ID"))</f>
        <v>OK</v>
      </c>
      <c r="O293" s="7"/>
    </row>
    <row r="294" customFormat="false" ht="15" hidden="false" customHeight="false" outlineLevel="0" collapsed="false">
      <c r="A294" s="35" t="s">
        <v>1690</v>
      </c>
      <c r="B294" s="35" t="s">
        <v>573</v>
      </c>
      <c r="C294" s="37" t="str">
        <f aca="false">IF(B294="","",IFERROR(INDEX(Applications!$B$5:$B$600,MATCH(B294,Applications!$A$5:$A$600,0)),"Application ID not found"))</f>
        <v>Marigold Schools Nutrition Fund</v>
      </c>
      <c r="D294" s="35" t="s">
        <v>85</v>
      </c>
      <c r="E294" s="35" t="s">
        <v>83</v>
      </c>
      <c r="F294" s="36" t="n">
        <v>45940</v>
      </c>
      <c r="G294" s="35" t="n">
        <v>2</v>
      </c>
      <c r="H294" s="35" t="n">
        <v>3</v>
      </c>
      <c r="I294" s="35" t="n">
        <v>2</v>
      </c>
      <c r="J294" s="35" t="n">
        <v>2</v>
      </c>
      <c r="K294" s="35" t="n">
        <v>3</v>
      </c>
      <c r="L294" s="35" t="n">
        <v>3</v>
      </c>
      <c r="M294" s="50" t="n">
        <f aca="false">IF(COUNT(G294:L294)&lt;6,"",ROUND((G294*Rubric!$D$5+H294*Rubric!$D$6+I294*Rubric!$D$7+J294*Rubric!$D$8+K294*Rubric!$D$9+L294*Rubric!$D$10)/5*100,1))</f>
        <v>48</v>
      </c>
      <c r="N294" s="37" t="str">
        <f aca="false">IF(OR(B294="",D294=""),"",IFERROR(IF(IF(E294="Primary",INDEX(Applications!$I$5:$I$600,MATCH(B294,Applications!$A$5:$A$600,0)),IF(E294="Secondary",INDEX(Applications!$J$5:$J$600,MATCH(B294,Applications!$A$5:$A$600,0)),INDEX(Applications!$K$5:$K$600,MATCH(B294,Applications!$A$5:$A$600,0))))=D294,"OK","Not assigned"),"Check ID"))</f>
        <v>OK</v>
      </c>
      <c r="O294" s="7"/>
    </row>
    <row r="295" customFormat="false" ht="15" hidden="false" customHeight="false" outlineLevel="0" collapsed="false">
      <c r="A295" s="35" t="s">
        <v>1691</v>
      </c>
      <c r="B295" s="35" t="s">
        <v>490</v>
      </c>
      <c r="C295" s="37" t="str">
        <f aca="false">IF(B295="","",IFERROR(INDEX(Applications!$B$5:$B$600,MATCH(B295,Applications!$A$5:$A$600,0)),"Application ID not found"))</f>
        <v>Pittsburgh Market Gardens</v>
      </c>
      <c r="D295" s="35" t="s">
        <v>85</v>
      </c>
      <c r="E295" s="35" t="s">
        <v>80</v>
      </c>
      <c r="F295" s="36" t="n">
        <v>45940</v>
      </c>
      <c r="G295" s="35" t="n">
        <v>4</v>
      </c>
      <c r="H295" s="35" t="n">
        <v>3</v>
      </c>
      <c r="I295" s="35" t="n">
        <v>4</v>
      </c>
      <c r="J295" s="35" t="n">
        <v>3</v>
      </c>
      <c r="K295" s="35" t="n">
        <v>3</v>
      </c>
      <c r="L295" s="35" t="n">
        <v>4</v>
      </c>
      <c r="M295" s="50" t="n">
        <f aca="false">IF(COUNT(G295:L295)&lt;6,"",ROUND((G295*Rubric!$D$5+H295*Rubric!$D$6+I295*Rubric!$D$7+J295*Rubric!$D$8+K295*Rubric!$D$9+L295*Rubric!$D$10)/5*100,1))</f>
        <v>71</v>
      </c>
      <c r="N295" s="37" t="str">
        <f aca="false">IF(OR(B295="",D295=""),"",IFERROR(IF(IF(E295="Primary",INDEX(Applications!$I$5:$I$600,MATCH(B295,Applications!$A$5:$A$600,0)),IF(E295="Secondary",INDEX(Applications!$J$5:$J$600,MATCH(B295,Applications!$A$5:$A$600,0)),INDEX(Applications!$K$5:$K$600,MATCH(B295,Applications!$A$5:$A$600,0))))=D295,"OK","Not assigned"),"Check ID"))</f>
        <v>OK</v>
      </c>
      <c r="O295" s="7"/>
    </row>
    <row r="296" customFormat="false" ht="15" hidden="false" customHeight="false" outlineLevel="0" collapsed="false">
      <c r="A296" s="35" t="s">
        <v>1692</v>
      </c>
      <c r="B296" s="35" t="s">
        <v>1163</v>
      </c>
      <c r="C296" s="37" t="str">
        <f aca="false">IF(B296="","",IFERROR(INDEX(Applications!$B$5:$B$600,MATCH(B296,Applications!$A$5:$A$600,0)),"Application ID not found"))</f>
        <v>Louisville Family Center</v>
      </c>
      <c r="D296" s="35" t="s">
        <v>78</v>
      </c>
      <c r="E296" s="35" t="s">
        <v>80</v>
      </c>
      <c r="F296" s="36" t="n">
        <v>45943</v>
      </c>
      <c r="G296" s="35" t="n">
        <v>1</v>
      </c>
      <c r="H296" s="35" t="n">
        <v>1</v>
      </c>
      <c r="I296" s="35" t="n">
        <v>1</v>
      </c>
      <c r="J296" s="35" t="n">
        <v>1</v>
      </c>
      <c r="K296" s="35" t="n">
        <v>1</v>
      </c>
      <c r="L296" s="35" t="n">
        <v>1</v>
      </c>
      <c r="M296" s="50" t="n">
        <f aca="false">IF(COUNT(G296:L296)&lt;6,"",ROUND((G296*Rubric!$D$5+H296*Rubric!$D$6+I296*Rubric!$D$7+J296*Rubric!$D$8+K296*Rubric!$D$9+L296*Rubric!$D$10)/5*100,1))</f>
        <v>20</v>
      </c>
      <c r="N296" s="37" t="str">
        <f aca="false">IF(OR(B296="",D296=""),"",IFERROR(IF(IF(E296="Primary",INDEX(Applications!$I$5:$I$600,MATCH(B296,Applications!$A$5:$A$600,0)),IF(E296="Secondary",INDEX(Applications!$J$5:$J$600,MATCH(B296,Applications!$A$5:$A$600,0)),INDEX(Applications!$K$5:$K$600,MATCH(B296,Applications!$A$5:$A$600,0))))=D296,"OK","Not assigned"),"Check ID"))</f>
        <v>OK</v>
      </c>
      <c r="O296" s="7"/>
    </row>
    <row r="297" customFormat="false" ht="15" hidden="false" customHeight="false" outlineLevel="0" collapsed="false">
      <c r="A297" s="35" t="s">
        <v>1693</v>
      </c>
      <c r="B297" s="35" t="s">
        <v>1377</v>
      </c>
      <c r="C297" s="37" t="str">
        <f aca="false">IF(B297="","",IFERROR(INDEX(Applications!$B$5:$B$600,MATCH(B297,Applications!$A$5:$A$600,0)),"Application ID not found"))</f>
        <v>Good Neighbor Farm Collective</v>
      </c>
      <c r="D297" s="35" t="s">
        <v>78</v>
      </c>
      <c r="E297" s="35" t="s">
        <v>83</v>
      </c>
      <c r="F297" s="36" t="n">
        <v>45943</v>
      </c>
      <c r="G297" s="35" t="n">
        <v>1</v>
      </c>
      <c r="H297" s="35" t="n">
        <v>2</v>
      </c>
      <c r="I297" s="35" t="n">
        <v>2</v>
      </c>
      <c r="J297" s="35" t="n">
        <v>1</v>
      </c>
      <c r="K297" s="35" t="n">
        <v>2</v>
      </c>
      <c r="L297" s="35" t="n">
        <v>1</v>
      </c>
      <c r="M297" s="50" t="n">
        <f aca="false">IF(COUNT(G297:L297)&lt;6,"",ROUND((G297*Rubric!$D$5+H297*Rubric!$D$6+I297*Rubric!$D$7+J297*Rubric!$D$8+K297*Rubric!$D$9+L297*Rubric!$D$10)/5*100,1))</f>
        <v>30</v>
      </c>
      <c r="N297" s="37" t="str">
        <f aca="false">IF(OR(B297="",D297=""),"",IFERROR(IF(IF(E297="Primary",INDEX(Applications!$I$5:$I$600,MATCH(B297,Applications!$A$5:$A$600,0)),IF(E297="Secondary",INDEX(Applications!$J$5:$J$600,MATCH(B297,Applications!$A$5:$A$600,0)),INDEX(Applications!$K$5:$K$600,MATCH(B297,Applications!$A$5:$A$600,0))))=D297,"OK","Not assigned"),"Check ID"))</f>
        <v>OK</v>
      </c>
      <c r="O297" s="7" t="s">
        <v>1493</v>
      </c>
    </row>
    <row r="298" customFormat="false" ht="15" hidden="false" customHeight="false" outlineLevel="0" collapsed="false">
      <c r="A298" s="35" t="s">
        <v>1694</v>
      </c>
      <c r="B298" s="35" t="s">
        <v>301</v>
      </c>
      <c r="C298" s="37" t="str">
        <f aca="false">IF(B298="","",IFERROR(INDEX(Applications!$B$5:$B$600,MATCH(B298,Applications!$A$5:$A$600,0)),"Application ID not found"))</f>
        <v>Fairmount Food Bank</v>
      </c>
      <c r="D298" s="35" t="s">
        <v>78</v>
      </c>
      <c r="E298" s="35" t="s">
        <v>83</v>
      </c>
      <c r="F298" s="36" t="n">
        <v>45943</v>
      </c>
      <c r="G298" s="35" t="n">
        <v>4</v>
      </c>
      <c r="H298" s="35" t="n">
        <v>4</v>
      </c>
      <c r="I298" s="35" t="n">
        <v>3</v>
      </c>
      <c r="J298" s="35" t="n">
        <v>3</v>
      </c>
      <c r="K298" s="35" t="n">
        <v>2</v>
      </c>
      <c r="L298" s="35" t="n">
        <v>3</v>
      </c>
      <c r="M298" s="50" t="n">
        <f aca="false">IF(COUNT(G298:L298)&lt;6,"",ROUND((G298*Rubric!$D$5+H298*Rubric!$D$6+I298*Rubric!$D$7+J298*Rubric!$D$8+K298*Rubric!$D$9+L298*Rubric!$D$10)/5*100,1))</f>
        <v>67</v>
      </c>
      <c r="N298" s="37" t="str">
        <f aca="false">IF(OR(B298="",D298=""),"",IFERROR(IF(IF(E298="Primary",INDEX(Applications!$I$5:$I$600,MATCH(B298,Applications!$A$5:$A$600,0)),IF(E298="Secondary",INDEX(Applications!$J$5:$J$600,MATCH(B298,Applications!$A$5:$A$600,0)),INDEX(Applications!$K$5:$K$600,MATCH(B298,Applications!$A$5:$A$600,0))))=D298,"OK","Not assigned"),"Check ID"))</f>
        <v>OK</v>
      </c>
      <c r="O298" s="7"/>
    </row>
    <row r="299" customFormat="false" ht="15" hidden="false" customHeight="false" outlineLevel="0" collapsed="false">
      <c r="A299" s="35" t="s">
        <v>1695</v>
      </c>
      <c r="B299" s="35" t="s">
        <v>691</v>
      </c>
      <c r="C299" s="37" t="str">
        <f aca="false">IF(B299="","",IFERROR(INDEX(Applications!$B$5:$B$600,MATCH(B299,Applications!$A$5:$A$600,0)),"Application ID not found"))</f>
        <v>Linden Meals Project</v>
      </c>
      <c r="D299" s="35" t="s">
        <v>78</v>
      </c>
      <c r="E299" s="35" t="s">
        <v>80</v>
      </c>
      <c r="F299" s="36" t="n">
        <v>45943</v>
      </c>
      <c r="G299" s="35" t="n">
        <v>4</v>
      </c>
      <c r="H299" s="35" t="n">
        <v>4</v>
      </c>
      <c r="I299" s="35" t="n">
        <v>4</v>
      </c>
      <c r="J299" s="35" t="n">
        <v>4</v>
      </c>
      <c r="K299" s="35" t="n">
        <v>4</v>
      </c>
      <c r="L299" s="35" t="n">
        <v>4</v>
      </c>
      <c r="M299" s="50" t="n">
        <f aca="false">IF(COUNT(G299:L299)&lt;6,"",ROUND((G299*Rubric!$D$5+H299*Rubric!$D$6+I299*Rubric!$D$7+J299*Rubric!$D$8+K299*Rubric!$D$9+L299*Rubric!$D$10)/5*100,1))</f>
        <v>80</v>
      </c>
      <c r="N299" s="37" t="str">
        <f aca="false">IF(OR(B299="",D299=""),"",IFERROR(IF(IF(E299="Primary",INDEX(Applications!$I$5:$I$600,MATCH(B299,Applications!$A$5:$A$600,0)),IF(E299="Secondary",INDEX(Applications!$J$5:$J$600,MATCH(B299,Applications!$A$5:$A$600,0)),INDEX(Applications!$K$5:$K$600,MATCH(B299,Applications!$A$5:$A$600,0))))=D299,"OK","Not assigned"),"Check ID"))</f>
        <v>OK</v>
      </c>
      <c r="O299" s="7"/>
    </row>
    <row r="300" customFormat="false" ht="15" hidden="false" customHeight="false" outlineLevel="0" collapsed="false">
      <c r="A300" s="35" t="s">
        <v>1696</v>
      </c>
      <c r="B300" s="35" t="s">
        <v>548</v>
      </c>
      <c r="C300" s="37" t="str">
        <f aca="false">IF(B300="","",IFERROR(INDEX(Applications!$B$5:$B$600,MATCH(B300,Applications!$A$5:$A$600,0)),"Application ID not found"))</f>
        <v>Cedar Growers Cooperative</v>
      </c>
      <c r="D300" s="35" t="s">
        <v>78</v>
      </c>
      <c r="E300" s="35" t="s">
        <v>83</v>
      </c>
      <c r="F300" s="36" t="n">
        <v>45943</v>
      </c>
      <c r="G300" s="35" t="n">
        <v>4</v>
      </c>
      <c r="H300" s="35" t="n">
        <v>5</v>
      </c>
      <c r="I300" s="35" t="n">
        <v>5</v>
      </c>
      <c r="J300" s="35" t="n">
        <v>5</v>
      </c>
      <c r="K300" s="35" t="n">
        <v>5</v>
      </c>
      <c r="L300" s="35" t="n">
        <v>4</v>
      </c>
      <c r="M300" s="50" t="n">
        <f aca="false">IF(COUNT(G300:L300)&lt;6,"",ROUND((G300*Rubric!$D$5+H300*Rubric!$D$6+I300*Rubric!$D$7+J300*Rubric!$D$8+K300*Rubric!$D$9+L300*Rubric!$D$10)/5*100,1))</f>
        <v>93</v>
      </c>
      <c r="N300" s="37" t="str">
        <f aca="false">IF(OR(B300="",D300=""),"",IFERROR(IF(IF(E300="Primary",INDEX(Applications!$I$5:$I$600,MATCH(B300,Applications!$A$5:$A$600,0)),IF(E300="Secondary",INDEX(Applications!$J$5:$J$600,MATCH(B300,Applications!$A$5:$A$600,0)),INDEX(Applications!$K$5:$K$600,MATCH(B300,Applications!$A$5:$A$600,0))))=D300,"OK","Not assigned"),"Check ID"))</f>
        <v>OK</v>
      </c>
      <c r="O300" s="7"/>
    </row>
    <row r="301" customFormat="false" ht="15" hidden="false" customHeight="false" outlineLevel="0" collapsed="false">
      <c r="A301" s="35" t="s">
        <v>1697</v>
      </c>
      <c r="B301" s="35" t="s">
        <v>1277</v>
      </c>
      <c r="C301" s="37" t="str">
        <f aca="false">IF(B301="","",IFERROR(INDEX(Applications!$B$5:$B$600,MATCH(B301,Applications!$A$5:$A$600,0)),"Application ID not found"))</f>
        <v>Ironwood Seed Library</v>
      </c>
      <c r="D301" s="35" t="s">
        <v>78</v>
      </c>
      <c r="E301" s="35" t="s">
        <v>83</v>
      </c>
      <c r="F301" s="36" t="n">
        <v>45943</v>
      </c>
      <c r="G301" s="35" t="n">
        <v>2</v>
      </c>
      <c r="H301" s="35" t="n">
        <v>2</v>
      </c>
      <c r="I301" s="35" t="n">
        <v>2</v>
      </c>
      <c r="J301" s="35" t="n">
        <v>3</v>
      </c>
      <c r="K301" s="35" t="n">
        <v>2</v>
      </c>
      <c r="L301" s="35" t="n">
        <v>3</v>
      </c>
      <c r="M301" s="50" t="n">
        <f aca="false">IF(COUNT(G301:L301)&lt;6,"",ROUND((G301*Rubric!$D$5+H301*Rubric!$D$6+I301*Rubric!$D$7+J301*Rubric!$D$8+K301*Rubric!$D$9+L301*Rubric!$D$10)/5*100,1))</f>
        <v>45</v>
      </c>
      <c r="N301" s="37" t="str">
        <f aca="false">IF(OR(B301="",D301=""),"",IFERROR(IF(IF(E301="Primary",INDEX(Applications!$I$5:$I$600,MATCH(B301,Applications!$A$5:$A$600,0)),IF(E301="Secondary",INDEX(Applications!$J$5:$J$600,MATCH(B301,Applications!$A$5:$A$600,0)),INDEX(Applications!$K$5:$K$600,MATCH(B301,Applications!$A$5:$A$600,0))))=D301,"OK","Not assigned"),"Check ID"))</f>
        <v>OK</v>
      </c>
      <c r="O301" s="7"/>
    </row>
    <row r="302" customFormat="false" ht="15" hidden="false" customHeight="false" outlineLevel="0" collapsed="false">
      <c r="A302" s="35" t="s">
        <v>1698</v>
      </c>
      <c r="B302" s="35" t="s">
        <v>607</v>
      </c>
      <c r="C302" s="37" t="str">
        <f aca="false">IF(B302="","",IFERROR(INDEX(Applications!$B$5:$B$600,MATCH(B302,Applications!$A$5:$A$600,0)),"Application ID not found"))</f>
        <v>Harbor Food Bank</v>
      </c>
      <c r="D302" s="35" t="s">
        <v>78</v>
      </c>
      <c r="E302" s="35" t="s">
        <v>80</v>
      </c>
      <c r="F302" s="36" t="n">
        <v>45943</v>
      </c>
      <c r="G302" s="35" t="n">
        <v>3</v>
      </c>
      <c r="H302" s="35" t="n">
        <v>3</v>
      </c>
      <c r="I302" s="35" t="n">
        <v>3</v>
      </c>
      <c r="J302" s="35" t="n">
        <v>4</v>
      </c>
      <c r="K302" s="35" t="n">
        <v>3</v>
      </c>
      <c r="L302" s="35" t="n">
        <v>3</v>
      </c>
      <c r="M302" s="50" t="n">
        <f aca="false">IF(COUNT(G302:L302)&lt;6,"",ROUND((G302*Rubric!$D$5+H302*Rubric!$D$6+I302*Rubric!$D$7+J302*Rubric!$D$8+K302*Rubric!$D$9+L302*Rubric!$D$10)/5*100,1))</f>
        <v>63</v>
      </c>
      <c r="N302" s="37" t="str">
        <f aca="false">IF(OR(B302="",D302=""),"",IFERROR(IF(IF(E302="Primary",INDEX(Applications!$I$5:$I$600,MATCH(B302,Applications!$A$5:$A$600,0)),IF(E302="Secondary",INDEX(Applications!$J$5:$J$600,MATCH(B302,Applications!$A$5:$A$600,0)),INDEX(Applications!$K$5:$K$600,MATCH(B302,Applications!$A$5:$A$600,0))))=D302,"OK","Not assigned"),"Check ID"))</f>
        <v>OK</v>
      </c>
      <c r="O302" s="7"/>
    </row>
    <row r="303" customFormat="false" ht="15" hidden="false" customHeight="false" outlineLevel="0" collapsed="false">
      <c r="A303" s="35" t="s">
        <v>1699</v>
      </c>
      <c r="B303" s="35" t="s">
        <v>1013</v>
      </c>
      <c r="C303" s="37" t="str">
        <f aca="false">IF(B303="","",IFERROR(INDEX(Applications!$B$5:$B$600,MATCH(B303,Applications!$A$5:$A$600,0)),"Application ID not found"))</f>
        <v>Open Door Kitchen Project</v>
      </c>
      <c r="D303" s="35" t="s">
        <v>78</v>
      </c>
      <c r="E303" s="35" t="s">
        <v>83</v>
      </c>
      <c r="F303" s="36" t="n">
        <v>45943</v>
      </c>
      <c r="G303" s="35" t="n">
        <v>4</v>
      </c>
      <c r="H303" s="35" t="n">
        <v>4</v>
      </c>
      <c r="I303" s="35" t="n">
        <v>5</v>
      </c>
      <c r="J303" s="35" t="n">
        <v>4</v>
      </c>
      <c r="K303" s="35" t="n">
        <v>4</v>
      </c>
      <c r="L303" s="35" t="n">
        <v>4</v>
      </c>
      <c r="M303" s="50" t="n">
        <f aca="false">IF(COUNT(G303:L303)&lt;6,"",ROUND((G303*Rubric!$D$5+H303*Rubric!$D$6+I303*Rubric!$D$7+J303*Rubric!$D$8+K303*Rubric!$D$9+L303*Rubric!$D$10)/5*100,1))</f>
        <v>84</v>
      </c>
      <c r="N303" s="37" t="str">
        <f aca="false">IF(OR(B303="",D303=""),"",IFERROR(IF(IF(E303="Primary",INDEX(Applications!$I$5:$I$600,MATCH(B303,Applications!$A$5:$A$600,0)),IF(E303="Secondary",INDEX(Applications!$J$5:$J$600,MATCH(B303,Applications!$A$5:$A$600,0)),INDEX(Applications!$K$5:$K$600,MATCH(B303,Applications!$A$5:$A$600,0))))=D303,"OK","Not assigned"),"Check ID"))</f>
        <v>OK</v>
      </c>
      <c r="O303" s="7"/>
    </row>
    <row r="304" customFormat="false" ht="15" hidden="false" customHeight="false" outlineLevel="0" collapsed="false">
      <c r="A304" s="35" t="s">
        <v>1700</v>
      </c>
      <c r="B304" s="35" t="s">
        <v>865</v>
      </c>
      <c r="C304" s="37" t="str">
        <f aca="false">IF(B304="","",IFERROR(INDEX(Applications!$B$5:$B$600,MATCH(B304,Applications!$A$5:$A$600,0)),"Application ID not found"))</f>
        <v>Calgary Community Pantry</v>
      </c>
      <c r="D304" s="35" t="s">
        <v>78</v>
      </c>
      <c r="E304" s="35" t="s">
        <v>83</v>
      </c>
      <c r="F304" s="36" t="n">
        <v>45943</v>
      </c>
      <c r="G304" s="35" t="n">
        <v>2</v>
      </c>
      <c r="H304" s="35" t="n">
        <v>2</v>
      </c>
      <c r="I304" s="35" t="n">
        <v>2</v>
      </c>
      <c r="J304" s="35" t="n">
        <v>2</v>
      </c>
      <c r="K304" s="35" t="n">
        <v>2</v>
      </c>
      <c r="L304" s="35" t="n">
        <v>2</v>
      </c>
      <c r="M304" s="50" t="n">
        <f aca="false">IF(COUNT(G304:L304)&lt;6,"",ROUND((G304*Rubric!$D$5+H304*Rubric!$D$6+I304*Rubric!$D$7+J304*Rubric!$D$8+K304*Rubric!$D$9+L304*Rubric!$D$10)/5*100,1))</f>
        <v>40</v>
      </c>
      <c r="N304" s="37" t="str">
        <f aca="false">IF(OR(B304="",D304=""),"",IFERROR(IF(IF(E304="Primary",INDEX(Applications!$I$5:$I$600,MATCH(B304,Applications!$A$5:$A$600,0)),IF(E304="Secondary",INDEX(Applications!$J$5:$J$600,MATCH(B304,Applications!$A$5:$A$600,0)),INDEX(Applications!$K$5:$K$600,MATCH(B304,Applications!$A$5:$A$600,0))))=D304,"OK","Not assigned"),"Check ID"))</f>
        <v>OK</v>
      </c>
      <c r="O304" s="7"/>
    </row>
    <row r="305" customFormat="false" ht="15" hidden="false" customHeight="false" outlineLevel="0" collapsed="false">
      <c r="A305" s="35" t="s">
        <v>1701</v>
      </c>
      <c r="B305" s="35" t="s">
        <v>428</v>
      </c>
      <c r="C305" s="37" t="str">
        <f aca="false">IF(B305="","",IFERROR(INDEX(Applications!$B$5:$B$600,MATCH(B305,Applications!$A$5:$A$600,0)),"Application ID not found"))</f>
        <v>Memphis Cafe Training Program</v>
      </c>
      <c r="D305" s="35" t="s">
        <v>78</v>
      </c>
      <c r="E305" s="35" t="s">
        <v>80</v>
      </c>
      <c r="F305" s="36" t="n">
        <v>45943</v>
      </c>
      <c r="G305" s="35" t="n">
        <v>4</v>
      </c>
      <c r="H305" s="35" t="n">
        <v>4</v>
      </c>
      <c r="I305" s="35" t="n">
        <v>3</v>
      </c>
      <c r="J305" s="35" t="n">
        <v>4</v>
      </c>
      <c r="K305" s="35" t="n">
        <v>4</v>
      </c>
      <c r="L305" s="35" t="n">
        <v>4</v>
      </c>
      <c r="M305" s="50" t="n">
        <f aca="false">IF(COUNT(G305:L305)&lt;6,"",ROUND((G305*Rubric!$D$5+H305*Rubric!$D$6+I305*Rubric!$D$7+J305*Rubric!$D$8+K305*Rubric!$D$9+L305*Rubric!$D$10)/5*100,1))</f>
        <v>76</v>
      </c>
      <c r="N305" s="37" t="str">
        <f aca="false">IF(OR(B305="",D305=""),"",IFERROR(IF(IF(E305="Primary",INDEX(Applications!$I$5:$I$600,MATCH(B305,Applications!$A$5:$A$600,0)),IF(E305="Secondary",INDEX(Applications!$J$5:$J$600,MATCH(B305,Applications!$A$5:$A$600,0)),INDEX(Applications!$K$5:$K$600,MATCH(B305,Applications!$A$5:$A$600,0))))=D305,"OK","Not assigned"),"Check ID"))</f>
        <v>OK</v>
      </c>
      <c r="O305" s="7"/>
    </row>
    <row r="306" customFormat="false" ht="15" hidden="false" customHeight="false" outlineLevel="0" collapsed="false">
      <c r="A306" s="35" t="s">
        <v>1702</v>
      </c>
      <c r="B306" s="35" t="s">
        <v>345</v>
      </c>
      <c r="C306" s="37" t="str">
        <f aca="false">IF(B306="","",IFERROR(INDEX(Applications!$B$5:$B$600,MATCH(B306,Applications!$A$5:$A$600,0)),"Application ID not found"))</f>
        <v>Omaha Culinary Works</v>
      </c>
      <c r="D306" s="35" t="s">
        <v>78</v>
      </c>
      <c r="E306" s="35" t="s">
        <v>80</v>
      </c>
      <c r="F306" s="36" t="n">
        <v>45943</v>
      </c>
      <c r="G306" s="35" t="n">
        <v>4</v>
      </c>
      <c r="H306" s="35" t="n">
        <v>3</v>
      </c>
      <c r="I306" s="35" t="n">
        <v>3</v>
      </c>
      <c r="J306" s="35" t="n">
        <v>4</v>
      </c>
      <c r="K306" s="35" t="n">
        <v>3</v>
      </c>
      <c r="L306" s="35" t="n">
        <v>4</v>
      </c>
      <c r="M306" s="50" t="n">
        <f aca="false">IF(COUNT(G306:L306)&lt;6,"",ROUND((G306*Rubric!$D$5+H306*Rubric!$D$6+I306*Rubric!$D$7+J306*Rubric!$D$8+K306*Rubric!$D$9+L306*Rubric!$D$10)/5*100,1))</f>
        <v>70</v>
      </c>
      <c r="N306" s="37" t="str">
        <f aca="false">IF(OR(B306="",D306=""),"",IFERROR(IF(IF(E306="Primary",INDEX(Applications!$I$5:$I$600,MATCH(B306,Applications!$A$5:$A$600,0)),IF(E306="Secondary",INDEX(Applications!$J$5:$J$600,MATCH(B306,Applications!$A$5:$A$600,0)),INDEX(Applications!$K$5:$K$600,MATCH(B306,Applications!$A$5:$A$600,0))))=D306,"OK","Not assigned"),"Check ID"))</f>
        <v>OK</v>
      </c>
      <c r="O306" s="7"/>
    </row>
    <row r="307" customFormat="false" ht="15" hidden="false" customHeight="false" outlineLevel="0" collapsed="false">
      <c r="A307" s="35" t="s">
        <v>1703</v>
      </c>
      <c r="B307" s="35" t="s">
        <v>194</v>
      </c>
      <c r="C307" s="37" t="str">
        <f aca="false">IF(B307="","",IFERROR(INDEX(Applications!$B$5:$B$600,MATCH(B307,Applications!$A$5:$A$600,0)),"Application ID not found"))</f>
        <v>Tulsa Pantry Network</v>
      </c>
      <c r="D307" s="35" t="s">
        <v>78</v>
      </c>
      <c r="E307" s="35" t="s">
        <v>80</v>
      </c>
      <c r="F307" s="36" t="n">
        <v>45943</v>
      </c>
      <c r="G307" s="35" t="n">
        <v>3</v>
      </c>
      <c r="H307" s="35" t="n">
        <v>2</v>
      </c>
      <c r="I307" s="35" t="n">
        <v>3</v>
      </c>
      <c r="J307" s="35" t="n">
        <v>3</v>
      </c>
      <c r="K307" s="35" t="n">
        <v>4</v>
      </c>
      <c r="L307" s="35" t="n">
        <v>3</v>
      </c>
      <c r="M307" s="50" t="n">
        <f aca="false">IF(COUNT(G307:L307)&lt;6,"",ROUND((G307*Rubric!$D$5+H307*Rubric!$D$6+I307*Rubric!$D$7+J307*Rubric!$D$8+K307*Rubric!$D$9+L307*Rubric!$D$10)/5*100,1))</f>
        <v>58</v>
      </c>
      <c r="N307" s="37" t="str">
        <f aca="false">IF(OR(B307="",D307=""),"",IFERROR(IF(IF(E307="Primary",INDEX(Applications!$I$5:$I$600,MATCH(B307,Applications!$A$5:$A$600,0)),IF(E307="Secondary",INDEX(Applications!$J$5:$J$600,MATCH(B307,Applications!$A$5:$A$600,0)),INDEX(Applications!$K$5:$K$600,MATCH(B307,Applications!$A$5:$A$600,0))))=D307,"OK","Not assigned"),"Check ID"))</f>
        <v>OK</v>
      </c>
      <c r="O307" s="7"/>
    </row>
    <row r="308" customFormat="false" ht="15" hidden="false" customHeight="false" outlineLevel="0" collapsed="false">
      <c r="A308" s="35" t="s">
        <v>1704</v>
      </c>
      <c r="B308" s="35" t="s">
        <v>476</v>
      </c>
      <c r="C308" s="37" t="str">
        <f aca="false">IF(B308="","",IFERROR(INDEX(Applications!$B$5:$B$600,MATCH(B308,Applications!$A$5:$A$600,0)),"Application ID not found"))</f>
        <v>Southfield Community Pantry</v>
      </c>
      <c r="D308" s="35" t="s">
        <v>78</v>
      </c>
      <c r="E308" s="35" t="s">
        <v>83</v>
      </c>
      <c r="F308" s="36" t="n">
        <v>45943</v>
      </c>
      <c r="G308" s="35" t="n">
        <v>3</v>
      </c>
      <c r="H308" s="35" t="n">
        <v>4</v>
      </c>
      <c r="I308" s="35" t="n">
        <v>3</v>
      </c>
      <c r="J308" s="35" t="n">
        <v>4</v>
      </c>
      <c r="K308" s="35" t="n">
        <v>3</v>
      </c>
      <c r="L308" s="35" t="n">
        <v>4</v>
      </c>
      <c r="M308" s="50" t="n">
        <f aca="false">IF(COUNT(G308:L308)&lt;6,"",ROUND((G308*Rubric!$D$5+H308*Rubric!$D$6+I308*Rubric!$D$7+J308*Rubric!$D$8+K308*Rubric!$D$9+L308*Rubric!$D$10)/5*100,1))</f>
        <v>69</v>
      </c>
      <c r="N308" s="37" t="str">
        <f aca="false">IF(OR(B308="",D308=""),"",IFERROR(IF(IF(E308="Primary",INDEX(Applications!$I$5:$I$600,MATCH(B308,Applications!$A$5:$A$600,0)),IF(E308="Secondary",INDEX(Applications!$J$5:$J$600,MATCH(B308,Applications!$A$5:$A$600,0)),INDEX(Applications!$K$5:$K$600,MATCH(B308,Applications!$A$5:$A$600,0))))=D308,"OK","Not assigned"),"Check ID"))</f>
        <v>OK</v>
      </c>
      <c r="O308" s="7"/>
    </row>
    <row r="309" customFormat="false" ht="15" hidden="false" customHeight="false" outlineLevel="0" collapsed="false">
      <c r="A309" s="35" t="s">
        <v>1705</v>
      </c>
      <c r="B309" s="35" t="s">
        <v>777</v>
      </c>
      <c r="C309" s="37" t="str">
        <f aca="false">IF(B309="","",IFERROR(INDEX(Applications!$B$5:$B$600,MATCH(B309,Applications!$A$5:$A$600,0)),"Application ID not found"))</f>
        <v>Madison Farm Collective</v>
      </c>
      <c r="D309" s="35" t="s">
        <v>82</v>
      </c>
      <c r="E309" s="35" t="s">
        <v>83</v>
      </c>
      <c r="F309" s="36" t="n">
        <v>45943</v>
      </c>
      <c r="G309" s="35" t="n">
        <v>3</v>
      </c>
      <c r="H309" s="35" t="n">
        <v>4</v>
      </c>
      <c r="I309" s="35" t="n">
        <v>5</v>
      </c>
      <c r="J309" s="35" t="n">
        <v>4</v>
      </c>
      <c r="K309" s="35" t="n">
        <v>4</v>
      </c>
      <c r="L309" s="35" t="n">
        <v>4</v>
      </c>
      <c r="M309" s="50" t="n">
        <f aca="false">IF(COUNT(G309:L309)&lt;6,"",ROUND((G309*Rubric!$D$5+H309*Rubric!$D$6+I309*Rubric!$D$7+J309*Rubric!$D$8+K309*Rubric!$D$9+L309*Rubric!$D$10)/5*100,1))</f>
        <v>79</v>
      </c>
      <c r="N309" s="37" t="str">
        <f aca="false">IF(OR(B309="",D309=""),"",IFERROR(IF(IF(E309="Primary",INDEX(Applications!$I$5:$I$600,MATCH(B309,Applications!$A$5:$A$600,0)),IF(E309="Secondary",INDEX(Applications!$J$5:$J$600,MATCH(B309,Applications!$A$5:$A$600,0)),INDEX(Applications!$K$5:$K$600,MATCH(B309,Applications!$A$5:$A$600,0))))=D309,"OK","Not assigned"),"Check ID"))</f>
        <v>OK</v>
      </c>
      <c r="O309" s="7" t="s">
        <v>1402</v>
      </c>
    </row>
    <row r="310" customFormat="false" ht="15" hidden="false" customHeight="false" outlineLevel="0" collapsed="false">
      <c r="A310" s="35" t="s">
        <v>1706</v>
      </c>
      <c r="B310" s="35" t="s">
        <v>1043</v>
      </c>
      <c r="C310" s="37" t="str">
        <f aca="false">IF(B310="","",IFERROR(INDEX(Applications!$B$5:$B$600,MATCH(B310,Applications!$A$5:$A$600,0)),"Application ID not found"))</f>
        <v>Yakima Seed Library</v>
      </c>
      <c r="D310" s="35" t="s">
        <v>82</v>
      </c>
      <c r="E310" s="35" t="s">
        <v>83</v>
      </c>
      <c r="F310" s="36" t="n">
        <v>45943</v>
      </c>
      <c r="G310" s="35" t="n">
        <v>4</v>
      </c>
      <c r="H310" s="35" t="n">
        <v>5</v>
      </c>
      <c r="I310" s="35" t="n">
        <v>4</v>
      </c>
      <c r="J310" s="35" t="n">
        <v>4</v>
      </c>
      <c r="K310" s="35" t="n">
        <v>4</v>
      </c>
      <c r="L310" s="35" t="n">
        <v>5</v>
      </c>
      <c r="M310" s="50" t="n">
        <f aca="false">IF(COUNT(G310:L310)&lt;6,"",ROUND((G310*Rubric!$D$5+H310*Rubric!$D$6+I310*Rubric!$D$7+J310*Rubric!$D$8+K310*Rubric!$D$9+L310*Rubric!$D$10)/5*100,1))</f>
        <v>86</v>
      </c>
      <c r="N310" s="37" t="str">
        <f aca="false">IF(OR(B310="",D310=""),"",IFERROR(IF(IF(E310="Primary",INDEX(Applications!$I$5:$I$600,MATCH(B310,Applications!$A$5:$A$600,0)),IF(E310="Secondary",INDEX(Applications!$J$5:$J$600,MATCH(B310,Applications!$A$5:$A$600,0)),INDEX(Applications!$K$5:$K$600,MATCH(B310,Applications!$A$5:$A$600,0))))=D310,"OK","Not assigned"),"Check ID"))</f>
        <v>OK</v>
      </c>
      <c r="O310" s="7"/>
    </row>
    <row r="311" customFormat="false" ht="15" hidden="false" customHeight="false" outlineLevel="0" collapsed="false">
      <c r="A311" s="35" t="s">
        <v>1707</v>
      </c>
      <c r="B311" s="35" t="s">
        <v>655</v>
      </c>
      <c r="C311" s="37" t="str">
        <f aca="false">IF(B311="","",IFERROR(INDEX(Applications!$B$5:$B$600,MATCH(B311,Applications!$A$5:$A$600,0)),"Application ID not found"))</f>
        <v>Peoria Pantry Network</v>
      </c>
      <c r="D311" s="35" t="s">
        <v>82</v>
      </c>
      <c r="E311" s="35" t="s">
        <v>80</v>
      </c>
      <c r="F311" s="36" t="n">
        <v>45943</v>
      </c>
      <c r="G311" s="35" t="n">
        <v>4</v>
      </c>
      <c r="H311" s="35" t="n">
        <v>4</v>
      </c>
      <c r="I311" s="35" t="n">
        <v>4</v>
      </c>
      <c r="J311" s="35" t="n">
        <v>4</v>
      </c>
      <c r="K311" s="35" t="n">
        <v>4</v>
      </c>
      <c r="L311" s="35" t="n">
        <v>3</v>
      </c>
      <c r="M311" s="50" t="n">
        <f aca="false">IF(COUNT(G311:L311)&lt;6,"",ROUND((G311*Rubric!$D$5+H311*Rubric!$D$6+I311*Rubric!$D$7+J311*Rubric!$D$8+K311*Rubric!$D$9+L311*Rubric!$D$10)/5*100,1))</f>
        <v>78</v>
      </c>
      <c r="N311" s="37" t="str">
        <f aca="false">IF(OR(B311="",D311=""),"",IFERROR(IF(IF(E311="Primary",INDEX(Applications!$I$5:$I$600,MATCH(B311,Applications!$A$5:$A$600,0)),IF(E311="Secondary",INDEX(Applications!$J$5:$J$600,MATCH(B311,Applications!$A$5:$A$600,0)),INDEX(Applications!$K$5:$K$600,MATCH(B311,Applications!$A$5:$A$600,0))))=D311,"OK","Not assigned"),"Check ID"))</f>
        <v>OK</v>
      </c>
      <c r="O311" s="7"/>
    </row>
    <row r="312" customFormat="false" ht="15" hidden="false" customHeight="false" outlineLevel="0" collapsed="false">
      <c r="A312" s="35" t="s">
        <v>1708</v>
      </c>
      <c r="B312" s="35" t="s">
        <v>611</v>
      </c>
      <c r="C312" s="37" t="str">
        <f aca="false">IF(B312="","",IFERROR(INDEX(Applications!$B$5:$B$600,MATCH(B312,Applications!$A$5:$A$600,0)),"Application ID not found"))</f>
        <v>Maple Street Bakery Collective</v>
      </c>
      <c r="D312" s="35" t="s">
        <v>82</v>
      </c>
      <c r="E312" s="35" t="s">
        <v>80</v>
      </c>
      <c r="F312" s="36" t="n">
        <v>45943</v>
      </c>
      <c r="G312" s="35" t="n">
        <v>3</v>
      </c>
      <c r="H312" s="35" t="n">
        <v>3</v>
      </c>
      <c r="I312" s="35" t="n">
        <v>4</v>
      </c>
      <c r="J312" s="35" t="n">
        <v>4</v>
      </c>
      <c r="K312" s="35" t="n">
        <v>3</v>
      </c>
      <c r="L312" s="35" t="n">
        <v>3</v>
      </c>
      <c r="M312" s="50" t="n">
        <f aca="false">IF(COUNT(G312:L312)&lt;6,"",ROUND((G312*Rubric!$D$5+H312*Rubric!$D$6+I312*Rubric!$D$7+J312*Rubric!$D$8+K312*Rubric!$D$9+L312*Rubric!$D$10)/5*100,1))</f>
        <v>67</v>
      </c>
      <c r="N312" s="37" t="str">
        <f aca="false">IF(OR(B312="",D312=""),"",IFERROR(IF(IF(E312="Primary",INDEX(Applications!$I$5:$I$600,MATCH(B312,Applications!$A$5:$A$600,0)),IF(E312="Secondary",INDEX(Applications!$J$5:$J$600,MATCH(B312,Applications!$A$5:$A$600,0)),INDEX(Applications!$K$5:$K$600,MATCH(B312,Applications!$A$5:$A$600,0))))=D312,"OK","Not assigned"),"Check ID"))</f>
        <v>OK</v>
      </c>
      <c r="O312" s="7"/>
    </row>
    <row r="313" customFormat="false" ht="15" hidden="false" customHeight="false" outlineLevel="0" collapsed="false">
      <c r="A313" s="35" t="s">
        <v>1709</v>
      </c>
      <c r="B313" s="35" t="s">
        <v>845</v>
      </c>
      <c r="C313" s="37" t="str">
        <f aca="false">IF(B313="","",IFERROR(INDEX(Applications!$B$5:$B$600,MATCH(B313,Applications!$A$5:$A$600,0)),"Application ID not found"))</f>
        <v>Canal Street Food Ventures</v>
      </c>
      <c r="D313" s="35" t="s">
        <v>82</v>
      </c>
      <c r="E313" s="35" t="s">
        <v>80</v>
      </c>
      <c r="F313" s="36" t="n">
        <v>45943</v>
      </c>
      <c r="G313" s="35" t="n">
        <v>3</v>
      </c>
      <c r="H313" s="35" t="n">
        <v>2</v>
      </c>
      <c r="I313" s="35" t="n">
        <v>3</v>
      </c>
      <c r="J313" s="35" t="n">
        <v>3</v>
      </c>
      <c r="K313" s="35" t="n">
        <v>3</v>
      </c>
      <c r="L313" s="35" t="n">
        <v>3</v>
      </c>
      <c r="M313" s="50" t="n">
        <f aca="false">IF(COUNT(G313:L313)&lt;6,"",ROUND((G313*Rubric!$D$5+H313*Rubric!$D$6+I313*Rubric!$D$7+J313*Rubric!$D$8+K313*Rubric!$D$9+L313*Rubric!$D$10)/5*100,1))</f>
        <v>56</v>
      </c>
      <c r="N313" s="37" t="str">
        <f aca="false">IF(OR(B313="",D313=""),"",IFERROR(IF(IF(E313="Primary",INDEX(Applications!$I$5:$I$600,MATCH(B313,Applications!$A$5:$A$600,0)),IF(E313="Secondary",INDEX(Applications!$J$5:$J$600,MATCH(B313,Applications!$A$5:$A$600,0)),INDEX(Applications!$K$5:$K$600,MATCH(B313,Applications!$A$5:$A$600,0))))=D313,"OK","Not assigned"),"Check ID"))</f>
        <v>OK</v>
      </c>
      <c r="O313" s="7"/>
    </row>
    <row r="314" customFormat="false" ht="15" hidden="false" customHeight="false" outlineLevel="0" collapsed="false">
      <c r="A314" s="35" t="s">
        <v>1710</v>
      </c>
      <c r="B314" s="35" t="s">
        <v>1239</v>
      </c>
      <c r="C314" s="37" t="str">
        <f aca="false">IF(B314="","",IFERROR(INDEX(Applications!$B$5:$B$600,MATCH(B314,Applications!$A$5:$A$600,0)),"Application ID not found"))</f>
        <v>Open Door Culinary Works</v>
      </c>
      <c r="D314" s="35" t="s">
        <v>82</v>
      </c>
      <c r="E314" s="35" t="s">
        <v>80</v>
      </c>
      <c r="F314" s="36" t="n">
        <v>45943</v>
      </c>
      <c r="G314" s="35" t="n">
        <v>4</v>
      </c>
      <c r="H314" s="35" t="n">
        <v>3</v>
      </c>
      <c r="I314" s="35" t="n">
        <v>3</v>
      </c>
      <c r="J314" s="35" t="n">
        <v>3</v>
      </c>
      <c r="K314" s="35" t="n">
        <v>3</v>
      </c>
      <c r="L314" s="35" t="n">
        <v>3</v>
      </c>
      <c r="M314" s="50" t="n">
        <f aca="false">IF(COUNT(G314:L314)&lt;6,"",ROUND((G314*Rubric!$D$5+H314*Rubric!$D$6+I314*Rubric!$D$7+J314*Rubric!$D$8+K314*Rubric!$D$9+L314*Rubric!$D$10)/5*100,1))</f>
        <v>65</v>
      </c>
      <c r="N314" s="37" t="str">
        <f aca="false">IF(OR(B314="",D314=""),"",IFERROR(IF(IF(E314="Primary",INDEX(Applications!$I$5:$I$600,MATCH(B314,Applications!$A$5:$A$600,0)),IF(E314="Secondary",INDEX(Applications!$J$5:$J$600,MATCH(B314,Applications!$A$5:$A$600,0)),INDEX(Applications!$K$5:$K$600,MATCH(B314,Applications!$A$5:$A$600,0))))=D314,"OK","Not assigned"),"Check ID"))</f>
        <v>OK</v>
      </c>
      <c r="O314" s="7"/>
    </row>
    <row r="315" customFormat="false" ht="15" hidden="false" customHeight="false" outlineLevel="0" collapsed="false">
      <c r="A315" s="35" t="s">
        <v>1711</v>
      </c>
      <c r="B315" s="35" t="s">
        <v>278</v>
      </c>
      <c r="C315" s="37" t="str">
        <f aca="false">IF(B315="","",IFERROR(INDEX(Applications!$B$5:$B$600,MATCH(B315,Applications!$A$5:$A$600,0)),"Application ID not found"))</f>
        <v>High Plains Food Bank</v>
      </c>
      <c r="D315" s="35" t="s">
        <v>82</v>
      </c>
      <c r="E315" s="35" t="s">
        <v>83</v>
      </c>
      <c r="F315" s="36" t="n">
        <v>45943</v>
      </c>
      <c r="G315" s="35" t="n">
        <v>4</v>
      </c>
      <c r="H315" s="35" t="n">
        <v>4</v>
      </c>
      <c r="I315" s="35" t="n">
        <v>3</v>
      </c>
      <c r="J315" s="35" t="n">
        <v>4</v>
      </c>
      <c r="K315" s="35" t="n">
        <v>3</v>
      </c>
      <c r="L315" s="35" t="n">
        <v>3</v>
      </c>
      <c r="M315" s="50" t="n">
        <f aca="false">IF(COUNT(G315:L315)&lt;6,"",ROUND((G315*Rubric!$D$5+H315*Rubric!$D$6+I315*Rubric!$D$7+J315*Rubric!$D$8+K315*Rubric!$D$9+L315*Rubric!$D$10)/5*100,1))</f>
        <v>72</v>
      </c>
      <c r="N315" s="37" t="str">
        <f aca="false">IF(OR(B315="",D315=""),"",IFERROR(IF(IF(E315="Primary",INDEX(Applications!$I$5:$I$600,MATCH(B315,Applications!$A$5:$A$600,0)),IF(E315="Secondary",INDEX(Applications!$J$5:$J$600,MATCH(B315,Applications!$A$5:$A$600,0)),INDEX(Applications!$K$5:$K$600,MATCH(B315,Applications!$A$5:$A$600,0))))=D315,"OK","Not assigned"),"Check ID"))</f>
        <v>OK</v>
      </c>
      <c r="O315" s="7"/>
    </row>
    <row r="316" customFormat="false" ht="15" hidden="false" customHeight="false" outlineLevel="0" collapsed="false">
      <c r="A316" s="35" t="s">
        <v>1712</v>
      </c>
      <c r="B316" s="35" t="s">
        <v>1325</v>
      </c>
      <c r="C316" s="37" t="str">
        <f aca="false">IF(B316="","",IFERROR(INDEX(Applications!$B$5:$B$600,MATCH(B316,Applications!$A$5:$A$600,0)),"Application ID not found"))</f>
        <v>Tucson Youth Food Lab</v>
      </c>
      <c r="D316" s="35" t="s">
        <v>82</v>
      </c>
      <c r="E316" s="35" t="s">
        <v>80</v>
      </c>
      <c r="F316" s="36" t="n">
        <v>45943</v>
      </c>
      <c r="G316" s="35" t="n">
        <v>4</v>
      </c>
      <c r="H316" s="35" t="n">
        <v>4</v>
      </c>
      <c r="I316" s="35" t="n">
        <v>4</v>
      </c>
      <c r="J316" s="35" t="n">
        <v>4</v>
      </c>
      <c r="K316" s="35" t="n">
        <v>4</v>
      </c>
      <c r="L316" s="35" t="n">
        <v>3</v>
      </c>
      <c r="M316" s="50" t="n">
        <f aca="false">IF(COUNT(G316:L316)&lt;6,"",ROUND((G316*Rubric!$D$5+H316*Rubric!$D$6+I316*Rubric!$D$7+J316*Rubric!$D$8+K316*Rubric!$D$9+L316*Rubric!$D$10)/5*100,1))</f>
        <v>78</v>
      </c>
      <c r="N316" s="37" t="str">
        <f aca="false">IF(OR(B316="",D316=""),"",IFERROR(IF(IF(E316="Primary",INDEX(Applications!$I$5:$I$600,MATCH(B316,Applications!$A$5:$A$600,0)),IF(E316="Secondary",INDEX(Applications!$J$5:$J$600,MATCH(B316,Applications!$A$5:$A$600,0)),INDEX(Applications!$K$5:$K$600,MATCH(B316,Applications!$A$5:$A$600,0))))=D316,"OK","Not assigned"),"Check ID"))</f>
        <v>OK</v>
      </c>
      <c r="O316" s="7"/>
    </row>
    <row r="317" customFormat="false" ht="15" hidden="false" customHeight="false" outlineLevel="0" collapsed="false">
      <c r="A317" s="35" t="s">
        <v>1713</v>
      </c>
      <c r="B317" s="35" t="s">
        <v>1079</v>
      </c>
      <c r="C317" s="37" t="str">
        <f aca="false">IF(B317="","",IFERROR(INDEX(Applications!$B$5:$B$600,MATCH(B317,Applications!$A$5:$A$600,0)),"Application ID not found"))</f>
        <v>Atlanta Mobile Market</v>
      </c>
      <c r="D317" s="35" t="s">
        <v>82</v>
      </c>
      <c r="E317" s="35" t="s">
        <v>80</v>
      </c>
      <c r="F317" s="36" t="n">
        <v>45943</v>
      </c>
      <c r="G317" s="35" t="n">
        <v>1</v>
      </c>
      <c r="H317" s="35" t="n">
        <v>3</v>
      </c>
      <c r="I317" s="35" t="n">
        <v>2</v>
      </c>
      <c r="J317" s="35" t="n">
        <v>2</v>
      </c>
      <c r="K317" s="35" t="n">
        <v>1</v>
      </c>
      <c r="L317" s="35" t="n">
        <v>2</v>
      </c>
      <c r="M317" s="50" t="n">
        <f aca="false">IF(COUNT(G317:L317)&lt;6,"",ROUND((G317*Rubric!$D$5+H317*Rubric!$D$6+I317*Rubric!$D$7+J317*Rubric!$D$8+K317*Rubric!$D$9+L317*Rubric!$D$10)/5*100,1))</f>
        <v>37</v>
      </c>
      <c r="N317" s="37" t="str">
        <f aca="false">IF(OR(B317="",D317=""),"",IFERROR(IF(IF(E317="Primary",INDEX(Applications!$I$5:$I$600,MATCH(B317,Applications!$A$5:$A$600,0)),IF(E317="Secondary",INDEX(Applications!$J$5:$J$600,MATCH(B317,Applications!$A$5:$A$600,0)),INDEX(Applications!$K$5:$K$600,MATCH(B317,Applications!$A$5:$A$600,0))))=D317,"OK","Not assigned"),"Check ID"))</f>
        <v>OK</v>
      </c>
      <c r="O317" s="7"/>
    </row>
    <row r="318" customFormat="false" ht="15" hidden="false" customHeight="false" outlineLevel="0" collapsed="false">
      <c r="A318" s="35" t="s">
        <v>1714</v>
      </c>
      <c r="B318" s="35" t="s">
        <v>1023</v>
      </c>
      <c r="C318" s="37" t="str">
        <f aca="false">IF(B318="","",IFERROR(INDEX(Applications!$B$5:$B$600,MATCH(B318,Applications!$A$5:$A$600,0)),"Application ID not found"))</f>
        <v>Canal Street Food Bank</v>
      </c>
      <c r="D318" s="35" t="s">
        <v>82</v>
      </c>
      <c r="E318" s="35" t="s">
        <v>80</v>
      </c>
      <c r="F318" s="36" t="n">
        <v>45943</v>
      </c>
      <c r="G318" s="35" t="n">
        <v>1</v>
      </c>
      <c r="H318" s="35" t="n">
        <v>1</v>
      </c>
      <c r="I318" s="35" t="n">
        <v>1</v>
      </c>
      <c r="J318" s="35" t="n">
        <v>1</v>
      </c>
      <c r="K318" s="35" t="n">
        <v>2</v>
      </c>
      <c r="L318" s="35" t="n">
        <v>1</v>
      </c>
      <c r="M318" s="50" t="n">
        <f aca="false">IF(COUNT(G318:L318)&lt;6,"",ROUND((G318*Rubric!$D$5+H318*Rubric!$D$6+I318*Rubric!$D$7+J318*Rubric!$D$8+K318*Rubric!$D$9+L318*Rubric!$D$10)/5*100,1))</f>
        <v>22</v>
      </c>
      <c r="N318" s="37" t="str">
        <f aca="false">IF(OR(B318="",D318=""),"",IFERROR(IF(IF(E318="Primary",INDEX(Applications!$I$5:$I$600,MATCH(B318,Applications!$A$5:$A$600,0)),IF(E318="Secondary",INDEX(Applications!$J$5:$J$600,MATCH(B318,Applications!$A$5:$A$600,0)),INDEX(Applications!$K$5:$K$600,MATCH(B318,Applications!$A$5:$A$600,0))))=D318,"OK","Not assigned"),"Check ID"))</f>
        <v>OK</v>
      </c>
      <c r="O318" s="7"/>
    </row>
    <row r="319" customFormat="false" ht="15" hidden="false" customHeight="false" outlineLevel="0" collapsed="false">
      <c r="A319" s="35" t="s">
        <v>1715</v>
      </c>
      <c r="B319" s="35" t="s">
        <v>408</v>
      </c>
      <c r="C319" s="37" t="str">
        <f aca="false">IF(B319="","",IFERROR(INDEX(Applications!$B$5:$B$600,MATCH(B319,Applications!$A$5:$A$600,0)),"Application ID not found"))</f>
        <v>Mombasa Youth Food Lab</v>
      </c>
      <c r="D319" s="35" t="s">
        <v>82</v>
      </c>
      <c r="E319" s="35" t="s">
        <v>83</v>
      </c>
      <c r="F319" s="36" t="n">
        <v>45943</v>
      </c>
      <c r="G319" s="35" t="n">
        <v>3</v>
      </c>
      <c r="H319" s="35" t="n">
        <v>3</v>
      </c>
      <c r="I319" s="35" t="n">
        <v>3</v>
      </c>
      <c r="J319" s="35" t="n">
        <v>3</v>
      </c>
      <c r="K319" s="35" t="n">
        <v>3</v>
      </c>
      <c r="L319" s="35" t="n">
        <v>2</v>
      </c>
      <c r="M319" s="50" t="n">
        <f aca="false">IF(COUNT(G319:L319)&lt;6,"",ROUND((G319*Rubric!$D$5+H319*Rubric!$D$6+I319*Rubric!$D$7+J319*Rubric!$D$8+K319*Rubric!$D$9+L319*Rubric!$D$10)/5*100,1))</f>
        <v>58</v>
      </c>
      <c r="N319" s="37" t="str">
        <f aca="false">IF(OR(B319="",D319=""),"",IFERROR(IF(IF(E319="Primary",INDEX(Applications!$I$5:$I$600,MATCH(B319,Applications!$A$5:$A$600,0)),IF(E319="Secondary",INDEX(Applications!$J$5:$J$600,MATCH(B319,Applications!$A$5:$A$600,0)),INDEX(Applications!$K$5:$K$600,MATCH(B319,Applications!$A$5:$A$600,0))))=D319,"OK","Not assigned"),"Check ID"))</f>
        <v>OK</v>
      </c>
      <c r="O319" s="7" t="s">
        <v>1416</v>
      </c>
    </row>
    <row r="320" customFormat="false" ht="15" hidden="false" customHeight="false" outlineLevel="0" collapsed="false">
      <c r="A320" s="35" t="s">
        <v>1716</v>
      </c>
      <c r="B320" s="35" t="s">
        <v>241</v>
      </c>
      <c r="C320" s="37" t="str">
        <f aca="false">IF(B320="","",IFERROR(INDEX(Applications!$B$5:$B$600,MATCH(B320,Applications!$A$5:$A$600,0)),"Application ID not found"))</f>
        <v>Adelaide Seed Library</v>
      </c>
      <c r="D320" s="35" t="s">
        <v>82</v>
      </c>
      <c r="E320" s="35" t="s">
        <v>80</v>
      </c>
      <c r="F320" s="36" t="n">
        <v>45943</v>
      </c>
      <c r="G320" s="35" t="n">
        <v>2</v>
      </c>
      <c r="H320" s="35" t="n">
        <v>2</v>
      </c>
      <c r="I320" s="35" t="n">
        <v>3</v>
      </c>
      <c r="J320" s="35" t="n">
        <v>3</v>
      </c>
      <c r="K320" s="35" t="n">
        <v>2</v>
      </c>
      <c r="L320" s="35" t="n">
        <v>3</v>
      </c>
      <c r="M320" s="50" t="n">
        <f aca="false">IF(COUNT(G320:L320)&lt;6,"",ROUND((G320*Rubric!$D$5+H320*Rubric!$D$6+I320*Rubric!$D$7+J320*Rubric!$D$8+K320*Rubric!$D$9+L320*Rubric!$D$10)/5*100,1))</f>
        <v>49</v>
      </c>
      <c r="N320" s="37" t="str">
        <f aca="false">IF(OR(B320="",D320=""),"",IFERROR(IF(IF(E320="Primary",INDEX(Applications!$I$5:$I$600,MATCH(B320,Applications!$A$5:$A$600,0)),IF(E320="Secondary",INDEX(Applications!$J$5:$J$600,MATCH(B320,Applications!$A$5:$A$600,0)),INDEX(Applications!$K$5:$K$600,MATCH(B320,Applications!$A$5:$A$600,0))))=D320,"OK","Not assigned"),"Check ID"))</f>
        <v>OK</v>
      </c>
      <c r="O320" s="7"/>
    </row>
    <row r="321" customFormat="false" ht="15" hidden="false" customHeight="false" outlineLevel="0" collapsed="false">
      <c r="A321" s="35" t="s">
        <v>1717</v>
      </c>
      <c r="B321" s="35" t="s">
        <v>500</v>
      </c>
      <c r="C321" s="37" t="str">
        <f aca="false">IF(B321="","",IFERROR(INDEX(Applications!$B$5:$B$600,MATCH(B321,Applications!$A$5:$A$600,0)),"Application ID not found"))</f>
        <v>Thistle Meals Project</v>
      </c>
      <c r="D321" s="35" t="s">
        <v>88</v>
      </c>
      <c r="E321" s="35" t="s">
        <v>80</v>
      </c>
      <c r="F321" s="36" t="n">
        <v>45943</v>
      </c>
      <c r="G321" s="35" t="n">
        <v>4</v>
      </c>
      <c r="H321" s="35" t="n">
        <v>4</v>
      </c>
      <c r="I321" s="35" t="n">
        <v>4</v>
      </c>
      <c r="J321" s="35" t="n">
        <v>3</v>
      </c>
      <c r="K321" s="35" t="n">
        <v>3</v>
      </c>
      <c r="L321" s="35" t="n">
        <v>4</v>
      </c>
      <c r="M321" s="50" t="n">
        <f aca="false">IF(COUNT(G321:L321)&lt;6,"",ROUND((G321*Rubric!$D$5+H321*Rubric!$D$6+I321*Rubric!$D$7+J321*Rubric!$D$8+K321*Rubric!$D$9+L321*Rubric!$D$10)/5*100,1))</f>
        <v>75</v>
      </c>
      <c r="N321" s="37" t="str">
        <f aca="false">IF(OR(B321="",D321=""),"",IFERROR(IF(IF(E321="Primary",INDEX(Applications!$I$5:$I$600,MATCH(B321,Applications!$A$5:$A$600,0)),IF(E321="Secondary",INDEX(Applications!$J$5:$J$600,MATCH(B321,Applications!$A$5:$A$600,0)),INDEX(Applications!$K$5:$K$600,MATCH(B321,Applications!$A$5:$A$600,0))))=D321,"OK","Not assigned"),"Check ID"))</f>
        <v>OK</v>
      </c>
      <c r="O321" s="7"/>
    </row>
    <row r="322" customFormat="false" ht="15" hidden="false" customHeight="false" outlineLevel="0" collapsed="false">
      <c r="A322" s="35" t="s">
        <v>1718</v>
      </c>
      <c r="B322" s="35" t="s">
        <v>1003</v>
      </c>
      <c r="C322" s="37" t="str">
        <f aca="false">IF(B322="","",IFERROR(INDEX(Applications!$B$5:$B$600,MATCH(B322,Applications!$A$5:$A$600,0)),"Application ID not found"))</f>
        <v>Lantern Community Pantry</v>
      </c>
      <c r="D322" s="35" t="s">
        <v>88</v>
      </c>
      <c r="E322" s="35" t="s">
        <v>83</v>
      </c>
      <c r="F322" s="36" t="n">
        <v>45943</v>
      </c>
      <c r="G322" s="35" t="n">
        <v>4</v>
      </c>
      <c r="H322" s="35" t="n">
        <v>4</v>
      </c>
      <c r="I322" s="35" t="n">
        <v>4</v>
      </c>
      <c r="J322" s="35" t="n">
        <v>4</v>
      </c>
      <c r="K322" s="35" t="n">
        <v>4</v>
      </c>
      <c r="L322" s="35" t="n">
        <v>3</v>
      </c>
      <c r="M322" s="50" t="n">
        <f aca="false">IF(COUNT(G322:L322)&lt;6,"",ROUND((G322*Rubric!$D$5+H322*Rubric!$D$6+I322*Rubric!$D$7+J322*Rubric!$D$8+K322*Rubric!$D$9+L322*Rubric!$D$10)/5*100,1))</f>
        <v>78</v>
      </c>
      <c r="N322" s="37" t="str">
        <f aca="false">IF(OR(B322="",D322=""),"",IFERROR(IF(IF(E322="Primary",INDEX(Applications!$I$5:$I$600,MATCH(B322,Applications!$A$5:$A$600,0)),IF(E322="Secondary",INDEX(Applications!$J$5:$J$600,MATCH(B322,Applications!$A$5:$A$600,0)),INDEX(Applications!$K$5:$K$600,MATCH(B322,Applications!$A$5:$A$600,0))))=D322,"OK","Not assigned"),"Check ID"))</f>
        <v>OK</v>
      </c>
      <c r="O322" s="7" t="s">
        <v>1416</v>
      </c>
    </row>
    <row r="323" customFormat="false" ht="15" hidden="false" customHeight="false" outlineLevel="0" collapsed="false">
      <c r="A323" s="35" t="s">
        <v>1719</v>
      </c>
      <c r="B323" s="35" t="s">
        <v>530</v>
      </c>
      <c r="C323" s="37" t="str">
        <f aca="false">IF(B323="","",IFERROR(INDEX(Applications!$B$5:$B$600,MATCH(B323,Applications!$A$5:$A$600,0)),"Application ID not found"))</f>
        <v>Tulsa Kitchen Project</v>
      </c>
      <c r="D323" s="35" t="s">
        <v>88</v>
      </c>
      <c r="E323" s="35" t="s">
        <v>80</v>
      </c>
      <c r="F323" s="36" t="n">
        <v>45943</v>
      </c>
      <c r="G323" s="35" t="n">
        <v>4</v>
      </c>
      <c r="H323" s="35" t="n">
        <v>5</v>
      </c>
      <c r="I323" s="35" t="n">
        <v>4</v>
      </c>
      <c r="J323" s="35" t="n">
        <v>4</v>
      </c>
      <c r="K323" s="35" t="n">
        <v>5</v>
      </c>
      <c r="L323" s="35" t="n">
        <v>4</v>
      </c>
      <c r="M323" s="50" t="n">
        <f aca="false">IF(COUNT(G323:L323)&lt;6,"",ROUND((G323*Rubric!$D$5+H323*Rubric!$D$6+I323*Rubric!$D$7+J323*Rubric!$D$8+K323*Rubric!$D$9+L323*Rubric!$D$10)/5*100,1))</f>
        <v>86</v>
      </c>
      <c r="N323" s="37" t="str">
        <f aca="false">IF(OR(B323="",D323=""),"",IFERROR(IF(IF(E323="Primary",INDEX(Applications!$I$5:$I$600,MATCH(B323,Applications!$A$5:$A$600,0)),IF(E323="Secondary",INDEX(Applications!$J$5:$J$600,MATCH(B323,Applications!$A$5:$A$600,0)),INDEX(Applications!$K$5:$K$600,MATCH(B323,Applications!$A$5:$A$600,0))))=D323,"OK","Not assigned"),"Check ID"))</f>
        <v>OK</v>
      </c>
      <c r="O323" s="7" t="s">
        <v>1418</v>
      </c>
    </row>
    <row r="324" customFormat="false" ht="15" hidden="false" customHeight="false" outlineLevel="0" collapsed="false">
      <c r="A324" s="35" t="s">
        <v>1720</v>
      </c>
      <c r="B324" s="35" t="s">
        <v>508</v>
      </c>
      <c r="C324" s="37" t="str">
        <f aca="false">IF(B324="","",IFERROR(INDEX(Applications!$B$5:$B$600,MATCH(B324,Applications!$A$5:$A$600,0)),"Application ID not found"))</f>
        <v>Juniper Pantry Network</v>
      </c>
      <c r="D324" s="35" t="s">
        <v>88</v>
      </c>
      <c r="E324" s="35" t="s">
        <v>83</v>
      </c>
      <c r="F324" s="36" t="n">
        <v>45943</v>
      </c>
      <c r="G324" s="35" t="n">
        <v>4</v>
      </c>
      <c r="H324" s="35" t="n">
        <v>5</v>
      </c>
      <c r="I324" s="35" t="n">
        <v>5</v>
      </c>
      <c r="J324" s="35" t="n">
        <v>5</v>
      </c>
      <c r="K324" s="35" t="n">
        <v>3</v>
      </c>
      <c r="L324" s="35" t="n">
        <v>5</v>
      </c>
      <c r="M324" s="50" t="n">
        <f aca="false">IF(COUNT(G324:L324)&lt;6,"",ROUND((G324*Rubric!$D$5+H324*Rubric!$D$6+I324*Rubric!$D$7+J324*Rubric!$D$8+K324*Rubric!$D$9+L324*Rubric!$D$10)/5*100,1))</f>
        <v>91</v>
      </c>
      <c r="N324" s="37" t="str">
        <f aca="false">IF(OR(B324="",D324=""),"",IFERROR(IF(IF(E324="Primary",INDEX(Applications!$I$5:$I$600,MATCH(B324,Applications!$A$5:$A$600,0)),IF(E324="Secondary",INDEX(Applications!$J$5:$J$600,MATCH(B324,Applications!$A$5:$A$600,0)),INDEX(Applications!$K$5:$K$600,MATCH(B324,Applications!$A$5:$A$600,0))))=D324,"OK","Not assigned"),"Check ID"))</f>
        <v>OK</v>
      </c>
      <c r="O324" s="7"/>
    </row>
    <row r="325" customFormat="false" ht="15" hidden="false" customHeight="false" outlineLevel="0" collapsed="false">
      <c r="A325" s="35" t="s">
        <v>1721</v>
      </c>
      <c r="B325" s="35" t="s">
        <v>897</v>
      </c>
      <c r="C325" s="37" t="str">
        <f aca="false">IF(B325="","",IFERROR(INDEX(Applications!$B$5:$B$600,MATCH(B325,Applications!$A$5:$A$600,0)),"Application ID not found"))</f>
        <v>Bridgeview Mobile Market</v>
      </c>
      <c r="D325" s="35" t="s">
        <v>88</v>
      </c>
      <c r="E325" s="35" t="s">
        <v>80</v>
      </c>
      <c r="F325" s="36" t="n">
        <v>45943</v>
      </c>
      <c r="G325" s="35" t="n">
        <v>5</v>
      </c>
      <c r="H325" s="35" t="n">
        <v>5</v>
      </c>
      <c r="I325" s="35" t="n">
        <v>4</v>
      </c>
      <c r="J325" s="35" t="n">
        <v>5</v>
      </c>
      <c r="K325" s="35" t="n">
        <v>5</v>
      </c>
      <c r="L325" s="35" t="n">
        <v>4</v>
      </c>
      <c r="M325" s="50" t="n">
        <f aca="false">IF(COUNT(G325:L325)&lt;6,"",ROUND((G325*Rubric!$D$5+H325*Rubric!$D$6+I325*Rubric!$D$7+J325*Rubric!$D$8+K325*Rubric!$D$9+L325*Rubric!$D$10)/5*100,1))</f>
        <v>94</v>
      </c>
      <c r="N325" s="37" t="str">
        <f aca="false">IF(OR(B325="",D325=""),"",IFERROR(IF(IF(E325="Primary",INDEX(Applications!$I$5:$I$600,MATCH(B325,Applications!$A$5:$A$600,0)),IF(E325="Secondary",INDEX(Applications!$J$5:$J$600,MATCH(B325,Applications!$A$5:$A$600,0)),INDEX(Applications!$K$5:$K$600,MATCH(B325,Applications!$A$5:$A$600,0))))=D325,"OK","Not assigned"),"Check ID"))</f>
        <v>OK</v>
      </c>
      <c r="O325" s="7"/>
    </row>
    <row r="326" customFormat="false" ht="15" hidden="false" customHeight="false" outlineLevel="0" collapsed="false">
      <c r="A326" s="35" t="s">
        <v>1722</v>
      </c>
      <c r="B326" s="35" t="s">
        <v>1247</v>
      </c>
      <c r="C326" s="37" t="str">
        <f aca="false">IF(B326="","",IFERROR(INDEX(Applications!$B$5:$B$600,MATCH(B326,Applications!$A$5:$A$600,0)),"Application ID not found"))</f>
        <v>Memphis Farm School</v>
      </c>
      <c r="D326" s="35" t="s">
        <v>88</v>
      </c>
      <c r="E326" s="35" t="s">
        <v>80</v>
      </c>
      <c r="F326" s="36" t="n">
        <v>45943</v>
      </c>
      <c r="G326" s="35" t="n">
        <v>5</v>
      </c>
      <c r="H326" s="35" t="n">
        <v>4</v>
      </c>
      <c r="I326" s="35" t="n">
        <v>5</v>
      </c>
      <c r="J326" s="35" t="n">
        <v>4</v>
      </c>
      <c r="K326" s="35" t="n">
        <v>5</v>
      </c>
      <c r="L326" s="35" t="n">
        <v>5</v>
      </c>
      <c r="M326" s="50" t="n">
        <f aca="false">IF(COUNT(G326:L326)&lt;6,"",ROUND((G326*Rubric!$D$5+H326*Rubric!$D$6+I326*Rubric!$D$7+J326*Rubric!$D$8+K326*Rubric!$D$9+L326*Rubric!$D$10)/5*100,1))</f>
        <v>93</v>
      </c>
      <c r="N326" s="37" t="str">
        <f aca="false">IF(OR(B326="",D326=""),"",IFERROR(IF(IF(E326="Primary",INDEX(Applications!$I$5:$I$600,MATCH(B326,Applications!$A$5:$A$600,0)),IF(E326="Secondary",INDEX(Applications!$J$5:$J$600,MATCH(B326,Applications!$A$5:$A$600,0)),INDEX(Applications!$K$5:$K$600,MATCH(B326,Applications!$A$5:$A$600,0))))=D326,"OK","Not assigned"),"Check ID"))</f>
        <v>OK</v>
      </c>
      <c r="O326" s="7"/>
    </row>
    <row r="327" customFormat="false" ht="15" hidden="false" customHeight="false" outlineLevel="0" collapsed="false">
      <c r="A327" s="35" t="s">
        <v>1723</v>
      </c>
      <c r="B327" s="35" t="s">
        <v>861</v>
      </c>
      <c r="C327" s="37" t="str">
        <f aca="false">IF(B327="","",IFERROR(INDEX(Applications!$B$5:$B$600,MATCH(B327,Applications!$A$5:$A$600,0)),"Application ID not found"))</f>
        <v>Old Town Community Pantry</v>
      </c>
      <c r="D327" s="35" t="s">
        <v>88</v>
      </c>
      <c r="E327" s="35" t="s">
        <v>80</v>
      </c>
      <c r="F327" s="36" t="n">
        <v>45943</v>
      </c>
      <c r="G327" s="35" t="n">
        <v>4</v>
      </c>
      <c r="H327" s="35" t="n">
        <v>4</v>
      </c>
      <c r="I327" s="35" t="n">
        <v>4</v>
      </c>
      <c r="J327" s="35" t="n">
        <v>4</v>
      </c>
      <c r="K327" s="35" t="n">
        <v>5</v>
      </c>
      <c r="L327" s="35" t="n">
        <v>5</v>
      </c>
      <c r="M327" s="50" t="n">
        <f aca="false">IF(COUNT(G327:L327)&lt;6,"",ROUND((G327*Rubric!$D$5+H327*Rubric!$D$6+I327*Rubric!$D$7+J327*Rubric!$D$8+K327*Rubric!$D$9+L327*Rubric!$D$10)/5*100,1))</f>
        <v>84</v>
      </c>
      <c r="N327" s="37" t="str">
        <f aca="false">IF(OR(B327="",D327=""),"",IFERROR(IF(IF(E327="Primary",INDEX(Applications!$I$5:$I$600,MATCH(B327,Applications!$A$5:$A$600,0)),IF(E327="Secondary",INDEX(Applications!$J$5:$J$600,MATCH(B327,Applications!$A$5:$A$600,0)),INDEX(Applications!$K$5:$K$600,MATCH(B327,Applications!$A$5:$A$600,0))))=D327,"OK","Not assigned"),"Check ID"))</f>
        <v>OK</v>
      </c>
      <c r="O327" s="7"/>
    </row>
    <row r="328" customFormat="false" ht="15" hidden="false" customHeight="false" outlineLevel="0" collapsed="false">
      <c r="A328" s="35" t="s">
        <v>1724</v>
      </c>
      <c r="B328" s="35" t="s">
        <v>613</v>
      </c>
      <c r="C328" s="37" t="str">
        <f aca="false">IF(B328="","",IFERROR(INDEX(Applications!$B$5:$B$600,MATCH(B328,Applications!$A$5:$A$600,0)),"Application ID not found"))</f>
        <v>Harbor Youth Food Lab</v>
      </c>
      <c r="D328" s="35" t="s">
        <v>88</v>
      </c>
      <c r="E328" s="35" t="s">
        <v>83</v>
      </c>
      <c r="F328" s="36" t="n">
        <v>45943</v>
      </c>
      <c r="G328" s="35" t="n">
        <v>4</v>
      </c>
      <c r="H328" s="35" t="n">
        <v>5</v>
      </c>
      <c r="I328" s="35" t="n">
        <v>4</v>
      </c>
      <c r="J328" s="35" t="n">
        <v>4</v>
      </c>
      <c r="K328" s="35" t="n">
        <v>4</v>
      </c>
      <c r="L328" s="35" t="n">
        <v>5</v>
      </c>
      <c r="M328" s="50" t="n">
        <f aca="false">IF(COUNT(G328:L328)&lt;6,"",ROUND((G328*Rubric!$D$5+H328*Rubric!$D$6+I328*Rubric!$D$7+J328*Rubric!$D$8+K328*Rubric!$D$9+L328*Rubric!$D$10)/5*100,1))</f>
        <v>86</v>
      </c>
      <c r="N328" s="37" t="str">
        <f aca="false">IF(OR(B328="",D328=""),"",IFERROR(IF(IF(E328="Primary",INDEX(Applications!$I$5:$I$600,MATCH(B328,Applications!$A$5:$A$600,0)),IF(E328="Secondary",INDEX(Applications!$J$5:$J$600,MATCH(B328,Applications!$A$5:$A$600,0)),INDEX(Applications!$K$5:$K$600,MATCH(B328,Applications!$A$5:$A$600,0))))=D328,"OK","Not assigned"),"Check ID"))</f>
        <v>OK</v>
      </c>
      <c r="O328" s="7"/>
    </row>
    <row r="329" customFormat="false" ht="15" hidden="false" customHeight="false" outlineLevel="0" collapsed="false">
      <c r="A329" s="35" t="s">
        <v>1725</v>
      </c>
      <c r="B329" s="35" t="s">
        <v>472</v>
      </c>
      <c r="C329" s="37" t="str">
        <f aca="false">IF(B329="","",IFERROR(INDEX(Applications!$B$5:$B$600,MATCH(B329,Applications!$A$5:$A$600,0)),"Application ID not found"))</f>
        <v>Yakima Community Kitchen</v>
      </c>
      <c r="D329" s="35" t="s">
        <v>88</v>
      </c>
      <c r="E329" s="35" t="s">
        <v>80</v>
      </c>
      <c r="F329" s="36" t="n">
        <v>45943</v>
      </c>
      <c r="G329" s="35" t="n">
        <v>4</v>
      </c>
      <c r="H329" s="35" t="n">
        <v>4</v>
      </c>
      <c r="I329" s="35" t="n">
        <v>4</v>
      </c>
      <c r="J329" s="35" t="n">
        <v>4</v>
      </c>
      <c r="K329" s="35" t="n">
        <v>4</v>
      </c>
      <c r="L329" s="35" t="n">
        <v>4</v>
      </c>
      <c r="M329" s="50" t="n">
        <f aca="false">IF(COUNT(G329:L329)&lt;6,"",ROUND((G329*Rubric!$D$5+H329*Rubric!$D$6+I329*Rubric!$D$7+J329*Rubric!$D$8+K329*Rubric!$D$9+L329*Rubric!$D$10)/5*100,1))</f>
        <v>80</v>
      </c>
      <c r="N329" s="37" t="str">
        <f aca="false">IF(OR(B329="",D329=""),"",IFERROR(IF(IF(E329="Primary",INDEX(Applications!$I$5:$I$600,MATCH(B329,Applications!$A$5:$A$600,0)),IF(E329="Secondary",INDEX(Applications!$J$5:$J$600,MATCH(B329,Applications!$A$5:$A$600,0)),INDEX(Applications!$K$5:$K$600,MATCH(B329,Applications!$A$5:$A$600,0))))=D329,"OK","Not assigned"),"Check ID"))</f>
        <v>OK</v>
      </c>
      <c r="O329" s="7"/>
    </row>
    <row r="330" customFormat="false" ht="15" hidden="false" customHeight="false" outlineLevel="0" collapsed="false">
      <c r="A330" s="35" t="s">
        <v>1726</v>
      </c>
      <c r="B330" s="35" t="s">
        <v>510</v>
      </c>
      <c r="C330" s="37" t="str">
        <f aca="false">IF(B330="","",IFERROR(INDEX(Applications!$B$5:$B$600,MATCH(B330,Applications!$A$5:$A$600,0)),"Application ID not found"))</f>
        <v>Tulsa Seed Library</v>
      </c>
      <c r="D330" s="35" t="s">
        <v>88</v>
      </c>
      <c r="E330" s="35" t="s">
        <v>83</v>
      </c>
      <c r="F330" s="36" t="n">
        <v>45943</v>
      </c>
      <c r="G330" s="35" t="n">
        <v>3</v>
      </c>
      <c r="H330" s="35" t="n">
        <v>4</v>
      </c>
      <c r="I330" s="35" t="n">
        <v>3</v>
      </c>
      <c r="J330" s="35" t="n">
        <v>4</v>
      </c>
      <c r="K330" s="35" t="n">
        <v>3</v>
      </c>
      <c r="L330" s="35" t="n">
        <v>3</v>
      </c>
      <c r="M330" s="50" t="n">
        <f aca="false">IF(COUNT(G330:L330)&lt;6,"",ROUND((G330*Rubric!$D$5+H330*Rubric!$D$6+I330*Rubric!$D$7+J330*Rubric!$D$8+K330*Rubric!$D$9+L330*Rubric!$D$10)/5*100,1))</f>
        <v>67</v>
      </c>
      <c r="N330" s="37" t="str">
        <f aca="false">IF(OR(B330="",D330=""),"",IFERROR(IF(IF(E330="Primary",INDEX(Applications!$I$5:$I$600,MATCH(B330,Applications!$A$5:$A$600,0)),IF(E330="Secondary",INDEX(Applications!$J$5:$J$600,MATCH(B330,Applications!$A$5:$A$600,0)),INDEX(Applications!$K$5:$K$600,MATCH(B330,Applications!$A$5:$A$600,0))))=D330,"OK","Not assigned"),"Check ID"))</f>
        <v>OK</v>
      </c>
      <c r="O330" s="7"/>
    </row>
    <row r="331" customFormat="false" ht="15" hidden="false" customHeight="false" outlineLevel="0" collapsed="false">
      <c r="A331" s="35" t="s">
        <v>1727</v>
      </c>
      <c r="B331" s="35" t="s">
        <v>831</v>
      </c>
      <c r="C331" s="37" t="str">
        <f aca="false">IF(B331="","",IFERROR(INDEX(Applications!$B$5:$B$600,MATCH(B331,Applications!$A$5:$A$600,0)),"Application ID not found"))</f>
        <v>Cologne Meals Project</v>
      </c>
      <c r="D331" s="35" t="s">
        <v>88</v>
      </c>
      <c r="E331" s="35" t="s">
        <v>83</v>
      </c>
      <c r="F331" s="36" t="n">
        <v>45943</v>
      </c>
      <c r="G331" s="35" t="n">
        <v>5</v>
      </c>
      <c r="H331" s="35" t="n">
        <v>5</v>
      </c>
      <c r="I331" s="35" t="n">
        <v>5</v>
      </c>
      <c r="J331" s="35" t="n">
        <v>5</v>
      </c>
      <c r="K331" s="35" t="n">
        <v>5</v>
      </c>
      <c r="L331" s="35" t="n">
        <v>5</v>
      </c>
      <c r="M331" s="50" t="n">
        <f aca="false">IF(COUNT(G331:L331)&lt;6,"",ROUND((G331*Rubric!$D$5+H331*Rubric!$D$6+I331*Rubric!$D$7+J331*Rubric!$D$8+K331*Rubric!$D$9+L331*Rubric!$D$10)/5*100,1))</f>
        <v>100</v>
      </c>
      <c r="N331" s="37" t="str">
        <f aca="false">IF(OR(B331="",D331=""),"",IFERROR(IF(IF(E331="Primary",INDEX(Applications!$I$5:$I$600,MATCH(B331,Applications!$A$5:$A$600,0)),IF(E331="Secondary",INDEX(Applications!$J$5:$J$600,MATCH(B331,Applications!$A$5:$A$600,0)),INDEX(Applications!$K$5:$K$600,MATCH(B331,Applications!$A$5:$A$600,0))))=D331,"OK","Not assigned"),"Check ID"))</f>
        <v>OK</v>
      </c>
      <c r="O331" s="7"/>
    </row>
    <row r="332" customFormat="false" ht="15" hidden="false" customHeight="false" outlineLevel="0" collapsed="false">
      <c r="A332" s="35" t="s">
        <v>1728</v>
      </c>
      <c r="B332" s="35" t="s">
        <v>1155</v>
      </c>
      <c r="C332" s="37" t="str">
        <f aca="false">IF(B332="","",IFERROR(INDEX(Applications!$B$5:$B$600,MATCH(B332,Applications!$A$5:$A$600,0)),"Application ID not found"))</f>
        <v>Columbus Community Pantry</v>
      </c>
      <c r="D332" s="35" t="s">
        <v>88</v>
      </c>
      <c r="E332" s="35" t="s">
        <v>80</v>
      </c>
      <c r="F332" s="36" t="n">
        <v>45943</v>
      </c>
      <c r="G332" s="35" t="n">
        <v>3</v>
      </c>
      <c r="H332" s="35" t="n">
        <v>2</v>
      </c>
      <c r="I332" s="35" t="n">
        <v>3</v>
      </c>
      <c r="J332" s="35" t="n">
        <v>3</v>
      </c>
      <c r="K332" s="35" t="n">
        <v>3</v>
      </c>
      <c r="L332" s="35" t="n">
        <v>3</v>
      </c>
      <c r="M332" s="50" t="n">
        <f aca="false">IF(COUNT(G332:L332)&lt;6,"",ROUND((G332*Rubric!$D$5+H332*Rubric!$D$6+I332*Rubric!$D$7+J332*Rubric!$D$8+K332*Rubric!$D$9+L332*Rubric!$D$10)/5*100,1))</f>
        <v>56</v>
      </c>
      <c r="N332" s="37" t="str">
        <f aca="false">IF(OR(B332="",D332=""),"",IFERROR(IF(IF(E332="Primary",INDEX(Applications!$I$5:$I$600,MATCH(B332,Applications!$A$5:$A$600,0)),IF(E332="Secondary",INDEX(Applications!$J$5:$J$600,MATCH(B332,Applications!$A$5:$A$600,0)),INDEX(Applications!$K$5:$K$600,MATCH(B332,Applications!$A$5:$A$600,0))))=D332,"OK","Not assigned"),"Check ID"))</f>
        <v>OK</v>
      </c>
      <c r="O332" s="7"/>
    </row>
    <row r="333" customFormat="false" ht="15" hidden="false" customHeight="false" outlineLevel="0" collapsed="false">
      <c r="A333" s="35" t="s">
        <v>1729</v>
      </c>
      <c r="B333" s="35" t="s">
        <v>1169</v>
      </c>
      <c r="C333" s="37" t="str">
        <f aca="false">IF(B333="","",IFERROR(INDEX(Applications!$B$5:$B$600,MATCH(B333,Applications!$A$5:$A$600,0)),"Application ID not found"))</f>
        <v>Bluestem Market Gardens</v>
      </c>
      <c r="D333" s="35" t="s">
        <v>91</v>
      </c>
      <c r="E333" s="35" t="s">
        <v>80</v>
      </c>
      <c r="F333" s="36" t="n">
        <v>45943</v>
      </c>
      <c r="G333" s="35" t="n">
        <v>3</v>
      </c>
      <c r="H333" s="35" t="n">
        <v>4</v>
      </c>
      <c r="I333" s="35" t="n">
        <v>4</v>
      </c>
      <c r="J333" s="35" t="n">
        <v>3</v>
      </c>
      <c r="K333" s="35" t="n">
        <v>4</v>
      </c>
      <c r="L333" s="35" t="n">
        <v>4</v>
      </c>
      <c r="M333" s="50" t="n">
        <f aca="false">IF(COUNT(G333:L333)&lt;6,"",ROUND((G333*Rubric!$D$5+H333*Rubric!$D$6+I333*Rubric!$D$7+J333*Rubric!$D$8+K333*Rubric!$D$9+L333*Rubric!$D$10)/5*100,1))</f>
        <v>72</v>
      </c>
      <c r="N333" s="37" t="str">
        <f aca="false">IF(OR(B333="",D333=""),"",IFERROR(IF(IF(E333="Primary",INDEX(Applications!$I$5:$I$600,MATCH(B333,Applications!$A$5:$A$600,0)),IF(E333="Secondary",INDEX(Applications!$J$5:$J$600,MATCH(B333,Applications!$A$5:$A$600,0)),INDEX(Applications!$K$5:$K$600,MATCH(B333,Applications!$A$5:$A$600,0))))=D333,"OK","Not assigned"),"Check ID"))</f>
        <v>OK</v>
      </c>
      <c r="O333" s="7" t="s">
        <v>1402</v>
      </c>
    </row>
    <row r="334" customFormat="false" ht="15" hidden="false" customHeight="false" outlineLevel="0" collapsed="false">
      <c r="A334" s="35" t="s">
        <v>1730</v>
      </c>
      <c r="B334" s="35" t="s">
        <v>1085</v>
      </c>
      <c r="C334" s="37" t="str">
        <f aca="false">IF(B334="","",IFERROR(INDEX(Applications!$B$5:$B$600,MATCH(B334,Applications!$A$5:$A$600,0)),"Application ID not found"))</f>
        <v>Open Door Meals Project</v>
      </c>
      <c r="D334" s="35" t="s">
        <v>91</v>
      </c>
      <c r="E334" s="35" t="s">
        <v>80</v>
      </c>
      <c r="F334" s="36" t="n">
        <v>45943</v>
      </c>
      <c r="G334" s="35" t="n">
        <v>1</v>
      </c>
      <c r="H334" s="35" t="n">
        <v>3</v>
      </c>
      <c r="I334" s="35" t="n">
        <v>2</v>
      </c>
      <c r="J334" s="35" t="n">
        <v>2</v>
      </c>
      <c r="K334" s="35" t="n">
        <v>2</v>
      </c>
      <c r="L334" s="35" t="n">
        <v>2</v>
      </c>
      <c r="M334" s="50" t="n">
        <f aca="false">IF(COUNT(G334:L334)&lt;6,"",ROUND((G334*Rubric!$D$5+H334*Rubric!$D$6+I334*Rubric!$D$7+J334*Rubric!$D$8+K334*Rubric!$D$9+L334*Rubric!$D$10)/5*100,1))</f>
        <v>39</v>
      </c>
      <c r="N334" s="37" t="str">
        <f aca="false">IF(OR(B334="",D334=""),"",IFERROR(IF(IF(E334="Primary",INDEX(Applications!$I$5:$I$600,MATCH(B334,Applications!$A$5:$A$600,0)),IF(E334="Secondary",INDEX(Applications!$J$5:$J$600,MATCH(B334,Applications!$A$5:$A$600,0)),INDEX(Applications!$K$5:$K$600,MATCH(B334,Applications!$A$5:$A$600,0))))=D334,"OK","Not assigned"),"Check ID"))</f>
        <v>OK</v>
      </c>
      <c r="O334" s="7"/>
    </row>
    <row r="335" customFormat="false" ht="15" hidden="false" customHeight="false" outlineLevel="0" collapsed="false">
      <c r="A335" s="35" t="s">
        <v>1731</v>
      </c>
      <c r="B335" s="35" t="s">
        <v>1151</v>
      </c>
      <c r="C335" s="37" t="str">
        <f aca="false">IF(B335="","",IFERROR(INDEX(Applications!$B$5:$B$600,MATCH(B335,Applications!$A$5:$A$600,0)),"Application ID not found"))</f>
        <v>Ironwood Meals Project</v>
      </c>
      <c r="D335" s="35" t="s">
        <v>91</v>
      </c>
      <c r="E335" s="35" t="s">
        <v>80</v>
      </c>
      <c r="F335" s="36" t="n">
        <v>45943</v>
      </c>
      <c r="G335" s="35" t="n">
        <v>2</v>
      </c>
      <c r="H335" s="35" t="n">
        <v>2</v>
      </c>
      <c r="I335" s="35" t="n">
        <v>2</v>
      </c>
      <c r="J335" s="35" t="n">
        <v>3</v>
      </c>
      <c r="K335" s="35" t="n">
        <v>2</v>
      </c>
      <c r="L335" s="35" t="n">
        <v>2</v>
      </c>
      <c r="M335" s="50" t="n">
        <f aca="false">IF(COUNT(G335:L335)&lt;6,"",ROUND((G335*Rubric!$D$5+H335*Rubric!$D$6+I335*Rubric!$D$7+J335*Rubric!$D$8+K335*Rubric!$D$9+L335*Rubric!$D$10)/5*100,1))</f>
        <v>43</v>
      </c>
      <c r="N335" s="37" t="str">
        <f aca="false">IF(OR(B335="",D335=""),"",IFERROR(IF(IF(E335="Primary",INDEX(Applications!$I$5:$I$600,MATCH(B335,Applications!$A$5:$A$600,0)),IF(E335="Secondary",INDEX(Applications!$J$5:$J$600,MATCH(B335,Applications!$A$5:$A$600,0)),INDEX(Applications!$K$5:$K$600,MATCH(B335,Applications!$A$5:$A$600,0))))=D335,"OK","Not assigned"),"Check ID"))</f>
        <v>OK</v>
      </c>
      <c r="O335" s="7"/>
    </row>
    <row r="336" customFormat="false" ht="15" hidden="false" customHeight="false" outlineLevel="0" collapsed="false">
      <c r="A336" s="35" t="s">
        <v>1732</v>
      </c>
      <c r="B336" s="35" t="s">
        <v>873</v>
      </c>
      <c r="C336" s="37" t="str">
        <f aca="false">IF(B336="","",IFERROR(INDEX(Applications!$B$5:$B$600,MATCH(B336,Applications!$A$5:$A$600,0)),"Application ID not found"))</f>
        <v>Regina Culinary Works</v>
      </c>
      <c r="D336" s="35" t="s">
        <v>91</v>
      </c>
      <c r="E336" s="35" t="s">
        <v>83</v>
      </c>
      <c r="F336" s="36" t="n">
        <v>45943</v>
      </c>
      <c r="G336" s="35" t="n">
        <v>4</v>
      </c>
      <c r="H336" s="35" t="n">
        <v>5</v>
      </c>
      <c r="I336" s="35" t="n">
        <v>3</v>
      </c>
      <c r="J336" s="35" t="n">
        <v>4</v>
      </c>
      <c r="K336" s="35" t="n">
        <v>4</v>
      </c>
      <c r="L336" s="35" t="n">
        <v>4</v>
      </c>
      <c r="M336" s="50" t="n">
        <f aca="false">IF(COUNT(G336:L336)&lt;6,"",ROUND((G336*Rubric!$D$5+H336*Rubric!$D$6+I336*Rubric!$D$7+J336*Rubric!$D$8+K336*Rubric!$D$9+L336*Rubric!$D$10)/5*100,1))</f>
        <v>80</v>
      </c>
      <c r="N336" s="37" t="str">
        <f aca="false">IF(OR(B336="",D336=""),"",IFERROR(IF(IF(E336="Primary",INDEX(Applications!$I$5:$I$600,MATCH(B336,Applications!$A$5:$A$600,0)),IF(E336="Secondary",INDEX(Applications!$J$5:$J$600,MATCH(B336,Applications!$A$5:$A$600,0)),INDEX(Applications!$K$5:$K$600,MATCH(B336,Applications!$A$5:$A$600,0))))=D336,"OK","Not assigned"),"Check ID"))</f>
        <v>OK</v>
      </c>
      <c r="O336" s="7"/>
    </row>
    <row r="337" customFormat="false" ht="15" hidden="false" customHeight="false" outlineLevel="0" collapsed="false">
      <c r="A337" s="35" t="s">
        <v>1733</v>
      </c>
      <c r="B337" s="35" t="s">
        <v>1343</v>
      </c>
      <c r="C337" s="37" t="str">
        <f aca="false">IF(B337="","",IFERROR(INDEX(Applications!$B$5:$B$600,MATCH(B337,Applications!$A$5:$A$600,0)),"Application ID not found"))</f>
        <v>Union Square Food Bank</v>
      </c>
      <c r="D337" s="35" t="s">
        <v>91</v>
      </c>
      <c r="E337" s="35" t="s">
        <v>83</v>
      </c>
      <c r="F337" s="36" t="n">
        <v>45943</v>
      </c>
      <c r="G337" s="35" t="n">
        <v>5</v>
      </c>
      <c r="H337" s="35" t="n">
        <v>3</v>
      </c>
      <c r="I337" s="35" t="n">
        <v>3</v>
      </c>
      <c r="J337" s="35" t="n">
        <v>4</v>
      </c>
      <c r="K337" s="35" t="n">
        <v>3</v>
      </c>
      <c r="L337" s="35" t="n">
        <v>4</v>
      </c>
      <c r="M337" s="50" t="n">
        <f aca="false">IF(COUNT(G337:L337)&lt;6,"",ROUND((G337*Rubric!$D$5+H337*Rubric!$D$6+I337*Rubric!$D$7+J337*Rubric!$D$8+K337*Rubric!$D$9+L337*Rubric!$D$10)/5*100,1))</f>
        <v>75</v>
      </c>
      <c r="N337" s="37" t="str">
        <f aca="false">IF(OR(B337="",D337=""),"",IFERROR(IF(IF(E337="Primary",INDEX(Applications!$I$5:$I$600,MATCH(B337,Applications!$A$5:$A$600,0)),IF(E337="Secondary",INDEX(Applications!$J$5:$J$600,MATCH(B337,Applications!$A$5:$A$600,0)),INDEX(Applications!$K$5:$K$600,MATCH(B337,Applications!$A$5:$A$600,0))))=D337,"OK","Not assigned"),"Check ID"))</f>
        <v>OK</v>
      </c>
      <c r="O337" s="7"/>
    </row>
    <row r="338" customFormat="false" ht="15" hidden="false" customHeight="false" outlineLevel="0" collapsed="false">
      <c r="A338" s="35" t="s">
        <v>1734</v>
      </c>
      <c r="B338" s="35" t="s">
        <v>261</v>
      </c>
      <c r="C338" s="37" t="str">
        <f aca="false">IF(B338="","",IFERROR(INDEX(Applications!$B$5:$B$600,MATCH(B338,Applications!$A$5:$A$600,0)),"Application ID not found"))</f>
        <v>Willow Run Farm School</v>
      </c>
      <c r="D338" s="35" t="s">
        <v>91</v>
      </c>
      <c r="E338" s="35" t="s">
        <v>80</v>
      </c>
      <c r="F338" s="36" t="n">
        <v>45943</v>
      </c>
      <c r="G338" s="35" t="n">
        <v>2</v>
      </c>
      <c r="H338" s="35" t="n">
        <v>4</v>
      </c>
      <c r="I338" s="35" t="n">
        <v>2</v>
      </c>
      <c r="J338" s="35" t="n">
        <v>3</v>
      </c>
      <c r="K338" s="35" t="n">
        <v>3</v>
      </c>
      <c r="L338" s="35" t="n">
        <v>3</v>
      </c>
      <c r="M338" s="50" t="n">
        <f aca="false">IF(COUNT(G338:L338)&lt;6,"",ROUND((G338*Rubric!$D$5+H338*Rubric!$D$6+I338*Rubric!$D$7+J338*Rubric!$D$8+K338*Rubric!$D$9+L338*Rubric!$D$10)/5*100,1))</f>
        <v>55</v>
      </c>
      <c r="N338" s="37" t="str">
        <f aca="false">IF(OR(B338="",D338=""),"",IFERROR(IF(IF(E338="Primary",INDEX(Applications!$I$5:$I$600,MATCH(B338,Applications!$A$5:$A$600,0)),IF(E338="Secondary",INDEX(Applications!$J$5:$J$600,MATCH(B338,Applications!$A$5:$A$600,0)),INDEX(Applications!$K$5:$K$600,MATCH(B338,Applications!$A$5:$A$600,0))))=D338,"OK","Not assigned"),"Check ID"))</f>
        <v>OK</v>
      </c>
      <c r="O338" s="7"/>
    </row>
    <row r="339" customFormat="false" ht="15" hidden="false" customHeight="false" outlineLevel="0" collapsed="false">
      <c r="A339" s="35" t="s">
        <v>1735</v>
      </c>
      <c r="B339" s="35" t="s">
        <v>460</v>
      </c>
      <c r="C339" s="37" t="str">
        <f aca="false">IF(B339="","",IFERROR(INDEX(Applications!$B$5:$B$600,MATCH(B339,Applications!$A$5:$A$600,0)),"Application ID not found"))</f>
        <v>Puebla Community Pantry</v>
      </c>
      <c r="D339" s="35" t="s">
        <v>91</v>
      </c>
      <c r="E339" s="35" t="s">
        <v>83</v>
      </c>
      <c r="F339" s="36" t="n">
        <v>45943</v>
      </c>
      <c r="G339" s="35" t="n">
        <v>3</v>
      </c>
      <c r="H339" s="35" t="n">
        <v>2</v>
      </c>
      <c r="I339" s="35" t="n">
        <v>3</v>
      </c>
      <c r="J339" s="35" t="n">
        <v>4</v>
      </c>
      <c r="K339" s="35" t="n">
        <v>3</v>
      </c>
      <c r="L339" s="35" t="n">
        <v>2</v>
      </c>
      <c r="M339" s="50" t="n">
        <f aca="false">IF(COUNT(G339:L339)&lt;6,"",ROUND((G339*Rubric!$D$5+H339*Rubric!$D$6+I339*Rubric!$D$7+J339*Rubric!$D$8+K339*Rubric!$D$9+L339*Rubric!$D$10)/5*100,1))</f>
        <v>57</v>
      </c>
      <c r="N339" s="37" t="str">
        <f aca="false">IF(OR(B339="",D339=""),"",IFERROR(IF(IF(E339="Primary",INDEX(Applications!$I$5:$I$600,MATCH(B339,Applications!$A$5:$A$600,0)),IF(E339="Secondary",INDEX(Applications!$J$5:$J$600,MATCH(B339,Applications!$A$5:$A$600,0)),INDEX(Applications!$K$5:$K$600,MATCH(B339,Applications!$A$5:$A$600,0))))=D339,"OK","Not assigned"),"Check ID"))</f>
        <v>OK</v>
      </c>
      <c r="O339" s="7"/>
    </row>
    <row r="340" customFormat="false" ht="15" hidden="false" customHeight="false" outlineLevel="0" collapsed="false">
      <c r="A340" s="35" t="s">
        <v>1736</v>
      </c>
      <c r="B340" s="35" t="s">
        <v>845</v>
      </c>
      <c r="C340" s="37" t="str">
        <f aca="false">IF(B340="","",IFERROR(INDEX(Applications!$B$5:$B$600,MATCH(B340,Applications!$A$5:$A$600,0)),"Application ID not found"))</f>
        <v>Canal Street Food Ventures</v>
      </c>
      <c r="D340" s="35" t="s">
        <v>91</v>
      </c>
      <c r="E340" s="35" t="s">
        <v>83</v>
      </c>
      <c r="F340" s="36" t="n">
        <v>45943</v>
      </c>
      <c r="G340" s="35" t="n">
        <v>4</v>
      </c>
      <c r="H340" s="35" t="n">
        <v>4</v>
      </c>
      <c r="I340" s="35" t="n">
        <v>4</v>
      </c>
      <c r="J340" s="35" t="n">
        <v>5</v>
      </c>
      <c r="K340" s="35" t="n">
        <v>4</v>
      </c>
      <c r="L340" s="35" t="n">
        <v>4</v>
      </c>
      <c r="M340" s="50" t="n">
        <f aca="false">IF(COUNT(G340:L340)&lt;6,"",ROUND((G340*Rubric!$D$5+H340*Rubric!$D$6+I340*Rubric!$D$7+J340*Rubric!$D$8+K340*Rubric!$D$9+L340*Rubric!$D$10)/5*100,1))</f>
        <v>83</v>
      </c>
      <c r="N340" s="37" t="str">
        <f aca="false">IF(OR(B340="",D340=""),"",IFERROR(IF(IF(E340="Primary",INDEX(Applications!$I$5:$I$600,MATCH(B340,Applications!$A$5:$A$600,0)),IF(E340="Secondary",INDEX(Applications!$J$5:$J$600,MATCH(B340,Applications!$A$5:$A$600,0)),INDEX(Applications!$K$5:$K$600,MATCH(B340,Applications!$A$5:$A$600,0))))=D340,"OK","Not assigned"),"Check ID"))</f>
        <v>OK</v>
      </c>
      <c r="O340" s="7"/>
    </row>
    <row r="341" customFormat="false" ht="15" hidden="false" customHeight="false" outlineLevel="0" collapsed="false">
      <c r="A341" s="35" t="s">
        <v>1737</v>
      </c>
      <c r="B341" s="35" t="s">
        <v>1237</v>
      </c>
      <c r="C341" s="37" t="str">
        <f aca="false">IF(B341="","",IFERROR(INDEX(Applications!$B$5:$B$600,MATCH(B341,Applications!$A$5:$A$600,0)),"Application ID not found"))</f>
        <v>Yakima Food Bank</v>
      </c>
      <c r="D341" s="35" t="s">
        <v>91</v>
      </c>
      <c r="E341" s="35" t="s">
        <v>80</v>
      </c>
      <c r="F341" s="36" t="n">
        <v>45943</v>
      </c>
      <c r="G341" s="35" t="n">
        <v>4</v>
      </c>
      <c r="H341" s="35" t="n">
        <v>3</v>
      </c>
      <c r="I341" s="35" t="n">
        <v>4</v>
      </c>
      <c r="J341" s="35" t="n">
        <v>4</v>
      </c>
      <c r="K341" s="35" t="n">
        <v>4</v>
      </c>
      <c r="L341" s="35" t="n">
        <v>3</v>
      </c>
      <c r="M341" s="50" t="n">
        <f aca="false">IF(COUNT(G341:L341)&lt;6,"",ROUND((G341*Rubric!$D$5+H341*Rubric!$D$6+I341*Rubric!$D$7+J341*Rubric!$D$8+K341*Rubric!$D$9+L341*Rubric!$D$10)/5*100,1))</f>
        <v>74</v>
      </c>
      <c r="N341" s="37" t="str">
        <f aca="false">IF(OR(B341="",D341=""),"",IFERROR(IF(IF(E341="Primary",INDEX(Applications!$I$5:$I$600,MATCH(B341,Applications!$A$5:$A$600,0)),IF(E341="Secondary",INDEX(Applications!$J$5:$J$600,MATCH(B341,Applications!$A$5:$A$600,0)),INDEX(Applications!$K$5:$K$600,MATCH(B341,Applications!$A$5:$A$600,0))))=D341,"OK","Not assigned"),"Check ID"))</f>
        <v>OK</v>
      </c>
      <c r="O341" s="7"/>
    </row>
    <row r="342" customFormat="false" ht="15" hidden="false" customHeight="false" outlineLevel="0" collapsed="false">
      <c r="A342" s="35" t="s">
        <v>1738</v>
      </c>
      <c r="B342" s="35" t="s">
        <v>1061</v>
      </c>
      <c r="C342" s="37" t="str">
        <f aca="false">IF(B342="","",IFERROR(INDEX(Applications!$B$5:$B$600,MATCH(B342,Applications!$A$5:$A$600,0)),"Application ID not found"))</f>
        <v>Greenway Family Center</v>
      </c>
      <c r="D342" s="35" t="s">
        <v>91</v>
      </c>
      <c r="E342" s="35" t="s">
        <v>83</v>
      </c>
      <c r="F342" s="36" t="n">
        <v>45943</v>
      </c>
      <c r="G342" s="35" t="n">
        <v>2</v>
      </c>
      <c r="H342" s="35" t="n">
        <v>2</v>
      </c>
      <c r="I342" s="35" t="n">
        <v>3</v>
      </c>
      <c r="J342" s="35" t="n">
        <v>3</v>
      </c>
      <c r="K342" s="35" t="n">
        <v>3</v>
      </c>
      <c r="L342" s="35" t="n">
        <v>3</v>
      </c>
      <c r="M342" s="50" t="n">
        <f aca="false">IF(COUNT(G342:L342)&lt;6,"",ROUND((G342*Rubric!$D$5+H342*Rubric!$D$6+I342*Rubric!$D$7+J342*Rubric!$D$8+K342*Rubric!$D$9+L342*Rubric!$D$10)/5*100,1))</f>
        <v>51</v>
      </c>
      <c r="N342" s="37" t="str">
        <f aca="false">IF(OR(B342="",D342=""),"",IFERROR(IF(IF(E342="Primary",INDEX(Applications!$I$5:$I$600,MATCH(B342,Applications!$A$5:$A$600,0)),IF(E342="Secondary",INDEX(Applications!$J$5:$J$600,MATCH(B342,Applications!$A$5:$A$600,0)),INDEX(Applications!$K$5:$K$600,MATCH(B342,Applications!$A$5:$A$600,0))))=D342,"OK","Not assigned"),"Check ID"))</f>
        <v>OK</v>
      </c>
      <c r="O342" s="7"/>
    </row>
    <row r="343" customFormat="false" ht="15" hidden="false" customHeight="false" outlineLevel="0" collapsed="false">
      <c r="A343" s="35" t="s">
        <v>1739</v>
      </c>
      <c r="B343" s="35" t="s">
        <v>1057</v>
      </c>
      <c r="C343" s="37" t="str">
        <f aca="false">IF(B343="","",IFERROR(INDEX(Applications!$B$5:$B$600,MATCH(B343,Applications!$A$5:$A$600,0)),"Application ID not found"))</f>
        <v>High Plains Schools Nutrition Fund</v>
      </c>
      <c r="D343" s="35" t="s">
        <v>91</v>
      </c>
      <c r="E343" s="35" t="s">
        <v>80</v>
      </c>
      <c r="F343" s="36" t="n">
        <v>45943</v>
      </c>
      <c r="G343" s="35" t="n">
        <v>4</v>
      </c>
      <c r="H343" s="35" t="n">
        <v>3</v>
      </c>
      <c r="I343" s="35" t="n">
        <v>3</v>
      </c>
      <c r="J343" s="35" t="n">
        <v>3</v>
      </c>
      <c r="K343" s="35" t="n">
        <v>3</v>
      </c>
      <c r="L343" s="35" t="n">
        <v>3</v>
      </c>
      <c r="M343" s="50" t="n">
        <f aca="false">IF(COUNT(G343:L343)&lt;6,"",ROUND((G343*Rubric!$D$5+H343*Rubric!$D$6+I343*Rubric!$D$7+J343*Rubric!$D$8+K343*Rubric!$D$9+L343*Rubric!$D$10)/5*100,1))</f>
        <v>65</v>
      </c>
      <c r="N343" s="37" t="str">
        <f aca="false">IF(OR(B343="",D343=""),"",IFERROR(IF(IF(E343="Primary",INDEX(Applications!$I$5:$I$600,MATCH(B343,Applications!$A$5:$A$600,0)),IF(E343="Secondary",INDEX(Applications!$J$5:$J$600,MATCH(B343,Applications!$A$5:$A$600,0)),INDEX(Applications!$K$5:$K$600,MATCH(B343,Applications!$A$5:$A$600,0))))=D343,"OK","Not assigned"),"Check ID"))</f>
        <v>OK</v>
      </c>
      <c r="O343" s="7"/>
    </row>
    <row r="344" customFormat="false" ht="15" hidden="false" customHeight="false" outlineLevel="0" collapsed="false">
      <c r="A344" s="35" t="s">
        <v>1740</v>
      </c>
      <c r="B344" s="35" t="s">
        <v>299</v>
      </c>
      <c r="C344" s="37" t="str">
        <f aca="false">IF(B344="","",IFERROR(INDEX(Applications!$B$5:$B$600,MATCH(B344,Applications!$A$5:$A$600,0)),"Application ID not found"))</f>
        <v>Lakeshore Schools Nutrition Fund</v>
      </c>
      <c r="D344" s="35" t="s">
        <v>91</v>
      </c>
      <c r="E344" s="35" t="s">
        <v>80</v>
      </c>
      <c r="F344" s="36" t="n">
        <v>45943</v>
      </c>
      <c r="G344" s="35" t="n">
        <v>4</v>
      </c>
      <c r="H344" s="35" t="n">
        <v>4</v>
      </c>
      <c r="I344" s="35" t="n">
        <v>4</v>
      </c>
      <c r="J344" s="35" t="n">
        <v>4</v>
      </c>
      <c r="K344" s="35" t="n">
        <v>4</v>
      </c>
      <c r="L344" s="35" t="n">
        <v>4</v>
      </c>
      <c r="M344" s="50" t="n">
        <f aca="false">IF(COUNT(G344:L344)&lt;6,"",ROUND((G344*Rubric!$D$5+H344*Rubric!$D$6+I344*Rubric!$D$7+J344*Rubric!$D$8+K344*Rubric!$D$9+L344*Rubric!$D$10)/5*100,1))</f>
        <v>80</v>
      </c>
      <c r="N344" s="37" t="str">
        <f aca="false">IF(OR(B344="",D344=""),"",IFERROR(IF(IF(E344="Primary",INDEX(Applications!$I$5:$I$600,MATCH(B344,Applications!$A$5:$A$600,0)),IF(E344="Secondary",INDEX(Applications!$J$5:$J$600,MATCH(B344,Applications!$A$5:$A$600,0)),INDEX(Applications!$K$5:$K$600,MATCH(B344,Applications!$A$5:$A$600,0))))=D344,"OK","Not assigned"),"Check ID"))</f>
        <v>OK</v>
      </c>
      <c r="O344" s="7"/>
    </row>
    <row r="345" customFormat="false" ht="15" hidden="false" customHeight="false" outlineLevel="0" collapsed="false">
      <c r="A345" s="35" t="s">
        <v>1741</v>
      </c>
      <c r="B345" s="35" t="s">
        <v>1367</v>
      </c>
      <c r="C345" s="37" t="str">
        <f aca="false">IF(B345="","",IFERROR(INDEX(Applications!$B$5:$B$600,MATCH(B345,Applications!$A$5:$A$600,0)),"Application ID not found"))</f>
        <v>Canal Street Cafe Training Program</v>
      </c>
      <c r="D345" s="35" t="s">
        <v>94</v>
      </c>
      <c r="E345" s="35" t="s">
        <v>80</v>
      </c>
      <c r="F345" s="36" t="n">
        <v>45943</v>
      </c>
      <c r="G345" s="35" t="n">
        <v>4</v>
      </c>
      <c r="H345" s="35" t="n">
        <v>4</v>
      </c>
      <c r="I345" s="35" t="n">
        <v>4</v>
      </c>
      <c r="J345" s="35" t="n">
        <v>4</v>
      </c>
      <c r="K345" s="35" t="n">
        <v>4</v>
      </c>
      <c r="L345" s="35" t="n">
        <v>3</v>
      </c>
      <c r="M345" s="50" t="n">
        <f aca="false">IF(COUNT(G345:L345)&lt;6,"",ROUND((G345*Rubric!$D$5+H345*Rubric!$D$6+I345*Rubric!$D$7+J345*Rubric!$D$8+K345*Rubric!$D$9+L345*Rubric!$D$10)/5*100,1))</f>
        <v>78</v>
      </c>
      <c r="N345" s="37" t="str">
        <f aca="false">IF(OR(B345="",D345=""),"",IFERROR(IF(IF(E345="Primary",INDEX(Applications!$I$5:$I$600,MATCH(B345,Applications!$A$5:$A$600,0)),IF(E345="Secondary",INDEX(Applications!$J$5:$J$600,MATCH(B345,Applications!$A$5:$A$600,0)),INDEX(Applications!$K$5:$K$600,MATCH(B345,Applications!$A$5:$A$600,0))))=D345,"OK","Not assigned"),"Check ID"))</f>
        <v>OK</v>
      </c>
      <c r="O345" s="7"/>
    </row>
    <row r="346" customFormat="false" ht="15" hidden="false" customHeight="false" outlineLevel="0" collapsed="false">
      <c r="A346" s="35" t="s">
        <v>1742</v>
      </c>
      <c r="B346" s="35" t="s">
        <v>671</v>
      </c>
      <c r="C346" s="37" t="str">
        <f aca="false">IF(B346="","",IFERROR(INDEX(Applications!$B$5:$B$600,MATCH(B346,Applications!$A$5:$A$600,0)),"Application ID not found"))</f>
        <v>Peoria Community Kitchen</v>
      </c>
      <c r="D346" s="35" t="s">
        <v>94</v>
      </c>
      <c r="E346" s="35" t="s">
        <v>80</v>
      </c>
      <c r="F346" s="36" t="n">
        <v>45943</v>
      </c>
      <c r="G346" s="35" t="n">
        <v>4</v>
      </c>
      <c r="H346" s="35" t="n">
        <v>3</v>
      </c>
      <c r="I346" s="35" t="n">
        <v>4</v>
      </c>
      <c r="J346" s="35" t="n">
        <v>3</v>
      </c>
      <c r="K346" s="35" t="n">
        <v>3</v>
      </c>
      <c r="L346" s="35" t="n">
        <v>4</v>
      </c>
      <c r="M346" s="50" t="n">
        <f aca="false">IF(COUNT(G346:L346)&lt;6,"",ROUND((G346*Rubric!$D$5+H346*Rubric!$D$6+I346*Rubric!$D$7+J346*Rubric!$D$8+K346*Rubric!$D$9+L346*Rubric!$D$10)/5*100,1))</f>
        <v>71</v>
      </c>
      <c r="N346" s="37" t="str">
        <f aca="false">IF(OR(B346="",D346=""),"",IFERROR(IF(IF(E346="Primary",INDEX(Applications!$I$5:$I$600,MATCH(B346,Applications!$A$5:$A$600,0)),IF(E346="Secondary",INDEX(Applications!$J$5:$J$600,MATCH(B346,Applications!$A$5:$A$600,0)),INDEX(Applications!$K$5:$K$600,MATCH(B346,Applications!$A$5:$A$600,0))))=D346,"OK","Not assigned"),"Check ID"))</f>
        <v>OK</v>
      </c>
      <c r="O346" s="7"/>
    </row>
    <row r="347" customFormat="false" ht="15" hidden="false" customHeight="false" outlineLevel="0" collapsed="false">
      <c r="A347" s="35" t="s">
        <v>1743</v>
      </c>
      <c r="B347" s="35" t="s">
        <v>627</v>
      </c>
      <c r="C347" s="37" t="str">
        <f aca="false">IF(B347="","",IFERROR(INDEX(Applications!$B$5:$B$600,MATCH(B347,Applications!$A$5:$A$600,0)),"Application ID not found"))</f>
        <v>Omaha Kitchen Project</v>
      </c>
      <c r="D347" s="35" t="s">
        <v>94</v>
      </c>
      <c r="E347" s="35" t="s">
        <v>83</v>
      </c>
      <c r="F347" s="36" t="n">
        <v>45943</v>
      </c>
      <c r="G347" s="35" t="n">
        <v>3</v>
      </c>
      <c r="H347" s="35" t="n">
        <v>2</v>
      </c>
      <c r="I347" s="35" t="n">
        <v>3</v>
      </c>
      <c r="J347" s="35" t="n">
        <v>2</v>
      </c>
      <c r="K347" s="35" t="n">
        <v>3</v>
      </c>
      <c r="L347" s="35" t="n">
        <v>3</v>
      </c>
      <c r="M347" s="50" t="n">
        <f aca="false">IF(COUNT(G347:L347)&lt;6,"",ROUND((G347*Rubric!$D$5+H347*Rubric!$D$6+I347*Rubric!$D$7+J347*Rubric!$D$8+K347*Rubric!$D$9+L347*Rubric!$D$10)/5*100,1))</f>
        <v>53</v>
      </c>
      <c r="N347" s="37" t="str">
        <f aca="false">IF(OR(B347="",D347=""),"",IFERROR(IF(IF(E347="Primary",INDEX(Applications!$I$5:$I$600,MATCH(B347,Applications!$A$5:$A$600,0)),IF(E347="Secondary",INDEX(Applications!$J$5:$J$600,MATCH(B347,Applications!$A$5:$A$600,0)),INDEX(Applications!$K$5:$K$600,MATCH(B347,Applications!$A$5:$A$600,0))))=D347,"OK","Not assigned"),"Check ID"))</f>
        <v>OK</v>
      </c>
      <c r="O347" s="7" t="s">
        <v>1426</v>
      </c>
    </row>
    <row r="348" customFormat="false" ht="15" hidden="false" customHeight="false" outlineLevel="0" collapsed="false">
      <c r="A348" s="35" t="s">
        <v>1744</v>
      </c>
      <c r="B348" s="35" t="s">
        <v>1115</v>
      </c>
      <c r="C348" s="37" t="str">
        <f aca="false">IF(B348="","",IFERROR(INDEX(Applications!$B$5:$B$600,MATCH(B348,Applications!$A$5:$A$600,0)),"Application ID not found"))</f>
        <v>Calgary Bakery Collective</v>
      </c>
      <c r="D348" s="35" t="s">
        <v>94</v>
      </c>
      <c r="E348" s="35" t="s">
        <v>83</v>
      </c>
      <c r="F348" s="36" t="n">
        <v>45943</v>
      </c>
      <c r="G348" s="35" t="n">
        <v>3</v>
      </c>
      <c r="H348" s="35" t="n">
        <v>4</v>
      </c>
      <c r="I348" s="35" t="n">
        <v>3</v>
      </c>
      <c r="J348" s="35" t="n">
        <v>4</v>
      </c>
      <c r="K348" s="35" t="n">
        <v>4</v>
      </c>
      <c r="L348" s="35" t="n">
        <v>4</v>
      </c>
      <c r="M348" s="50" t="n">
        <f aca="false">IF(COUNT(G348:L348)&lt;6,"",ROUND((G348*Rubric!$D$5+H348*Rubric!$D$6+I348*Rubric!$D$7+J348*Rubric!$D$8+K348*Rubric!$D$9+L348*Rubric!$D$10)/5*100,1))</f>
        <v>71</v>
      </c>
      <c r="N348" s="37" t="str">
        <f aca="false">IF(OR(B348="",D348=""),"",IFERROR(IF(IF(E348="Primary",INDEX(Applications!$I$5:$I$600,MATCH(B348,Applications!$A$5:$A$600,0)),IF(E348="Secondary",INDEX(Applications!$J$5:$J$600,MATCH(B348,Applications!$A$5:$A$600,0)),INDEX(Applications!$K$5:$K$600,MATCH(B348,Applications!$A$5:$A$600,0))))=D348,"OK","Not assigned"),"Check ID"))</f>
        <v>OK</v>
      </c>
      <c r="O348" s="7"/>
    </row>
    <row r="349" customFormat="false" ht="15" hidden="false" customHeight="false" outlineLevel="0" collapsed="false">
      <c r="A349" s="35" t="s">
        <v>1745</v>
      </c>
      <c r="B349" s="35" t="s">
        <v>1053</v>
      </c>
      <c r="C349" s="37" t="str">
        <f aca="false">IF(B349="","",IFERROR(INDEX(Applications!$B$5:$B$600,MATCH(B349,Applications!$A$5:$A$600,0)),"Application ID not found"))</f>
        <v>Medellín Kitchen Project</v>
      </c>
      <c r="D349" s="35" t="s">
        <v>94</v>
      </c>
      <c r="E349" s="35" t="s">
        <v>83</v>
      </c>
      <c r="F349" s="36" t="n">
        <v>45943</v>
      </c>
      <c r="G349" s="35" t="n">
        <v>4</v>
      </c>
      <c r="H349" s="35" t="n">
        <v>4</v>
      </c>
      <c r="I349" s="35" t="n">
        <v>4</v>
      </c>
      <c r="J349" s="35" t="n">
        <v>3</v>
      </c>
      <c r="K349" s="35" t="n">
        <v>4</v>
      </c>
      <c r="L349" s="35" t="n">
        <v>4</v>
      </c>
      <c r="M349" s="50" t="n">
        <f aca="false">IF(COUNT(G349:L349)&lt;6,"",ROUND((G349*Rubric!$D$5+H349*Rubric!$D$6+I349*Rubric!$D$7+J349*Rubric!$D$8+K349*Rubric!$D$9+L349*Rubric!$D$10)/5*100,1))</f>
        <v>77</v>
      </c>
      <c r="N349" s="37" t="str">
        <f aca="false">IF(OR(B349="",D349=""),"",IFERROR(IF(IF(E349="Primary",INDEX(Applications!$I$5:$I$600,MATCH(B349,Applications!$A$5:$A$600,0)),IF(E349="Secondary",INDEX(Applications!$J$5:$J$600,MATCH(B349,Applications!$A$5:$A$600,0)),INDEX(Applications!$K$5:$K$600,MATCH(B349,Applications!$A$5:$A$600,0))))=D349,"OK","Not assigned"),"Check ID"))</f>
        <v>OK</v>
      </c>
      <c r="O349" s="7"/>
    </row>
    <row r="350" customFormat="false" ht="15" hidden="false" customHeight="false" outlineLevel="0" collapsed="false">
      <c r="A350" s="35" t="s">
        <v>1746</v>
      </c>
      <c r="B350" s="35" t="s">
        <v>893</v>
      </c>
      <c r="C350" s="37" t="str">
        <f aca="false">IF(B350="","",IFERROR(INDEX(Applications!$B$5:$B$600,MATCH(B350,Applications!$A$5:$A$600,0)),"Application ID not found"))</f>
        <v>Detroit Schools Nutrition Fund</v>
      </c>
      <c r="D350" s="35" t="s">
        <v>94</v>
      </c>
      <c r="E350" s="35" t="s">
        <v>80</v>
      </c>
      <c r="F350" s="36" t="n">
        <v>45943</v>
      </c>
      <c r="G350" s="35" t="n">
        <v>3</v>
      </c>
      <c r="H350" s="35" t="n">
        <v>3</v>
      </c>
      <c r="I350" s="35" t="n">
        <v>3</v>
      </c>
      <c r="J350" s="35" t="n">
        <v>3</v>
      </c>
      <c r="K350" s="35" t="n">
        <v>2</v>
      </c>
      <c r="L350" s="35" t="n">
        <v>3</v>
      </c>
      <c r="M350" s="50" t="n">
        <f aca="false">IF(COUNT(G350:L350)&lt;6,"",ROUND((G350*Rubric!$D$5+H350*Rubric!$D$6+I350*Rubric!$D$7+J350*Rubric!$D$8+K350*Rubric!$D$9+L350*Rubric!$D$10)/5*100,1))</f>
        <v>58</v>
      </c>
      <c r="N350" s="37" t="str">
        <f aca="false">IF(OR(B350="",D350=""),"",IFERROR(IF(IF(E350="Primary",INDEX(Applications!$I$5:$I$600,MATCH(B350,Applications!$A$5:$A$600,0)),IF(E350="Secondary",INDEX(Applications!$J$5:$J$600,MATCH(B350,Applications!$A$5:$A$600,0)),INDEX(Applications!$K$5:$K$600,MATCH(B350,Applications!$A$5:$A$600,0))))=D350,"OK","Not assigned"),"Check ID"))</f>
        <v>OK</v>
      </c>
      <c r="O350" s="7" t="s">
        <v>1428</v>
      </c>
    </row>
    <row r="351" customFormat="false" ht="15" hidden="false" customHeight="false" outlineLevel="0" collapsed="false">
      <c r="A351" s="35" t="s">
        <v>1747</v>
      </c>
      <c r="B351" s="35" t="s">
        <v>508</v>
      </c>
      <c r="C351" s="37" t="str">
        <f aca="false">IF(B351="","",IFERROR(INDEX(Applications!$B$5:$B$600,MATCH(B351,Applications!$A$5:$A$600,0)),"Application ID not found"))</f>
        <v>Juniper Pantry Network</v>
      </c>
      <c r="D351" s="35" t="s">
        <v>94</v>
      </c>
      <c r="E351" s="35" t="s">
        <v>80</v>
      </c>
      <c r="F351" s="36" t="n">
        <v>45943</v>
      </c>
      <c r="G351" s="35" t="n">
        <v>4</v>
      </c>
      <c r="H351" s="35" t="n">
        <v>4</v>
      </c>
      <c r="I351" s="35" t="n">
        <v>5</v>
      </c>
      <c r="J351" s="35" t="n">
        <v>5</v>
      </c>
      <c r="K351" s="35" t="n">
        <v>4</v>
      </c>
      <c r="L351" s="35" t="n">
        <v>4</v>
      </c>
      <c r="M351" s="50" t="n">
        <f aca="false">IF(COUNT(G351:L351)&lt;6,"",ROUND((G351*Rubric!$D$5+H351*Rubric!$D$6+I351*Rubric!$D$7+J351*Rubric!$D$8+K351*Rubric!$D$9+L351*Rubric!$D$10)/5*100,1))</f>
        <v>87</v>
      </c>
      <c r="N351" s="37" t="str">
        <f aca="false">IF(OR(B351="",D351=""),"",IFERROR(IF(IF(E351="Primary",INDEX(Applications!$I$5:$I$600,MATCH(B351,Applications!$A$5:$A$600,0)),IF(E351="Secondary",INDEX(Applications!$J$5:$J$600,MATCH(B351,Applications!$A$5:$A$600,0)),INDEX(Applications!$K$5:$K$600,MATCH(B351,Applications!$A$5:$A$600,0))))=D351,"OK","Not assigned"),"Check ID"))</f>
        <v>OK</v>
      </c>
      <c r="O351" s="7" t="s">
        <v>1416</v>
      </c>
    </row>
    <row r="352" customFormat="false" ht="15" hidden="false" customHeight="false" outlineLevel="0" collapsed="false">
      <c r="A352" s="35" t="s">
        <v>1748</v>
      </c>
      <c r="B352" s="35" t="s">
        <v>901</v>
      </c>
      <c r="C352" s="37" t="str">
        <f aca="false">IF(B352="","",IFERROR(INDEX(Applications!$B$5:$B$600,MATCH(B352,Applications!$A$5:$A$600,0)),"Application ID not found"))</f>
        <v>Kestrel Food Bank</v>
      </c>
      <c r="D352" s="35" t="s">
        <v>94</v>
      </c>
      <c r="E352" s="35" t="s">
        <v>83</v>
      </c>
      <c r="F352" s="36" t="n">
        <v>45943</v>
      </c>
      <c r="G352" s="35" t="n">
        <v>4</v>
      </c>
      <c r="H352" s="35" t="n">
        <v>4</v>
      </c>
      <c r="I352" s="35" t="n">
        <v>4</v>
      </c>
      <c r="J352" s="35" t="n">
        <v>4</v>
      </c>
      <c r="K352" s="35" t="n">
        <v>4</v>
      </c>
      <c r="L352" s="35" t="n">
        <v>4</v>
      </c>
      <c r="M352" s="50" t="n">
        <f aca="false">IF(COUNT(G352:L352)&lt;6,"",ROUND((G352*Rubric!$D$5+H352*Rubric!$D$6+I352*Rubric!$D$7+J352*Rubric!$D$8+K352*Rubric!$D$9+L352*Rubric!$D$10)/5*100,1))</f>
        <v>80</v>
      </c>
      <c r="N352" s="37" t="str">
        <f aca="false">IF(OR(B352="",D352=""),"",IFERROR(IF(IF(E352="Primary",INDEX(Applications!$I$5:$I$600,MATCH(B352,Applications!$A$5:$A$600,0)),IF(E352="Secondary",INDEX(Applications!$J$5:$J$600,MATCH(B352,Applications!$A$5:$A$600,0)),INDEX(Applications!$K$5:$K$600,MATCH(B352,Applications!$A$5:$A$600,0))))=D352,"OK","Not assigned"),"Check ID"))</f>
        <v>OK</v>
      </c>
      <c r="O352" s="7"/>
    </row>
    <row r="353" customFormat="false" ht="15" hidden="false" customHeight="false" outlineLevel="0" collapsed="false">
      <c r="A353" s="35" t="s">
        <v>1749</v>
      </c>
      <c r="B353" s="35" t="s">
        <v>1165</v>
      </c>
      <c r="C353" s="37" t="str">
        <f aca="false">IF(B353="","",IFERROR(INDEX(Applications!$B$5:$B$600,MATCH(B353,Applications!$A$5:$A$600,0)),"Application ID not found"))</f>
        <v>Marigold Growers Cooperative</v>
      </c>
      <c r="D353" s="35" t="s">
        <v>94</v>
      </c>
      <c r="E353" s="35" t="s">
        <v>83</v>
      </c>
      <c r="F353" s="36" t="n">
        <v>45943</v>
      </c>
      <c r="G353" s="35" t="n">
        <v>3</v>
      </c>
      <c r="H353" s="35" t="n">
        <v>4</v>
      </c>
      <c r="I353" s="35" t="n">
        <v>3</v>
      </c>
      <c r="J353" s="35" t="n">
        <v>3</v>
      </c>
      <c r="K353" s="35" t="n">
        <v>3</v>
      </c>
      <c r="L353" s="35" t="n">
        <v>3</v>
      </c>
      <c r="M353" s="50" t="n">
        <f aca="false">IF(COUNT(G353:L353)&lt;6,"",ROUND((G353*Rubric!$D$5+H353*Rubric!$D$6+I353*Rubric!$D$7+J353*Rubric!$D$8+K353*Rubric!$D$9+L353*Rubric!$D$10)/5*100,1))</f>
        <v>64</v>
      </c>
      <c r="N353" s="37" t="str">
        <f aca="false">IF(OR(B353="",D353=""),"",IFERROR(IF(IF(E353="Primary",INDEX(Applications!$I$5:$I$600,MATCH(B353,Applications!$A$5:$A$600,0)),IF(E353="Secondary",INDEX(Applications!$J$5:$J$600,MATCH(B353,Applications!$A$5:$A$600,0)),INDEX(Applications!$K$5:$K$600,MATCH(B353,Applications!$A$5:$A$600,0))))=D353,"OK","Not assigned"),"Check ID"))</f>
        <v>OK</v>
      </c>
      <c r="O353" s="7"/>
    </row>
    <row r="354" customFormat="false" ht="15" hidden="false" customHeight="false" outlineLevel="0" collapsed="false">
      <c r="A354" s="35" t="s">
        <v>1750</v>
      </c>
      <c r="B354" s="35" t="s">
        <v>927</v>
      </c>
      <c r="C354" s="37" t="str">
        <f aca="false">IF(B354="","",IFERROR(INDEX(Applications!$B$5:$B$600,MATCH(B354,Applications!$A$5:$A$600,0)),"Application ID not found"))</f>
        <v>Salvador Mobile Market</v>
      </c>
      <c r="D354" s="35" t="s">
        <v>94</v>
      </c>
      <c r="E354" s="35" t="s">
        <v>83</v>
      </c>
      <c r="F354" s="36" t="n">
        <v>45943</v>
      </c>
      <c r="G354" s="35" t="n">
        <v>3</v>
      </c>
      <c r="H354" s="35" t="n">
        <v>3</v>
      </c>
      <c r="I354" s="35" t="n">
        <v>3</v>
      </c>
      <c r="J354" s="35" t="n">
        <v>3</v>
      </c>
      <c r="K354" s="35" t="n">
        <v>3</v>
      </c>
      <c r="L354" s="35" t="n">
        <v>3</v>
      </c>
      <c r="M354" s="50" t="n">
        <f aca="false">IF(COUNT(G354:L354)&lt;6,"",ROUND((G354*Rubric!$D$5+H354*Rubric!$D$6+I354*Rubric!$D$7+J354*Rubric!$D$8+K354*Rubric!$D$9+L354*Rubric!$D$10)/5*100,1))</f>
        <v>60</v>
      </c>
      <c r="N354" s="37" t="str">
        <f aca="false">IF(OR(B354="",D354=""),"",IFERROR(IF(IF(E354="Primary",INDEX(Applications!$I$5:$I$600,MATCH(B354,Applications!$A$5:$A$600,0)),IF(E354="Secondary",INDEX(Applications!$J$5:$J$600,MATCH(B354,Applications!$A$5:$A$600,0)),INDEX(Applications!$K$5:$K$600,MATCH(B354,Applications!$A$5:$A$600,0))))=D354,"OK","Not assigned"),"Check ID"))</f>
        <v>OK</v>
      </c>
      <c r="O354" s="7"/>
    </row>
    <row r="355" customFormat="false" ht="15" hidden="false" customHeight="false" outlineLevel="0" collapsed="false">
      <c r="A355" s="35" t="s">
        <v>1751</v>
      </c>
      <c r="B355" s="35" t="s">
        <v>178</v>
      </c>
      <c r="C355" s="37" t="str">
        <f aca="false">IF(B355="","",IFERROR(INDEX(Applications!$B$5:$B$600,MATCH(B355,Applications!$A$5:$A$600,0)),"Application ID not found"))</f>
        <v>Bristol Family Center</v>
      </c>
      <c r="D355" s="35" t="s">
        <v>94</v>
      </c>
      <c r="E355" s="35" t="s">
        <v>80</v>
      </c>
      <c r="F355" s="36" t="n">
        <v>45943</v>
      </c>
      <c r="G355" s="35" t="n">
        <v>3</v>
      </c>
      <c r="H355" s="35" t="n">
        <v>4</v>
      </c>
      <c r="I355" s="35" t="n">
        <v>3</v>
      </c>
      <c r="J355" s="35" t="n">
        <v>3</v>
      </c>
      <c r="K355" s="35" t="n">
        <v>4</v>
      </c>
      <c r="L355" s="35" t="n">
        <v>4</v>
      </c>
      <c r="M355" s="50" t="n">
        <f aca="false">IF(COUNT(G355:L355)&lt;6,"",ROUND((G355*Rubric!$D$5+H355*Rubric!$D$6+I355*Rubric!$D$7+J355*Rubric!$D$8+K355*Rubric!$D$9+L355*Rubric!$D$10)/5*100,1))</f>
        <v>68</v>
      </c>
      <c r="N355" s="37" t="str">
        <f aca="false">IF(OR(B355="",D355=""),"",IFERROR(IF(IF(E355="Primary",INDEX(Applications!$I$5:$I$600,MATCH(B355,Applications!$A$5:$A$600,0)),IF(E355="Secondary",INDEX(Applications!$J$5:$J$600,MATCH(B355,Applications!$A$5:$A$600,0)),INDEX(Applications!$K$5:$K$600,MATCH(B355,Applications!$A$5:$A$600,0))))=D355,"OK","Not assigned"),"Check ID"))</f>
        <v>OK</v>
      </c>
      <c r="O355" s="7"/>
    </row>
    <row r="356" customFormat="false" ht="15" hidden="false" customHeight="false" outlineLevel="0" collapsed="false">
      <c r="A356" s="35" t="s">
        <v>1752</v>
      </c>
      <c r="B356" s="35" t="s">
        <v>1381</v>
      </c>
      <c r="C356" s="37" t="str">
        <f aca="false">IF(B356="","",IFERROR(INDEX(Applications!$B$5:$B$600,MATCH(B356,Applications!$A$5:$A$600,0)),"Application ID not found"))</f>
        <v>Cedar Youth Food Lab</v>
      </c>
      <c r="D356" s="35" t="s">
        <v>94</v>
      </c>
      <c r="E356" s="35" t="s">
        <v>80</v>
      </c>
      <c r="F356" s="36" t="n">
        <v>45943</v>
      </c>
      <c r="G356" s="35" t="n">
        <v>2</v>
      </c>
      <c r="H356" s="35" t="n">
        <v>3</v>
      </c>
      <c r="I356" s="35" t="n">
        <v>2</v>
      </c>
      <c r="J356" s="35" t="n">
        <v>3</v>
      </c>
      <c r="K356" s="35" t="n">
        <v>3</v>
      </c>
      <c r="L356" s="35" t="n">
        <v>3</v>
      </c>
      <c r="M356" s="50" t="n">
        <f aca="false">IF(COUNT(G356:L356)&lt;6,"",ROUND((G356*Rubric!$D$5+H356*Rubric!$D$6+I356*Rubric!$D$7+J356*Rubric!$D$8+K356*Rubric!$D$9+L356*Rubric!$D$10)/5*100,1))</f>
        <v>51</v>
      </c>
      <c r="N356" s="37" t="str">
        <f aca="false">IF(OR(B356="",D356=""),"",IFERROR(IF(IF(E356="Primary",INDEX(Applications!$I$5:$I$600,MATCH(B356,Applications!$A$5:$A$600,0)),IF(E356="Secondary",INDEX(Applications!$J$5:$J$600,MATCH(B356,Applications!$A$5:$A$600,0)),INDEX(Applications!$K$5:$K$600,MATCH(B356,Applications!$A$5:$A$600,0))))=D356,"OK","Not assigned"),"Check ID"))</f>
        <v>OK</v>
      </c>
      <c r="O356" s="7" t="s">
        <v>1493</v>
      </c>
    </row>
    <row r="357" customFormat="false" ht="15" hidden="false" customHeight="false" outlineLevel="0" collapsed="false">
      <c r="A357" s="35" t="s">
        <v>1753</v>
      </c>
      <c r="B357" s="35" t="s">
        <v>1073</v>
      </c>
      <c r="C357" s="37" t="str">
        <f aca="false">IF(B357="","",IFERROR(INDEX(Applications!$B$5:$B$600,MATCH(B357,Applications!$A$5:$A$600,0)),"Application ID not found"))</f>
        <v>Peoria Food Bank</v>
      </c>
      <c r="D357" s="35" t="s">
        <v>85</v>
      </c>
      <c r="E357" s="35" t="s">
        <v>80</v>
      </c>
      <c r="F357" s="36" t="n">
        <v>45943</v>
      </c>
      <c r="G357" s="35" t="n">
        <v>4</v>
      </c>
      <c r="H357" s="35" t="n">
        <v>4</v>
      </c>
      <c r="I357" s="35" t="n">
        <v>4</v>
      </c>
      <c r="J357" s="35" t="n">
        <v>4</v>
      </c>
      <c r="K357" s="35" t="n">
        <v>4</v>
      </c>
      <c r="L357" s="35" t="n">
        <v>4</v>
      </c>
      <c r="M357" s="50" t="n">
        <f aca="false">IF(COUNT(G357:L357)&lt;6,"",ROUND((G357*Rubric!$D$5+H357*Rubric!$D$6+I357*Rubric!$D$7+J357*Rubric!$D$8+K357*Rubric!$D$9+L357*Rubric!$D$10)/5*100,1))</f>
        <v>80</v>
      </c>
      <c r="N357" s="37" t="str">
        <f aca="false">IF(OR(B357="",D357=""),"",IFERROR(IF(IF(E357="Primary",INDEX(Applications!$I$5:$I$600,MATCH(B357,Applications!$A$5:$A$600,0)),IF(E357="Secondary",INDEX(Applications!$J$5:$J$600,MATCH(B357,Applications!$A$5:$A$600,0)),INDEX(Applications!$K$5:$K$600,MATCH(B357,Applications!$A$5:$A$600,0))))=D357,"OK","Not assigned"),"Check ID"))</f>
        <v>OK</v>
      </c>
      <c r="O357" s="7" t="s">
        <v>1416</v>
      </c>
    </row>
    <row r="358" customFormat="false" ht="15" hidden="false" customHeight="false" outlineLevel="0" collapsed="false">
      <c r="A358" s="35" t="s">
        <v>1754</v>
      </c>
      <c r="B358" s="35" t="s">
        <v>438</v>
      </c>
      <c r="C358" s="37" t="str">
        <f aca="false">IF(B358="","",IFERROR(INDEX(Applications!$B$5:$B$600,MATCH(B358,Applications!$A$5:$A$600,0)),"Application ID not found"))</f>
        <v>Bogotá Food Bank</v>
      </c>
      <c r="D358" s="35" t="s">
        <v>85</v>
      </c>
      <c r="E358" s="35" t="s">
        <v>83</v>
      </c>
      <c r="F358" s="36" t="n">
        <v>45943</v>
      </c>
      <c r="G358" s="35" t="n">
        <v>4</v>
      </c>
      <c r="H358" s="35" t="n">
        <v>4</v>
      </c>
      <c r="I358" s="35" t="n">
        <v>5</v>
      </c>
      <c r="J358" s="35" t="n">
        <v>4</v>
      </c>
      <c r="K358" s="35" t="n">
        <v>3</v>
      </c>
      <c r="L358" s="35" t="n">
        <v>4</v>
      </c>
      <c r="M358" s="50" t="n">
        <f aca="false">IF(COUNT(G358:L358)&lt;6,"",ROUND((G358*Rubric!$D$5+H358*Rubric!$D$6+I358*Rubric!$D$7+J358*Rubric!$D$8+K358*Rubric!$D$9+L358*Rubric!$D$10)/5*100,1))</f>
        <v>82</v>
      </c>
      <c r="N358" s="37" t="str">
        <f aca="false">IF(OR(B358="",D358=""),"",IFERROR(IF(IF(E358="Primary",INDEX(Applications!$I$5:$I$600,MATCH(B358,Applications!$A$5:$A$600,0)),IF(E358="Secondary",INDEX(Applications!$J$5:$J$600,MATCH(B358,Applications!$A$5:$A$600,0)),INDEX(Applications!$K$5:$K$600,MATCH(B358,Applications!$A$5:$A$600,0))))=D358,"OK","Not assigned"),"Check ID"))</f>
        <v>OK</v>
      </c>
      <c r="O358" s="7"/>
    </row>
    <row r="359" customFormat="false" ht="15" hidden="false" customHeight="false" outlineLevel="0" collapsed="false">
      <c r="A359" s="35" t="s">
        <v>1755</v>
      </c>
      <c r="B359" s="35" t="s">
        <v>629</v>
      </c>
      <c r="C359" s="37" t="str">
        <f aca="false">IF(B359="","",IFERROR(INDEX(Applications!$B$5:$B$600,MATCH(B359,Applications!$A$5:$A$600,0)),"Application ID not found"))</f>
        <v>Hamilton Market Gardens</v>
      </c>
      <c r="D359" s="35" t="s">
        <v>85</v>
      </c>
      <c r="E359" s="35" t="s">
        <v>83</v>
      </c>
      <c r="F359" s="36" t="n">
        <v>45943</v>
      </c>
      <c r="G359" s="35" t="n">
        <v>3</v>
      </c>
      <c r="H359" s="35" t="n">
        <v>3</v>
      </c>
      <c r="I359" s="35" t="n">
        <v>4</v>
      </c>
      <c r="J359" s="35" t="n">
        <v>3</v>
      </c>
      <c r="K359" s="35" t="n">
        <v>4</v>
      </c>
      <c r="L359" s="35" t="n">
        <v>4</v>
      </c>
      <c r="M359" s="50" t="n">
        <f aca="false">IF(COUNT(G359:L359)&lt;6,"",ROUND((G359*Rubric!$D$5+H359*Rubric!$D$6+I359*Rubric!$D$7+J359*Rubric!$D$8+K359*Rubric!$D$9+L359*Rubric!$D$10)/5*100,1))</f>
        <v>68</v>
      </c>
      <c r="N359" s="37" t="str">
        <f aca="false">IF(OR(B359="",D359=""),"",IFERROR(IF(IF(E359="Primary",INDEX(Applications!$I$5:$I$600,MATCH(B359,Applications!$A$5:$A$600,0)),IF(E359="Secondary",INDEX(Applications!$J$5:$J$600,MATCH(B359,Applications!$A$5:$A$600,0)),INDEX(Applications!$K$5:$K$600,MATCH(B359,Applications!$A$5:$A$600,0))))=D359,"OK","Not assigned"),"Check ID"))</f>
        <v>OK</v>
      </c>
      <c r="O359" s="7" t="s">
        <v>1418</v>
      </c>
    </row>
    <row r="360" customFormat="false" ht="15" hidden="false" customHeight="false" outlineLevel="0" collapsed="false">
      <c r="A360" s="35" t="s">
        <v>1756</v>
      </c>
      <c r="B360" s="35" t="s">
        <v>983</v>
      </c>
      <c r="C360" s="37" t="str">
        <f aca="false">IF(B360="","",IFERROR(INDEX(Applications!$B$5:$B$600,MATCH(B360,Applications!$A$5:$A$600,0)),"Application ID not found"))</f>
        <v>Union Square Community Kitchen</v>
      </c>
      <c r="D360" s="35" t="s">
        <v>85</v>
      </c>
      <c r="E360" s="35" t="s">
        <v>80</v>
      </c>
      <c r="F360" s="36" t="n">
        <v>45943</v>
      </c>
      <c r="G360" s="35" t="n">
        <v>4</v>
      </c>
      <c r="H360" s="35" t="n">
        <v>3</v>
      </c>
      <c r="I360" s="35" t="n">
        <v>3</v>
      </c>
      <c r="J360" s="35" t="n">
        <v>4</v>
      </c>
      <c r="K360" s="35" t="n">
        <v>4</v>
      </c>
      <c r="L360" s="35" t="n">
        <v>4</v>
      </c>
      <c r="M360" s="50" t="n">
        <f aca="false">IF(COUNT(G360:L360)&lt;6,"",ROUND((G360*Rubric!$D$5+H360*Rubric!$D$6+I360*Rubric!$D$7+J360*Rubric!$D$8+K360*Rubric!$D$9+L360*Rubric!$D$10)/5*100,1))</f>
        <v>72</v>
      </c>
      <c r="N360" s="37" t="str">
        <f aca="false">IF(OR(B360="",D360=""),"",IFERROR(IF(IF(E360="Primary",INDEX(Applications!$I$5:$I$600,MATCH(B360,Applications!$A$5:$A$600,0)),IF(E360="Secondary",INDEX(Applications!$J$5:$J$600,MATCH(B360,Applications!$A$5:$A$600,0)),INDEX(Applications!$K$5:$K$600,MATCH(B360,Applications!$A$5:$A$600,0))))=D360,"OK","Not assigned"),"Check ID"))</f>
        <v>OK</v>
      </c>
      <c r="O360" s="7"/>
    </row>
    <row r="361" customFormat="false" ht="15" hidden="false" customHeight="false" outlineLevel="0" collapsed="false">
      <c r="A361" s="35" t="s">
        <v>1757</v>
      </c>
      <c r="B361" s="35" t="s">
        <v>512</v>
      </c>
      <c r="C361" s="37" t="str">
        <f aca="false">IF(B361="","",IFERROR(INDEX(Applications!$B$5:$B$600,MATCH(B361,Applications!$A$5:$A$600,0)),"Application ID not found"))</f>
        <v>Stonebridge Culinary Works</v>
      </c>
      <c r="D361" s="35" t="s">
        <v>85</v>
      </c>
      <c r="E361" s="35" t="s">
        <v>83</v>
      </c>
      <c r="F361" s="36" t="n">
        <v>45943</v>
      </c>
      <c r="G361" s="35" t="n">
        <v>2</v>
      </c>
      <c r="H361" s="35" t="n">
        <v>2</v>
      </c>
      <c r="I361" s="35" t="n">
        <v>2</v>
      </c>
      <c r="J361" s="35" t="n">
        <v>2</v>
      </c>
      <c r="K361" s="35" t="n">
        <v>2</v>
      </c>
      <c r="L361" s="35" t="n">
        <v>1</v>
      </c>
      <c r="M361" s="50" t="n">
        <f aca="false">IF(COUNT(G361:L361)&lt;6,"",ROUND((G361*Rubric!$D$5+H361*Rubric!$D$6+I361*Rubric!$D$7+J361*Rubric!$D$8+K361*Rubric!$D$9+L361*Rubric!$D$10)/5*100,1))</f>
        <v>38</v>
      </c>
      <c r="N361" s="37" t="str">
        <f aca="false">IF(OR(B361="",D361=""),"",IFERROR(IF(IF(E361="Primary",INDEX(Applications!$I$5:$I$600,MATCH(B361,Applications!$A$5:$A$600,0)),IF(E361="Secondary",INDEX(Applications!$J$5:$J$600,MATCH(B361,Applications!$A$5:$A$600,0)),INDEX(Applications!$K$5:$K$600,MATCH(B361,Applications!$A$5:$A$600,0))))=D361,"OK","Not assigned"),"Check ID"))</f>
        <v>OK</v>
      </c>
      <c r="O361" s="7"/>
    </row>
    <row r="362" customFormat="false" ht="15" hidden="false" customHeight="false" outlineLevel="0" collapsed="false">
      <c r="A362" s="35" t="s">
        <v>1758</v>
      </c>
      <c r="B362" s="35" t="s">
        <v>1317</v>
      </c>
      <c r="C362" s="37" t="str">
        <f aca="false">IF(B362="","",IFERROR(INDEX(Applications!$B$5:$B$600,MATCH(B362,Applications!$A$5:$A$600,0)),"Application ID not found"))</f>
        <v>Glasgow Kitchen Project</v>
      </c>
      <c r="D362" s="35" t="s">
        <v>85</v>
      </c>
      <c r="E362" s="35" t="s">
        <v>80</v>
      </c>
      <c r="F362" s="36" t="n">
        <v>45943</v>
      </c>
      <c r="G362" s="35" t="n">
        <v>5</v>
      </c>
      <c r="H362" s="35" t="n">
        <v>5</v>
      </c>
      <c r="I362" s="35" t="n">
        <v>5</v>
      </c>
      <c r="J362" s="35" t="n">
        <v>5</v>
      </c>
      <c r="K362" s="35" t="n">
        <v>5</v>
      </c>
      <c r="L362" s="35" t="n">
        <v>5</v>
      </c>
      <c r="M362" s="50" t="n">
        <f aca="false">IF(COUNT(G362:L362)&lt;6,"",ROUND((G362*Rubric!$D$5+H362*Rubric!$D$6+I362*Rubric!$D$7+J362*Rubric!$D$8+K362*Rubric!$D$9+L362*Rubric!$D$10)/5*100,1))</f>
        <v>100</v>
      </c>
      <c r="N362" s="37" t="str">
        <f aca="false">IF(OR(B362="",D362=""),"",IFERROR(IF(IF(E362="Primary",INDEX(Applications!$I$5:$I$600,MATCH(B362,Applications!$A$5:$A$600,0)),IF(E362="Secondary",INDEX(Applications!$J$5:$J$600,MATCH(B362,Applications!$A$5:$A$600,0)),INDEX(Applications!$K$5:$K$600,MATCH(B362,Applications!$A$5:$A$600,0))))=D362,"OK","Not assigned"),"Check ID"))</f>
        <v>OK</v>
      </c>
      <c r="O362" s="7"/>
    </row>
    <row r="363" customFormat="false" ht="15" hidden="false" customHeight="false" outlineLevel="0" collapsed="false">
      <c r="A363" s="35" t="s">
        <v>1759</v>
      </c>
      <c r="B363" s="35" t="s">
        <v>1319</v>
      </c>
      <c r="C363" s="37" t="str">
        <f aca="false">IF(B363="","",IFERROR(INDEX(Applications!$B$5:$B$600,MATCH(B363,Applications!$A$5:$A$600,0)),"Application ID not found"))</f>
        <v>Boise Cafe Training Program</v>
      </c>
      <c r="D363" s="35" t="s">
        <v>85</v>
      </c>
      <c r="E363" s="35" t="s">
        <v>80</v>
      </c>
      <c r="F363" s="36" t="n">
        <v>45943</v>
      </c>
      <c r="G363" s="35" t="n">
        <v>3</v>
      </c>
      <c r="H363" s="35" t="n">
        <v>4</v>
      </c>
      <c r="I363" s="35" t="n">
        <v>4</v>
      </c>
      <c r="J363" s="35" t="n">
        <v>3</v>
      </c>
      <c r="K363" s="35" t="n">
        <v>3</v>
      </c>
      <c r="L363" s="35" t="n">
        <v>4</v>
      </c>
      <c r="M363" s="50" t="n">
        <f aca="false">IF(COUNT(G363:L363)&lt;6,"",ROUND((G363*Rubric!$D$5+H363*Rubric!$D$6+I363*Rubric!$D$7+J363*Rubric!$D$8+K363*Rubric!$D$9+L363*Rubric!$D$10)/5*100,1))</f>
        <v>70</v>
      </c>
      <c r="N363" s="37" t="str">
        <f aca="false">IF(OR(B363="",D363=""),"",IFERROR(IF(IF(E363="Primary",INDEX(Applications!$I$5:$I$600,MATCH(B363,Applications!$A$5:$A$600,0)),IF(E363="Secondary",INDEX(Applications!$J$5:$J$600,MATCH(B363,Applications!$A$5:$A$600,0)),INDEX(Applications!$K$5:$K$600,MATCH(B363,Applications!$A$5:$A$600,0))))=D363,"OK","Not assigned"),"Check ID"))</f>
        <v>OK</v>
      </c>
      <c r="O363" s="7" t="s">
        <v>1418</v>
      </c>
    </row>
    <row r="364" customFormat="false" ht="15" hidden="false" customHeight="false" outlineLevel="0" collapsed="false">
      <c r="A364" s="35" t="s">
        <v>1760</v>
      </c>
      <c r="B364" s="35" t="s">
        <v>1139</v>
      </c>
      <c r="C364" s="37" t="str">
        <f aca="false">IF(B364="","",IFERROR(INDEX(Applications!$B$5:$B$600,MATCH(B364,Applications!$A$5:$A$600,0)),"Application ID not found"))</f>
        <v>Riverbend Market Gardens</v>
      </c>
      <c r="D364" s="35" t="s">
        <v>85</v>
      </c>
      <c r="E364" s="35" t="s">
        <v>83</v>
      </c>
      <c r="F364" s="36" t="n">
        <v>45943</v>
      </c>
      <c r="G364" s="35" t="n">
        <v>4</v>
      </c>
      <c r="H364" s="35" t="n">
        <v>4</v>
      </c>
      <c r="I364" s="35" t="n">
        <v>5</v>
      </c>
      <c r="J364" s="35" t="n">
        <v>5</v>
      </c>
      <c r="K364" s="35" t="n">
        <v>5</v>
      </c>
      <c r="L364" s="35" t="n">
        <v>4</v>
      </c>
      <c r="M364" s="50" t="n">
        <f aca="false">IF(COUNT(G364:L364)&lt;6,"",ROUND((G364*Rubric!$D$5+H364*Rubric!$D$6+I364*Rubric!$D$7+J364*Rubric!$D$8+K364*Rubric!$D$9+L364*Rubric!$D$10)/5*100,1))</f>
        <v>89</v>
      </c>
      <c r="N364" s="37" t="str">
        <f aca="false">IF(OR(B364="",D364=""),"",IFERROR(IF(IF(E364="Primary",INDEX(Applications!$I$5:$I$600,MATCH(B364,Applications!$A$5:$A$600,0)),IF(E364="Secondary",INDEX(Applications!$J$5:$J$600,MATCH(B364,Applications!$A$5:$A$600,0)),INDEX(Applications!$K$5:$K$600,MATCH(B364,Applications!$A$5:$A$600,0))))=D364,"OK","Not assigned"),"Check ID"))</f>
        <v>OK</v>
      </c>
      <c r="O364" s="7"/>
    </row>
    <row r="365" customFormat="false" ht="15" hidden="false" customHeight="false" outlineLevel="0" collapsed="false">
      <c r="A365" s="35" t="s">
        <v>1761</v>
      </c>
      <c r="B365" s="35" t="s">
        <v>364</v>
      </c>
      <c r="C365" s="37" t="str">
        <f aca="false">IF(B365="","",IFERROR(INDEX(Applications!$B$5:$B$600,MATCH(B365,Applications!$A$5:$A$600,0)),"Application ID not found"))</f>
        <v>Tidewater Food Shelf</v>
      </c>
      <c r="D365" s="35" t="s">
        <v>85</v>
      </c>
      <c r="E365" s="35" t="s">
        <v>80</v>
      </c>
      <c r="F365" s="36" t="n">
        <v>45943</v>
      </c>
      <c r="G365" s="35" t="n">
        <v>1</v>
      </c>
      <c r="H365" s="35" t="n">
        <v>2</v>
      </c>
      <c r="I365" s="35" t="n">
        <v>1</v>
      </c>
      <c r="J365" s="35" t="n">
        <v>2</v>
      </c>
      <c r="K365" s="35" t="n">
        <v>1</v>
      </c>
      <c r="L365" s="35" t="n">
        <v>1</v>
      </c>
      <c r="M365" s="50" t="n">
        <f aca="false">IF(COUNT(G365:L365)&lt;6,"",ROUND((G365*Rubric!$D$5+H365*Rubric!$D$6+I365*Rubric!$D$7+J365*Rubric!$D$8+K365*Rubric!$D$9+L365*Rubric!$D$10)/5*100,1))</f>
        <v>27</v>
      </c>
      <c r="N365" s="37" t="str">
        <f aca="false">IF(OR(B365="",D365=""),"",IFERROR(IF(IF(E365="Primary",INDEX(Applications!$I$5:$I$600,MATCH(B365,Applications!$A$5:$A$600,0)),IF(E365="Secondary",INDEX(Applications!$J$5:$J$600,MATCH(B365,Applications!$A$5:$A$600,0)),INDEX(Applications!$K$5:$K$600,MATCH(B365,Applications!$A$5:$A$600,0))))=D365,"OK","Not assigned"),"Check ID"))</f>
        <v>OK</v>
      </c>
      <c r="O365" s="7" t="s">
        <v>1398</v>
      </c>
    </row>
    <row r="366" customFormat="false" ht="15" hidden="false" customHeight="false" outlineLevel="0" collapsed="false">
      <c r="A366" s="35" t="s">
        <v>1762</v>
      </c>
      <c r="B366" s="35" t="s">
        <v>1257</v>
      </c>
      <c r="C366" s="37" t="str">
        <f aca="false">IF(B366="","",IFERROR(INDEX(Applications!$B$5:$B$600,MATCH(B366,Applications!$A$5:$A$600,0)),"Application ID not found"))</f>
        <v>Old Town Food Bank</v>
      </c>
      <c r="D366" s="35" t="s">
        <v>85</v>
      </c>
      <c r="E366" s="35" t="s">
        <v>80</v>
      </c>
      <c r="F366" s="36" t="n">
        <v>45943</v>
      </c>
      <c r="G366" s="35" t="n">
        <v>4</v>
      </c>
      <c r="H366" s="35" t="n">
        <v>4</v>
      </c>
      <c r="I366" s="35" t="n">
        <v>5</v>
      </c>
      <c r="J366" s="35" t="n">
        <v>4</v>
      </c>
      <c r="K366" s="35" t="n">
        <v>5</v>
      </c>
      <c r="L366" s="35" t="n">
        <v>4</v>
      </c>
      <c r="M366" s="50" t="n">
        <f aca="false">IF(COUNT(G366:L366)&lt;6,"",ROUND((G366*Rubric!$D$5+H366*Rubric!$D$6+I366*Rubric!$D$7+J366*Rubric!$D$8+K366*Rubric!$D$9+L366*Rubric!$D$10)/5*100,1))</f>
        <v>86</v>
      </c>
      <c r="N366" s="37" t="str">
        <f aca="false">IF(OR(B366="",D366=""),"",IFERROR(IF(IF(E366="Primary",INDEX(Applications!$I$5:$I$600,MATCH(B366,Applications!$A$5:$A$600,0)),IF(E366="Secondary",INDEX(Applications!$J$5:$J$600,MATCH(B366,Applications!$A$5:$A$600,0)),INDEX(Applications!$K$5:$K$600,MATCH(B366,Applications!$A$5:$A$600,0))))=D366,"OK","Not assigned"),"Check ID"))</f>
        <v>OK</v>
      </c>
      <c r="O366" s="7"/>
    </row>
    <row r="367" customFormat="false" ht="15" hidden="false" customHeight="false" outlineLevel="0" collapsed="false">
      <c r="A367" s="35" t="s">
        <v>1763</v>
      </c>
      <c r="B367" s="35" t="s">
        <v>1019</v>
      </c>
      <c r="C367" s="37" t="str">
        <f aca="false">IF(B367="","",IFERROR(INDEX(Applications!$B$5:$B$600,MATCH(B367,Applications!$A$5:$A$600,0)),"Application ID not found"))</f>
        <v>Fairmount Pantry Network</v>
      </c>
      <c r="D367" s="35" t="s">
        <v>85</v>
      </c>
      <c r="E367" s="35" t="s">
        <v>80</v>
      </c>
      <c r="F367" s="36" t="n">
        <v>45943</v>
      </c>
      <c r="G367" s="35" t="n">
        <v>4</v>
      </c>
      <c r="H367" s="35" t="n">
        <v>4</v>
      </c>
      <c r="I367" s="35" t="n">
        <v>4</v>
      </c>
      <c r="J367" s="35" t="n">
        <v>3</v>
      </c>
      <c r="K367" s="35" t="n">
        <v>4</v>
      </c>
      <c r="L367" s="35" t="n">
        <v>4</v>
      </c>
      <c r="M367" s="50" t="n">
        <f aca="false">IF(COUNT(G367:L367)&lt;6,"",ROUND((G367*Rubric!$D$5+H367*Rubric!$D$6+I367*Rubric!$D$7+J367*Rubric!$D$8+K367*Rubric!$D$9+L367*Rubric!$D$10)/5*100,1))</f>
        <v>77</v>
      </c>
      <c r="N367" s="37" t="str">
        <f aca="false">IF(OR(B367="",D367=""),"",IFERROR(IF(IF(E367="Primary",INDEX(Applications!$I$5:$I$600,MATCH(B367,Applications!$A$5:$A$600,0)),IF(E367="Secondary",INDEX(Applications!$J$5:$J$600,MATCH(B367,Applications!$A$5:$A$600,0)),INDEX(Applications!$K$5:$K$600,MATCH(B367,Applications!$A$5:$A$600,0))))=D367,"OK","Not assigned"),"Check ID"))</f>
        <v>OK</v>
      </c>
      <c r="O367" s="7"/>
    </row>
    <row r="368" customFormat="false" ht="15" hidden="false" customHeight="false" outlineLevel="0" collapsed="false">
      <c r="A368" s="35" t="s">
        <v>1764</v>
      </c>
      <c r="B368" s="35" t="s">
        <v>1305</v>
      </c>
      <c r="C368" s="37" t="str">
        <f aca="false">IF(B368="","",IFERROR(INDEX(Applications!$B$5:$B$600,MATCH(B368,Applications!$A$5:$A$600,0)),"Application ID not found"))</f>
        <v>Hamburg Seed Library</v>
      </c>
      <c r="D368" s="35" t="s">
        <v>85</v>
      </c>
      <c r="E368" s="35" t="s">
        <v>83</v>
      </c>
      <c r="F368" s="36" t="n">
        <v>45943</v>
      </c>
      <c r="G368" s="35" t="n">
        <v>4</v>
      </c>
      <c r="H368" s="35" t="n">
        <v>3</v>
      </c>
      <c r="I368" s="35" t="n">
        <v>4</v>
      </c>
      <c r="J368" s="35" t="n">
        <v>4</v>
      </c>
      <c r="K368" s="35" t="n">
        <v>4</v>
      </c>
      <c r="L368" s="35" t="n">
        <v>4</v>
      </c>
      <c r="M368" s="50" t="n">
        <f aca="false">IF(COUNT(G368:L368)&lt;6,"",ROUND((G368*Rubric!$D$5+H368*Rubric!$D$6+I368*Rubric!$D$7+J368*Rubric!$D$8+K368*Rubric!$D$9+L368*Rubric!$D$10)/5*100,1))</f>
        <v>76</v>
      </c>
      <c r="N368" s="37" t="str">
        <f aca="false">IF(OR(B368="",D368=""),"",IFERROR(IF(IF(E368="Primary",INDEX(Applications!$I$5:$I$600,MATCH(B368,Applications!$A$5:$A$600,0)),IF(E368="Secondary",INDEX(Applications!$J$5:$J$600,MATCH(B368,Applications!$A$5:$A$600,0)),INDEX(Applications!$K$5:$K$600,MATCH(B368,Applications!$A$5:$A$600,0))))=D368,"OK","Not assigned"),"Check ID"))</f>
        <v>OK</v>
      </c>
      <c r="O368" s="7" t="s">
        <v>1592</v>
      </c>
    </row>
    <row r="369" customFormat="false" ht="15" hidden="false" customHeight="false" outlineLevel="0" collapsed="false">
      <c r="A369" s="35" t="s">
        <v>1765</v>
      </c>
      <c r="B369" s="35" t="s">
        <v>524</v>
      </c>
      <c r="C369" s="37" t="str">
        <f aca="false">IF(B369="","",IFERROR(INDEX(Applications!$B$5:$B$600,MATCH(B369,Applications!$A$5:$A$600,0)),"Application ID not found"))</f>
        <v>Utrecht Market Gardens</v>
      </c>
      <c r="D369" s="35" t="s">
        <v>85</v>
      </c>
      <c r="E369" s="35" t="s">
        <v>80</v>
      </c>
      <c r="F369" s="36" t="n">
        <v>45943</v>
      </c>
      <c r="G369" s="35" t="n">
        <v>5</v>
      </c>
      <c r="H369" s="35" t="n">
        <v>5</v>
      </c>
      <c r="I369" s="35" t="n">
        <v>5</v>
      </c>
      <c r="J369" s="35" t="n">
        <v>4</v>
      </c>
      <c r="K369" s="35" t="n">
        <v>5</v>
      </c>
      <c r="L369" s="35" t="n">
        <v>5</v>
      </c>
      <c r="M369" s="50" t="n">
        <f aca="false">IF(COUNT(G369:L369)&lt;6,"",ROUND((G369*Rubric!$D$5+H369*Rubric!$D$6+I369*Rubric!$D$7+J369*Rubric!$D$8+K369*Rubric!$D$9+L369*Rubric!$D$10)/5*100,1))</f>
        <v>97</v>
      </c>
      <c r="N369" s="37" t="str">
        <f aca="false">IF(OR(B369="",D369=""),"",IFERROR(IF(IF(E369="Primary",INDEX(Applications!$I$5:$I$600,MATCH(B369,Applications!$A$5:$A$600,0)),IF(E369="Secondary",INDEX(Applications!$J$5:$J$600,MATCH(B369,Applications!$A$5:$A$600,0)),INDEX(Applications!$K$5:$K$600,MATCH(B369,Applications!$A$5:$A$600,0))))=D369,"OK","Not assigned"),"Check ID"))</f>
        <v>OK</v>
      </c>
      <c r="O369" s="7"/>
    </row>
    <row r="370" customFormat="false" ht="15" hidden="false" customHeight="false" outlineLevel="0" collapsed="false">
      <c r="A370" s="35" t="s">
        <v>1766</v>
      </c>
      <c r="B370" s="35" t="s">
        <v>546</v>
      </c>
      <c r="C370" s="37" t="str">
        <f aca="false">IF(B370="","",IFERROR(INDEX(Applications!$B$5:$B$600,MATCH(B370,Applications!$A$5:$A$600,0)),"Application ID not found"))</f>
        <v>Copper Hill Farm Collective</v>
      </c>
      <c r="D370" s="35" t="s">
        <v>85</v>
      </c>
      <c r="E370" s="35" t="s">
        <v>83</v>
      </c>
      <c r="F370" s="36" t="n">
        <v>45943</v>
      </c>
      <c r="G370" s="35" t="n">
        <v>3</v>
      </c>
      <c r="H370" s="35" t="n">
        <v>3</v>
      </c>
      <c r="I370" s="35" t="n">
        <v>4</v>
      </c>
      <c r="J370" s="35" t="n">
        <v>3</v>
      </c>
      <c r="K370" s="35" t="n">
        <v>3</v>
      </c>
      <c r="L370" s="35" t="n">
        <v>3</v>
      </c>
      <c r="M370" s="50" t="n">
        <f aca="false">IF(COUNT(G370:L370)&lt;6,"",ROUND((G370*Rubric!$D$5+H370*Rubric!$D$6+I370*Rubric!$D$7+J370*Rubric!$D$8+K370*Rubric!$D$9+L370*Rubric!$D$10)/5*100,1))</f>
        <v>64</v>
      </c>
      <c r="N370" s="37" t="str">
        <f aca="false">IF(OR(B370="",D370=""),"",IFERROR(IF(IF(E370="Primary",INDEX(Applications!$I$5:$I$600,MATCH(B370,Applications!$A$5:$A$600,0)),IF(E370="Secondary",INDEX(Applications!$J$5:$J$600,MATCH(B370,Applications!$A$5:$A$600,0)),INDEX(Applications!$K$5:$K$600,MATCH(B370,Applications!$A$5:$A$600,0))))=D370,"OK","Not assigned"),"Check ID"))</f>
        <v>OK</v>
      </c>
      <c r="O370" s="7" t="s">
        <v>1398</v>
      </c>
    </row>
    <row r="371" customFormat="false" ht="15" hidden="false" customHeight="false" outlineLevel="0" collapsed="false">
      <c r="A371" s="35" t="s">
        <v>1767</v>
      </c>
      <c r="B371" s="35" t="s">
        <v>737</v>
      </c>
      <c r="C371" s="37" t="str">
        <f aca="false">IF(B371="","",IFERROR(INDEX(Applications!$B$5:$B$600,MATCH(B371,Applications!$A$5:$A$600,0)),"Application ID not found"))</f>
        <v>Juniper Community Kitchen</v>
      </c>
      <c r="D371" s="35" t="s">
        <v>85</v>
      </c>
      <c r="E371" s="35" t="s">
        <v>80</v>
      </c>
      <c r="F371" s="36" t="n">
        <v>45943</v>
      </c>
      <c r="G371" s="35" t="n">
        <v>3</v>
      </c>
      <c r="H371" s="35" t="n">
        <v>3</v>
      </c>
      <c r="I371" s="35" t="n">
        <v>3</v>
      </c>
      <c r="J371" s="35" t="n">
        <v>3</v>
      </c>
      <c r="K371" s="35" t="n">
        <v>3</v>
      </c>
      <c r="L371" s="35" t="n">
        <v>3</v>
      </c>
      <c r="M371" s="50" t="n">
        <f aca="false">IF(COUNT(G371:L371)&lt;6,"",ROUND((G371*Rubric!$D$5+H371*Rubric!$D$6+I371*Rubric!$D$7+J371*Rubric!$D$8+K371*Rubric!$D$9+L371*Rubric!$D$10)/5*100,1))</f>
        <v>60</v>
      </c>
      <c r="N371" s="37" t="str">
        <f aca="false">IF(OR(B371="",D371=""),"",IFERROR(IF(IF(E371="Primary",INDEX(Applications!$I$5:$I$600,MATCH(B371,Applications!$A$5:$A$600,0)),IF(E371="Secondary",INDEX(Applications!$J$5:$J$600,MATCH(B371,Applications!$A$5:$A$600,0)),INDEX(Applications!$K$5:$K$600,MATCH(B371,Applications!$A$5:$A$600,0))))=D371,"OK","Not assigned"),"Check ID"))</f>
        <v>OK</v>
      </c>
      <c r="O371" s="7"/>
    </row>
    <row r="372" customFormat="false" ht="15" hidden="false" customHeight="false" outlineLevel="0" collapsed="false">
      <c r="A372" s="35" t="s">
        <v>1768</v>
      </c>
      <c r="B372" s="35" t="s">
        <v>745</v>
      </c>
      <c r="C372" s="37" t="str">
        <f aca="false">IF(B372="","",IFERROR(INDEX(Applications!$B$5:$B$600,MATCH(B372,Applications!$A$5:$A$600,0)),"Application ID not found"))</f>
        <v>Southfield Mobile Market</v>
      </c>
      <c r="D372" s="35" t="s">
        <v>85</v>
      </c>
      <c r="E372" s="35" t="s">
        <v>80</v>
      </c>
      <c r="F372" s="36" t="n">
        <v>45943</v>
      </c>
      <c r="G372" s="35" t="n">
        <v>3</v>
      </c>
      <c r="H372" s="35" t="n">
        <v>3</v>
      </c>
      <c r="I372" s="35" t="n">
        <v>4</v>
      </c>
      <c r="J372" s="35" t="n">
        <v>4</v>
      </c>
      <c r="K372" s="35" t="n">
        <v>3</v>
      </c>
      <c r="L372" s="35" t="n">
        <v>4</v>
      </c>
      <c r="M372" s="50" t="n">
        <f aca="false">IF(COUNT(G372:L372)&lt;6,"",ROUND((G372*Rubric!$D$5+H372*Rubric!$D$6+I372*Rubric!$D$7+J372*Rubric!$D$8+K372*Rubric!$D$9+L372*Rubric!$D$10)/5*100,1))</f>
        <v>69</v>
      </c>
      <c r="N372" s="37" t="str">
        <f aca="false">IF(OR(B372="",D372=""),"",IFERROR(IF(IF(E372="Primary",INDEX(Applications!$I$5:$I$600,MATCH(B372,Applications!$A$5:$A$600,0)),IF(E372="Secondary",INDEX(Applications!$J$5:$J$600,MATCH(B372,Applications!$A$5:$A$600,0)),INDEX(Applications!$K$5:$K$600,MATCH(B372,Applications!$A$5:$A$600,0))))=D372,"OK","Not assigned"),"Check ID"))</f>
        <v>OK</v>
      </c>
      <c r="O372" s="7"/>
    </row>
    <row r="373" customFormat="false" ht="15" hidden="false" customHeight="false" outlineLevel="0" collapsed="false">
      <c r="A373" s="35" t="s">
        <v>1769</v>
      </c>
      <c r="B373" s="35" t="s">
        <v>382</v>
      </c>
      <c r="C373" s="37" t="str">
        <f aca="false">IF(B373="","",IFERROR(INDEX(Applications!$B$5:$B$600,MATCH(B373,Applications!$A$5:$A$600,0)),"Application ID not found"))</f>
        <v>Tucson Community Kitchen</v>
      </c>
      <c r="D373" s="35" t="s">
        <v>78</v>
      </c>
      <c r="E373" s="35" t="s">
        <v>83</v>
      </c>
      <c r="F373" s="36" t="n">
        <v>45944</v>
      </c>
      <c r="G373" s="35" t="n">
        <v>4</v>
      </c>
      <c r="H373" s="35" t="n">
        <v>3</v>
      </c>
      <c r="I373" s="35" t="n">
        <v>3</v>
      </c>
      <c r="J373" s="35" t="n">
        <v>3</v>
      </c>
      <c r="K373" s="35" t="n">
        <v>3</v>
      </c>
      <c r="L373" s="35" t="n">
        <v>3</v>
      </c>
      <c r="M373" s="50" t="n">
        <f aca="false">IF(COUNT(G373:L373)&lt;6,"",ROUND((G373*Rubric!$D$5+H373*Rubric!$D$6+I373*Rubric!$D$7+J373*Rubric!$D$8+K373*Rubric!$D$9+L373*Rubric!$D$10)/5*100,1))</f>
        <v>65</v>
      </c>
      <c r="N373" s="37" t="str">
        <f aca="false">IF(OR(B373="",D373=""),"",IFERROR(IF(IF(E373="Primary",INDEX(Applications!$I$5:$I$600,MATCH(B373,Applications!$A$5:$A$600,0)),IF(E373="Secondary",INDEX(Applications!$J$5:$J$600,MATCH(B373,Applications!$A$5:$A$600,0)),INDEX(Applications!$K$5:$K$600,MATCH(B373,Applications!$A$5:$A$600,0))))=D373,"OK","Not assigned"),"Check ID"))</f>
        <v>OK</v>
      </c>
      <c r="O373" s="7"/>
    </row>
    <row r="374" customFormat="false" ht="15" hidden="false" customHeight="false" outlineLevel="0" collapsed="false">
      <c r="A374" s="35" t="s">
        <v>1770</v>
      </c>
      <c r="B374" s="35" t="s">
        <v>502</v>
      </c>
      <c r="C374" s="37" t="str">
        <f aca="false">IF(B374="","",IFERROR(INDEX(Applications!$B$5:$B$600,MATCH(B374,Applications!$A$5:$A$600,0)),"Application ID not found"))</f>
        <v>Crossroads Market Gardens</v>
      </c>
      <c r="D374" s="35" t="s">
        <v>78</v>
      </c>
      <c r="E374" s="35" t="s">
        <v>83</v>
      </c>
      <c r="F374" s="36" t="n">
        <v>45944</v>
      </c>
      <c r="G374" s="35" t="n">
        <v>2</v>
      </c>
      <c r="H374" s="35" t="n">
        <v>3</v>
      </c>
      <c r="I374" s="35" t="n">
        <v>3</v>
      </c>
      <c r="J374" s="35" t="n">
        <v>3</v>
      </c>
      <c r="K374" s="35" t="n">
        <v>2</v>
      </c>
      <c r="L374" s="35" t="n">
        <v>3</v>
      </c>
      <c r="M374" s="50" t="n">
        <f aca="false">IF(COUNT(G374:L374)&lt;6,"",ROUND((G374*Rubric!$D$5+H374*Rubric!$D$6+I374*Rubric!$D$7+J374*Rubric!$D$8+K374*Rubric!$D$9+L374*Rubric!$D$10)/5*100,1))</f>
        <v>53</v>
      </c>
      <c r="N374" s="37" t="str">
        <f aca="false">IF(OR(B374="",D374=""),"",IFERROR(IF(IF(E374="Primary",INDEX(Applications!$I$5:$I$600,MATCH(B374,Applications!$A$5:$A$600,0)),IF(E374="Secondary",INDEX(Applications!$J$5:$J$600,MATCH(B374,Applications!$A$5:$A$600,0)),INDEX(Applications!$K$5:$K$600,MATCH(B374,Applications!$A$5:$A$600,0))))=D374,"OK","Not assigned"),"Check ID"))</f>
        <v>OK</v>
      </c>
      <c r="O374" s="7"/>
    </row>
    <row r="375" customFormat="false" ht="15" hidden="false" customHeight="false" outlineLevel="0" collapsed="false">
      <c r="A375" s="35" t="s">
        <v>1771</v>
      </c>
      <c r="B375" s="35" t="s">
        <v>462</v>
      </c>
      <c r="C375" s="37" t="str">
        <f aca="false">IF(B375="","",IFERROR(INDEX(Applications!$B$5:$B$600,MATCH(B375,Applications!$A$5:$A$600,0)),"Application ID not found"))</f>
        <v>Fairmount Growers Cooperative</v>
      </c>
      <c r="D375" s="35" t="s">
        <v>78</v>
      </c>
      <c r="E375" s="35" t="s">
        <v>83</v>
      </c>
      <c r="F375" s="36" t="n">
        <v>45944</v>
      </c>
      <c r="G375" s="35" t="n">
        <v>3</v>
      </c>
      <c r="H375" s="35" t="n">
        <v>3</v>
      </c>
      <c r="I375" s="35" t="n">
        <v>4</v>
      </c>
      <c r="J375" s="35" t="n">
        <v>3</v>
      </c>
      <c r="K375" s="35" t="n">
        <v>3</v>
      </c>
      <c r="L375" s="35" t="n">
        <v>3</v>
      </c>
      <c r="M375" s="50" t="n">
        <f aca="false">IF(COUNT(G375:L375)&lt;6,"",ROUND((G375*Rubric!$D$5+H375*Rubric!$D$6+I375*Rubric!$D$7+J375*Rubric!$D$8+K375*Rubric!$D$9+L375*Rubric!$D$10)/5*100,1))</f>
        <v>64</v>
      </c>
      <c r="N375" s="37" t="str">
        <f aca="false">IF(OR(B375="",D375=""),"",IFERROR(IF(IF(E375="Primary",INDEX(Applications!$I$5:$I$600,MATCH(B375,Applications!$A$5:$A$600,0)),IF(E375="Secondary",INDEX(Applications!$J$5:$J$600,MATCH(B375,Applications!$A$5:$A$600,0)),INDEX(Applications!$K$5:$K$600,MATCH(B375,Applications!$A$5:$A$600,0))))=D375,"OK","Not assigned"),"Check ID"))</f>
        <v>OK</v>
      </c>
      <c r="O375" s="7"/>
    </row>
    <row r="376" customFormat="false" ht="15" hidden="false" customHeight="false" outlineLevel="0" collapsed="false">
      <c r="A376" s="35" t="s">
        <v>1772</v>
      </c>
      <c r="B376" s="35" t="s">
        <v>353</v>
      </c>
      <c r="C376" s="37" t="str">
        <f aca="false">IF(B376="","",IFERROR(INDEX(Applications!$B$5:$B$600,MATCH(B376,Applications!$A$5:$A$600,0)),"Application ID not found"))</f>
        <v>Pune Farm Collective</v>
      </c>
      <c r="D376" s="35" t="s">
        <v>78</v>
      </c>
      <c r="E376" s="35" t="s">
        <v>83</v>
      </c>
      <c r="F376" s="36" t="n">
        <v>45944</v>
      </c>
      <c r="G376" s="35" t="n">
        <v>3</v>
      </c>
      <c r="H376" s="35" t="n">
        <v>4</v>
      </c>
      <c r="I376" s="35" t="n">
        <v>4</v>
      </c>
      <c r="J376" s="35" t="n">
        <v>4</v>
      </c>
      <c r="K376" s="35" t="n">
        <v>3</v>
      </c>
      <c r="L376" s="35" t="n">
        <v>4</v>
      </c>
      <c r="M376" s="50" t="n">
        <f aca="false">IF(COUNT(G376:L376)&lt;6,"",ROUND((G376*Rubric!$D$5+H376*Rubric!$D$6+I376*Rubric!$D$7+J376*Rubric!$D$8+K376*Rubric!$D$9+L376*Rubric!$D$10)/5*100,1))</f>
        <v>73</v>
      </c>
      <c r="N376" s="37" t="str">
        <f aca="false">IF(OR(B376="",D376=""),"",IFERROR(IF(IF(E376="Primary",INDEX(Applications!$I$5:$I$600,MATCH(B376,Applications!$A$5:$A$600,0)),IF(E376="Secondary",INDEX(Applications!$J$5:$J$600,MATCH(B376,Applications!$A$5:$A$600,0)),INDEX(Applications!$K$5:$K$600,MATCH(B376,Applications!$A$5:$A$600,0))))=D376,"OK","Not assigned"),"Check ID"))</f>
        <v>OK</v>
      </c>
      <c r="O376" s="7"/>
    </row>
    <row r="377" customFormat="false" ht="15" hidden="false" customHeight="false" outlineLevel="0" collapsed="false">
      <c r="A377" s="35" t="s">
        <v>1773</v>
      </c>
      <c r="B377" s="35" t="s">
        <v>1239</v>
      </c>
      <c r="C377" s="37" t="str">
        <f aca="false">IF(B377="","",IFERROR(INDEX(Applications!$B$5:$B$600,MATCH(B377,Applications!$A$5:$A$600,0)),"Application ID not found"))</f>
        <v>Open Door Culinary Works</v>
      </c>
      <c r="D377" s="35" t="s">
        <v>78</v>
      </c>
      <c r="E377" s="35" t="s">
        <v>83</v>
      </c>
      <c r="F377" s="36" t="n">
        <v>45944</v>
      </c>
      <c r="G377" s="35" t="n">
        <v>3</v>
      </c>
      <c r="H377" s="35" t="n">
        <v>2</v>
      </c>
      <c r="I377" s="35" t="n">
        <v>3</v>
      </c>
      <c r="J377" s="35" t="n">
        <v>3</v>
      </c>
      <c r="K377" s="35" t="n">
        <v>2</v>
      </c>
      <c r="L377" s="35" t="n">
        <v>3</v>
      </c>
      <c r="M377" s="50" t="n">
        <f aca="false">IF(COUNT(G377:L377)&lt;6,"",ROUND((G377*Rubric!$D$5+H377*Rubric!$D$6+I377*Rubric!$D$7+J377*Rubric!$D$8+K377*Rubric!$D$9+L377*Rubric!$D$10)/5*100,1))</f>
        <v>54</v>
      </c>
      <c r="N377" s="37" t="str">
        <f aca="false">IF(OR(B377="",D377=""),"",IFERROR(IF(IF(E377="Primary",INDEX(Applications!$I$5:$I$600,MATCH(B377,Applications!$A$5:$A$600,0)),IF(E377="Secondary",INDEX(Applications!$J$5:$J$600,MATCH(B377,Applications!$A$5:$A$600,0)),INDEX(Applications!$K$5:$K$600,MATCH(B377,Applications!$A$5:$A$600,0))))=D377,"OK","Not assigned"),"Check ID"))</f>
        <v>OK</v>
      </c>
      <c r="O377" s="7"/>
    </row>
    <row r="378" customFormat="false" ht="15" hidden="false" customHeight="false" outlineLevel="0" collapsed="false">
      <c r="A378" s="35" t="s">
        <v>1774</v>
      </c>
      <c r="B378" s="35" t="s">
        <v>843</v>
      </c>
      <c r="C378" s="37" t="str">
        <f aca="false">IF(B378="","",IFERROR(INDEX(Applications!$B$5:$B$600,MATCH(B378,Applications!$A$5:$A$600,0)),"Application ID not found"))</f>
        <v>Bogotá Mobile Market</v>
      </c>
      <c r="D378" s="35" t="s">
        <v>78</v>
      </c>
      <c r="E378" s="35" t="s">
        <v>80</v>
      </c>
      <c r="F378" s="36" t="n">
        <v>45944</v>
      </c>
      <c r="G378" s="35" t="n">
        <v>3</v>
      </c>
      <c r="H378" s="35" t="n">
        <v>4</v>
      </c>
      <c r="I378" s="35" t="n">
        <v>3</v>
      </c>
      <c r="J378" s="35" t="n">
        <v>4</v>
      </c>
      <c r="K378" s="35" t="n">
        <v>3</v>
      </c>
      <c r="L378" s="35" t="n">
        <v>3</v>
      </c>
      <c r="M378" s="50" t="n">
        <f aca="false">IF(COUNT(G378:L378)&lt;6,"",ROUND((G378*Rubric!$D$5+H378*Rubric!$D$6+I378*Rubric!$D$7+J378*Rubric!$D$8+K378*Rubric!$D$9+L378*Rubric!$D$10)/5*100,1))</f>
        <v>67</v>
      </c>
      <c r="N378" s="37" t="str">
        <f aca="false">IF(OR(B378="",D378=""),"",IFERROR(IF(IF(E378="Primary",INDEX(Applications!$I$5:$I$600,MATCH(B378,Applications!$A$5:$A$600,0)),IF(E378="Secondary",INDEX(Applications!$J$5:$J$600,MATCH(B378,Applications!$A$5:$A$600,0)),INDEX(Applications!$K$5:$K$600,MATCH(B378,Applications!$A$5:$A$600,0))))=D378,"OK","Not assigned"),"Check ID"))</f>
        <v>OK</v>
      </c>
      <c r="O378" s="7"/>
    </row>
    <row r="379" customFormat="false" ht="15" hidden="false" customHeight="false" outlineLevel="0" collapsed="false">
      <c r="A379" s="35" t="s">
        <v>1775</v>
      </c>
      <c r="B379" s="35" t="s">
        <v>1099</v>
      </c>
      <c r="C379" s="37" t="str">
        <f aca="false">IF(B379="","",IFERROR(INDEX(Applications!$B$5:$B$600,MATCH(B379,Applications!$A$5:$A$600,0)),"Application ID not found"))</f>
        <v>Parkside Community Pantry</v>
      </c>
      <c r="D379" s="35" t="s">
        <v>78</v>
      </c>
      <c r="E379" s="35" t="s">
        <v>83</v>
      </c>
      <c r="F379" s="36" t="n">
        <v>45944</v>
      </c>
      <c r="G379" s="35" t="n">
        <v>3</v>
      </c>
      <c r="H379" s="35" t="n">
        <v>3</v>
      </c>
      <c r="I379" s="35" t="n">
        <v>2</v>
      </c>
      <c r="J379" s="35" t="n">
        <v>2</v>
      </c>
      <c r="K379" s="35" t="n">
        <v>3</v>
      </c>
      <c r="L379" s="35" t="n">
        <v>3</v>
      </c>
      <c r="M379" s="50" t="n">
        <f aca="false">IF(COUNT(G379:L379)&lt;6,"",ROUND((G379*Rubric!$D$5+H379*Rubric!$D$6+I379*Rubric!$D$7+J379*Rubric!$D$8+K379*Rubric!$D$9+L379*Rubric!$D$10)/5*100,1))</f>
        <v>53</v>
      </c>
      <c r="N379" s="37" t="str">
        <f aca="false">IF(OR(B379="",D379=""),"",IFERROR(IF(IF(E379="Primary",INDEX(Applications!$I$5:$I$600,MATCH(B379,Applications!$A$5:$A$600,0)),IF(E379="Secondary",INDEX(Applications!$J$5:$J$600,MATCH(B379,Applications!$A$5:$A$600,0)),INDEX(Applications!$K$5:$K$600,MATCH(B379,Applications!$A$5:$A$600,0))))=D379,"OK","Not assigned"),"Check ID"))</f>
        <v>OK</v>
      </c>
      <c r="O379" s="7"/>
    </row>
    <row r="380" customFormat="false" ht="15" hidden="false" customHeight="false" outlineLevel="0" collapsed="false">
      <c r="A380" s="35" t="s">
        <v>1776</v>
      </c>
      <c r="B380" s="35" t="s">
        <v>1155</v>
      </c>
      <c r="C380" s="37" t="str">
        <f aca="false">IF(B380="","",IFERROR(INDEX(Applications!$B$5:$B$600,MATCH(B380,Applications!$A$5:$A$600,0)),"Application ID not found"))</f>
        <v>Columbus Community Pantry</v>
      </c>
      <c r="D380" s="35" t="s">
        <v>78</v>
      </c>
      <c r="E380" s="35" t="s">
        <v>83</v>
      </c>
      <c r="F380" s="36" t="n">
        <v>45944</v>
      </c>
      <c r="G380" s="35" t="n">
        <v>2</v>
      </c>
      <c r="H380" s="35" t="n">
        <v>3</v>
      </c>
      <c r="I380" s="35" t="n">
        <v>3</v>
      </c>
      <c r="J380" s="35" t="n">
        <v>2</v>
      </c>
      <c r="K380" s="35" t="n">
        <v>3</v>
      </c>
      <c r="L380" s="35" t="n">
        <v>2</v>
      </c>
      <c r="M380" s="50" t="n">
        <f aca="false">IF(COUNT(G380:L380)&lt;6,"",ROUND((G380*Rubric!$D$5+H380*Rubric!$D$6+I380*Rubric!$D$7+J380*Rubric!$D$8+K380*Rubric!$D$9+L380*Rubric!$D$10)/5*100,1))</f>
        <v>50</v>
      </c>
      <c r="N380" s="37" t="str">
        <f aca="false">IF(OR(B380="",D380=""),"",IFERROR(IF(IF(E380="Primary",INDEX(Applications!$I$5:$I$600,MATCH(B380,Applications!$A$5:$A$600,0)),IF(E380="Secondary",INDEX(Applications!$J$5:$J$600,MATCH(B380,Applications!$A$5:$A$600,0)),INDEX(Applications!$K$5:$K$600,MATCH(B380,Applications!$A$5:$A$600,0))))=D380,"OK","Not assigned"),"Check ID"))</f>
        <v>OK</v>
      </c>
      <c r="O380" s="7"/>
    </row>
    <row r="381" customFormat="false" ht="15" hidden="false" customHeight="false" outlineLevel="0" collapsed="false">
      <c r="A381" s="35" t="s">
        <v>1777</v>
      </c>
      <c r="B381" s="35" t="s">
        <v>219</v>
      </c>
      <c r="C381" s="37" t="str">
        <f aca="false">IF(B381="","",IFERROR(INDEX(Applications!$B$5:$B$600,MATCH(B381,Applications!$A$5:$A$600,0)),"Application ID not found"))</f>
        <v>Fairmount Cafe Training Program</v>
      </c>
      <c r="D381" s="35" t="s">
        <v>78</v>
      </c>
      <c r="E381" s="35" t="s">
        <v>80</v>
      </c>
      <c r="F381" s="36" t="n">
        <v>45944</v>
      </c>
      <c r="G381" s="35" t="n">
        <v>4</v>
      </c>
      <c r="H381" s="35" t="n">
        <v>4</v>
      </c>
      <c r="I381" s="35" t="n">
        <v>5</v>
      </c>
      <c r="J381" s="35" t="n">
        <v>5</v>
      </c>
      <c r="K381" s="35" t="n">
        <v>4</v>
      </c>
      <c r="L381" s="35" t="n">
        <v>5</v>
      </c>
      <c r="M381" s="50" t="n">
        <f aca="false">IF(COUNT(G381:L381)&lt;6,"",ROUND((G381*Rubric!$D$5+H381*Rubric!$D$6+I381*Rubric!$D$7+J381*Rubric!$D$8+K381*Rubric!$D$9+L381*Rubric!$D$10)/5*100,1))</f>
        <v>89</v>
      </c>
      <c r="N381" s="37" t="str">
        <f aca="false">IF(OR(B381="",D381=""),"",IFERROR(IF(IF(E381="Primary",INDEX(Applications!$I$5:$I$600,MATCH(B381,Applications!$A$5:$A$600,0)),IF(E381="Secondary",INDEX(Applications!$J$5:$J$600,MATCH(B381,Applications!$A$5:$A$600,0)),INDEX(Applications!$K$5:$K$600,MATCH(B381,Applications!$A$5:$A$600,0))))=D381,"OK","Not assigned"),"Check ID"))</f>
        <v>OK</v>
      </c>
      <c r="O381" s="7"/>
    </row>
    <row r="382" customFormat="false" ht="15" hidden="false" customHeight="false" outlineLevel="0" collapsed="false">
      <c r="A382" s="35" t="s">
        <v>1778</v>
      </c>
      <c r="B382" s="35" t="s">
        <v>488</v>
      </c>
      <c r="C382" s="37" t="str">
        <f aca="false">IF(B382="","",IFERROR(INDEX(Applications!$B$5:$B$600,MATCH(B382,Applications!$A$5:$A$600,0)),"Application ID not found"))</f>
        <v>Hamilton Schools Nutrition Fund</v>
      </c>
      <c r="D382" s="35" t="s">
        <v>78</v>
      </c>
      <c r="E382" s="35" t="s">
        <v>83</v>
      </c>
      <c r="F382" s="36" t="n">
        <v>45944</v>
      </c>
      <c r="G382" s="35" t="n">
        <v>3</v>
      </c>
      <c r="H382" s="35" t="n">
        <v>3</v>
      </c>
      <c r="I382" s="35" t="n">
        <v>3</v>
      </c>
      <c r="J382" s="35" t="n">
        <v>3</v>
      </c>
      <c r="K382" s="35" t="n">
        <v>2</v>
      </c>
      <c r="L382" s="35" t="n">
        <v>3</v>
      </c>
      <c r="M382" s="50" t="n">
        <f aca="false">IF(COUNT(G382:L382)&lt;6,"",ROUND((G382*Rubric!$D$5+H382*Rubric!$D$6+I382*Rubric!$D$7+J382*Rubric!$D$8+K382*Rubric!$D$9+L382*Rubric!$D$10)/5*100,1))</f>
        <v>58</v>
      </c>
      <c r="N382" s="37" t="str">
        <f aca="false">IF(OR(B382="",D382=""),"",IFERROR(IF(IF(E382="Primary",INDEX(Applications!$I$5:$I$600,MATCH(B382,Applications!$A$5:$A$600,0)),IF(E382="Secondary",INDEX(Applications!$J$5:$J$600,MATCH(B382,Applications!$A$5:$A$600,0)),INDEX(Applications!$K$5:$K$600,MATCH(B382,Applications!$A$5:$A$600,0))))=D382,"OK","Not assigned"),"Check ID"))</f>
        <v>OK</v>
      </c>
      <c r="O382" s="7"/>
    </row>
    <row r="383" customFormat="false" ht="15" hidden="false" customHeight="false" outlineLevel="0" collapsed="false">
      <c r="A383" s="35" t="s">
        <v>1779</v>
      </c>
      <c r="B383" s="35" t="s">
        <v>1005</v>
      </c>
      <c r="C383" s="37" t="str">
        <f aca="false">IF(B383="","",IFERROR(INDEX(Applications!$B$5:$B$600,MATCH(B383,Applications!$A$5:$A$600,0)),"Application ID not found"))</f>
        <v>Akron Food Bank</v>
      </c>
      <c r="D383" s="35" t="s">
        <v>78</v>
      </c>
      <c r="E383" s="35" t="s">
        <v>80</v>
      </c>
      <c r="F383" s="36" t="n">
        <v>45944</v>
      </c>
      <c r="G383" s="35" t="n">
        <v>4</v>
      </c>
      <c r="H383" s="35" t="n">
        <v>3</v>
      </c>
      <c r="I383" s="35" t="n">
        <v>3</v>
      </c>
      <c r="J383" s="35" t="n">
        <v>3</v>
      </c>
      <c r="K383" s="35" t="n">
        <v>3</v>
      </c>
      <c r="L383" s="35" t="n">
        <v>3</v>
      </c>
      <c r="M383" s="50" t="n">
        <f aca="false">IF(COUNT(G383:L383)&lt;6,"",ROUND((G383*Rubric!$D$5+H383*Rubric!$D$6+I383*Rubric!$D$7+J383*Rubric!$D$8+K383*Rubric!$D$9+L383*Rubric!$D$10)/5*100,1))</f>
        <v>65</v>
      </c>
      <c r="N383" s="37" t="str">
        <f aca="false">IF(OR(B383="",D383=""),"",IFERROR(IF(IF(E383="Primary",INDEX(Applications!$I$5:$I$600,MATCH(B383,Applications!$A$5:$A$600,0)),IF(E383="Secondary",INDEX(Applications!$J$5:$J$600,MATCH(B383,Applications!$A$5:$A$600,0)),INDEX(Applications!$K$5:$K$600,MATCH(B383,Applications!$A$5:$A$600,0))))=D383,"OK","Not assigned"),"Check ID"))</f>
        <v>OK</v>
      </c>
      <c r="O383" s="7"/>
    </row>
    <row r="384" customFormat="false" ht="15" hidden="false" customHeight="false" outlineLevel="0" collapsed="false">
      <c r="A384" s="35" t="s">
        <v>1780</v>
      </c>
      <c r="B384" s="35" t="s">
        <v>965</v>
      </c>
      <c r="C384" s="37" t="str">
        <f aca="false">IF(B384="","",IFERROR(INDEX(Applications!$B$5:$B$600,MATCH(B384,Applications!$A$5:$A$600,0)),"Application ID not found"))</f>
        <v>Toledo Youth Food Lab</v>
      </c>
      <c r="D384" s="35" t="s">
        <v>78</v>
      </c>
      <c r="E384" s="35" t="s">
        <v>83</v>
      </c>
      <c r="F384" s="36" t="n">
        <v>45944</v>
      </c>
      <c r="G384" s="35" t="n">
        <v>4</v>
      </c>
      <c r="H384" s="35" t="n">
        <v>4</v>
      </c>
      <c r="I384" s="35" t="n">
        <v>4</v>
      </c>
      <c r="J384" s="35" t="n">
        <v>3</v>
      </c>
      <c r="K384" s="35" t="n">
        <v>3</v>
      </c>
      <c r="L384" s="35" t="n">
        <v>4</v>
      </c>
      <c r="M384" s="50" t="n">
        <f aca="false">IF(COUNT(G384:L384)&lt;6,"",ROUND((G384*Rubric!$D$5+H384*Rubric!$D$6+I384*Rubric!$D$7+J384*Rubric!$D$8+K384*Rubric!$D$9+L384*Rubric!$D$10)/5*100,1))</f>
        <v>75</v>
      </c>
      <c r="N384" s="37" t="str">
        <f aca="false">IF(OR(B384="",D384=""),"",IFERROR(IF(IF(E384="Primary",INDEX(Applications!$I$5:$I$600,MATCH(B384,Applications!$A$5:$A$600,0)),IF(E384="Secondary",INDEX(Applications!$J$5:$J$600,MATCH(B384,Applications!$A$5:$A$600,0)),INDEX(Applications!$K$5:$K$600,MATCH(B384,Applications!$A$5:$A$600,0))))=D384,"OK","Not assigned"),"Check ID"))</f>
        <v>OK</v>
      </c>
      <c r="O384" s="7"/>
    </row>
    <row r="385" customFormat="false" ht="15" hidden="false" customHeight="false" outlineLevel="0" collapsed="false">
      <c r="A385" s="35" t="s">
        <v>1781</v>
      </c>
      <c r="B385" s="35" t="s">
        <v>625</v>
      </c>
      <c r="C385" s="37" t="str">
        <f aca="false">IF(B385="","",IFERROR(INDEX(Applications!$B$5:$B$600,MATCH(B385,Applications!$A$5:$A$600,0)),"Application ID not found"))</f>
        <v>Saltgrass Seed Library</v>
      </c>
      <c r="D385" s="35" t="s">
        <v>78</v>
      </c>
      <c r="E385" s="35" t="s">
        <v>83</v>
      </c>
      <c r="F385" s="36" t="n">
        <v>45944</v>
      </c>
      <c r="G385" s="35" t="n">
        <v>3</v>
      </c>
      <c r="H385" s="35" t="n">
        <v>3</v>
      </c>
      <c r="I385" s="35" t="n">
        <v>3</v>
      </c>
      <c r="J385" s="35" t="n">
        <v>3</v>
      </c>
      <c r="K385" s="35" t="n">
        <v>3</v>
      </c>
      <c r="L385" s="35" t="n">
        <v>3</v>
      </c>
      <c r="M385" s="50" t="n">
        <f aca="false">IF(COUNT(G385:L385)&lt;6,"",ROUND((G385*Rubric!$D$5+H385*Rubric!$D$6+I385*Rubric!$D$7+J385*Rubric!$D$8+K385*Rubric!$D$9+L385*Rubric!$D$10)/5*100,1))</f>
        <v>60</v>
      </c>
      <c r="N385" s="37" t="str">
        <f aca="false">IF(OR(B385="",D385=""),"",IFERROR(IF(IF(E385="Primary",INDEX(Applications!$I$5:$I$600,MATCH(B385,Applications!$A$5:$A$600,0)),IF(E385="Secondary",INDEX(Applications!$J$5:$J$600,MATCH(B385,Applications!$A$5:$A$600,0)),INDEX(Applications!$K$5:$K$600,MATCH(B385,Applications!$A$5:$A$600,0))))=D385,"OK","Not assigned"),"Check ID"))</f>
        <v>OK</v>
      </c>
      <c r="O385" s="7"/>
    </row>
    <row r="386" customFormat="false" ht="15" hidden="false" customHeight="false" outlineLevel="0" collapsed="false">
      <c r="A386" s="35" t="s">
        <v>1782</v>
      </c>
      <c r="B386" s="35" t="s">
        <v>953</v>
      </c>
      <c r="C386" s="37" t="str">
        <f aca="false">IF(B386="","",IFERROR(INDEX(Applications!$B$5:$B$600,MATCH(B386,Applications!$A$5:$A$600,0)),"Application ID not found"))</f>
        <v>Winnipeg Meals Project</v>
      </c>
      <c r="D386" s="35" t="s">
        <v>82</v>
      </c>
      <c r="E386" s="35" t="s">
        <v>83</v>
      </c>
      <c r="F386" s="36" t="n">
        <v>45944</v>
      </c>
      <c r="G386" s="35" t="n">
        <v>3</v>
      </c>
      <c r="H386" s="35" t="n">
        <v>4</v>
      </c>
      <c r="I386" s="35" t="n">
        <v>3</v>
      </c>
      <c r="J386" s="35" t="n">
        <v>3</v>
      </c>
      <c r="K386" s="35" t="n">
        <v>4</v>
      </c>
      <c r="L386" s="35" t="n">
        <v>4</v>
      </c>
      <c r="M386" s="50" t="n">
        <f aca="false">IF(COUNT(G386:L386)&lt;6,"",ROUND((G386*Rubric!$D$5+H386*Rubric!$D$6+I386*Rubric!$D$7+J386*Rubric!$D$8+K386*Rubric!$D$9+L386*Rubric!$D$10)/5*100,1))</f>
        <v>68</v>
      </c>
      <c r="N386" s="37" t="str">
        <f aca="false">IF(OR(B386="",D386=""),"",IFERROR(IF(IF(E386="Primary",INDEX(Applications!$I$5:$I$600,MATCH(B386,Applications!$A$5:$A$600,0)),IF(E386="Secondary",INDEX(Applications!$J$5:$J$600,MATCH(B386,Applications!$A$5:$A$600,0)),INDEX(Applications!$K$5:$K$600,MATCH(B386,Applications!$A$5:$A$600,0))))=D386,"OK","Not assigned"),"Check ID"))</f>
        <v>Not assigned</v>
      </c>
      <c r="O386" s="7" t="s">
        <v>1783</v>
      </c>
    </row>
    <row r="387" customFormat="false" ht="15" hidden="false" customHeight="false" outlineLevel="0" collapsed="false">
      <c r="A387" s="35" t="s">
        <v>1784</v>
      </c>
      <c r="B387" s="35" t="s">
        <v>454</v>
      </c>
      <c r="C387" s="37" t="str">
        <f aca="false">IF(B387="","",IFERROR(INDEX(Applications!$B$5:$B$600,MATCH(B387,Applications!$A$5:$A$600,0)),"Application ID not found"))</f>
        <v>Boise Community Kitchen</v>
      </c>
      <c r="D387" s="35" t="s">
        <v>82</v>
      </c>
      <c r="E387" s="35" t="s">
        <v>83</v>
      </c>
      <c r="F387" s="36" t="n">
        <v>45944</v>
      </c>
      <c r="G387" s="35" t="n">
        <v>4</v>
      </c>
      <c r="H387" s="35" t="n">
        <v>4</v>
      </c>
      <c r="I387" s="35" t="n">
        <v>4</v>
      </c>
      <c r="J387" s="35" t="n">
        <v>4</v>
      </c>
      <c r="K387" s="35" t="n">
        <v>4</v>
      </c>
      <c r="L387" s="35" t="n">
        <v>4</v>
      </c>
      <c r="M387" s="50" t="n">
        <f aca="false">IF(COUNT(G387:L387)&lt;6,"",ROUND((G387*Rubric!$D$5+H387*Rubric!$D$6+I387*Rubric!$D$7+J387*Rubric!$D$8+K387*Rubric!$D$9+L387*Rubric!$D$10)/5*100,1))</f>
        <v>80</v>
      </c>
      <c r="N387" s="37" t="str">
        <f aca="false">IF(OR(B387="",D387=""),"",IFERROR(IF(IF(E387="Primary",INDEX(Applications!$I$5:$I$600,MATCH(B387,Applications!$A$5:$A$600,0)),IF(E387="Secondary",INDEX(Applications!$J$5:$J$600,MATCH(B387,Applications!$A$5:$A$600,0)),INDEX(Applications!$K$5:$K$600,MATCH(B387,Applications!$A$5:$A$600,0))))=D387,"OK","Not assigned"),"Check ID"))</f>
        <v>OK</v>
      </c>
      <c r="O387" s="7"/>
    </row>
    <row r="388" customFormat="false" ht="15" hidden="false" customHeight="false" outlineLevel="0" collapsed="false">
      <c r="A388" s="35" t="s">
        <v>1785</v>
      </c>
      <c r="B388" s="35" t="s">
        <v>303</v>
      </c>
      <c r="C388" s="37" t="str">
        <f aca="false">IF(B388="","",IFERROR(INDEX(Applications!$B$5:$B$600,MATCH(B388,Applications!$A$5:$A$600,0)),"Application ID not found"))</f>
        <v>Eastside Schools Nutrition Fund</v>
      </c>
      <c r="D388" s="35" t="s">
        <v>82</v>
      </c>
      <c r="E388" s="35" t="s">
        <v>83</v>
      </c>
      <c r="F388" s="36" t="n">
        <v>45944</v>
      </c>
      <c r="G388" s="35" t="n">
        <v>2</v>
      </c>
      <c r="H388" s="35" t="n">
        <v>2</v>
      </c>
      <c r="I388" s="35" t="n">
        <v>1</v>
      </c>
      <c r="J388" s="35" t="n">
        <v>1</v>
      </c>
      <c r="K388" s="35" t="n">
        <v>2</v>
      </c>
      <c r="L388" s="35" t="n">
        <v>2</v>
      </c>
      <c r="M388" s="50" t="n">
        <f aca="false">IF(COUNT(G388:L388)&lt;6,"",ROUND((G388*Rubric!$D$5+H388*Rubric!$D$6+I388*Rubric!$D$7+J388*Rubric!$D$8+K388*Rubric!$D$9+L388*Rubric!$D$10)/5*100,1))</f>
        <v>33</v>
      </c>
      <c r="N388" s="37" t="str">
        <f aca="false">IF(OR(B388="",D388=""),"",IFERROR(IF(IF(E388="Primary",INDEX(Applications!$I$5:$I$600,MATCH(B388,Applications!$A$5:$A$600,0)),IF(E388="Secondary",INDEX(Applications!$J$5:$J$600,MATCH(B388,Applications!$A$5:$A$600,0)),INDEX(Applications!$K$5:$K$600,MATCH(B388,Applications!$A$5:$A$600,0))))=D388,"OK","Not assigned"),"Check ID"))</f>
        <v>OK</v>
      </c>
      <c r="O388" s="7"/>
    </row>
    <row r="389" customFormat="false" ht="15" hidden="false" customHeight="false" outlineLevel="0" collapsed="false">
      <c r="A389" s="35" t="s">
        <v>1786</v>
      </c>
      <c r="B389" s="35" t="s">
        <v>771</v>
      </c>
      <c r="C389" s="37" t="str">
        <f aca="false">IF(B389="","",IFERROR(INDEX(Applications!$B$5:$B$600,MATCH(B389,Applications!$A$5:$A$600,0)),"Application ID not found"))</f>
        <v>Pittsburgh Community Pantry</v>
      </c>
      <c r="D389" s="35" t="s">
        <v>82</v>
      </c>
      <c r="E389" s="35" t="s">
        <v>80</v>
      </c>
      <c r="F389" s="36" t="n">
        <v>45944</v>
      </c>
      <c r="G389" s="35" t="n">
        <v>2</v>
      </c>
      <c r="H389" s="35" t="n">
        <v>2</v>
      </c>
      <c r="I389" s="35" t="n">
        <v>3</v>
      </c>
      <c r="J389" s="35" t="n">
        <v>2</v>
      </c>
      <c r="K389" s="35" t="n">
        <v>3</v>
      </c>
      <c r="L389" s="35" t="n">
        <v>3</v>
      </c>
      <c r="M389" s="50" t="n">
        <f aca="false">IF(COUNT(G389:L389)&lt;6,"",ROUND((G389*Rubric!$D$5+H389*Rubric!$D$6+I389*Rubric!$D$7+J389*Rubric!$D$8+K389*Rubric!$D$9+L389*Rubric!$D$10)/5*100,1))</f>
        <v>48</v>
      </c>
      <c r="N389" s="37" t="str">
        <f aca="false">IF(OR(B389="",D389=""),"",IFERROR(IF(IF(E389="Primary",INDEX(Applications!$I$5:$I$600,MATCH(B389,Applications!$A$5:$A$600,0)),IF(E389="Secondary",INDEX(Applications!$J$5:$J$600,MATCH(B389,Applications!$A$5:$A$600,0)),INDEX(Applications!$K$5:$K$600,MATCH(B389,Applications!$A$5:$A$600,0))))=D389,"OK","Not assigned"),"Check ID"))</f>
        <v>OK</v>
      </c>
      <c r="O389" s="7"/>
    </row>
    <row r="390" customFormat="false" ht="15" hidden="false" customHeight="false" outlineLevel="0" collapsed="false">
      <c r="A390" s="35" t="s">
        <v>1787</v>
      </c>
      <c r="B390" s="35" t="s">
        <v>432</v>
      </c>
      <c r="C390" s="37" t="str">
        <f aca="false">IF(B390="","",IFERROR(INDEX(Applications!$B$5:$B$600,MATCH(B390,Applications!$A$5:$A$600,0)),"Application ID not found"))</f>
        <v>Valley Food Bank</v>
      </c>
      <c r="D390" s="35" t="s">
        <v>82</v>
      </c>
      <c r="E390" s="35" t="s">
        <v>83</v>
      </c>
      <c r="F390" s="36" t="n">
        <v>45944</v>
      </c>
      <c r="G390" s="35" t="n">
        <v>3</v>
      </c>
      <c r="H390" s="35" t="n">
        <v>3</v>
      </c>
      <c r="I390" s="35" t="n">
        <v>3</v>
      </c>
      <c r="J390" s="35" t="n">
        <v>3</v>
      </c>
      <c r="K390" s="35" t="n">
        <v>3</v>
      </c>
      <c r="L390" s="35" t="n">
        <v>3</v>
      </c>
      <c r="M390" s="50" t="n">
        <f aca="false">IF(COUNT(G390:L390)&lt;6,"",ROUND((G390*Rubric!$D$5+H390*Rubric!$D$6+I390*Rubric!$D$7+J390*Rubric!$D$8+K390*Rubric!$D$9+L390*Rubric!$D$10)/5*100,1))</f>
        <v>60</v>
      </c>
      <c r="N390" s="37" t="str">
        <f aca="false">IF(OR(B390="",D390=""),"",IFERROR(IF(IF(E390="Primary",INDEX(Applications!$I$5:$I$600,MATCH(B390,Applications!$A$5:$A$600,0)),IF(E390="Secondary",INDEX(Applications!$J$5:$J$600,MATCH(B390,Applications!$A$5:$A$600,0)),INDEX(Applications!$K$5:$K$600,MATCH(B390,Applications!$A$5:$A$600,0))))=D390,"OK","Not assigned"),"Check ID"))</f>
        <v>OK</v>
      </c>
      <c r="O390" s="7"/>
    </row>
    <row r="391" customFormat="false" ht="15" hidden="false" customHeight="false" outlineLevel="0" collapsed="false">
      <c r="A391" s="35" t="s">
        <v>1788</v>
      </c>
      <c r="B391" s="35" t="s">
        <v>1063</v>
      </c>
      <c r="C391" s="37" t="str">
        <f aca="false">IF(B391="","",IFERROR(INDEX(Applications!$B$5:$B$600,MATCH(B391,Applications!$A$5:$A$600,0)),"Application ID not found"))</f>
        <v>Riverbend Culinary Works</v>
      </c>
      <c r="D391" s="35" t="s">
        <v>82</v>
      </c>
      <c r="E391" s="35" t="s">
        <v>83</v>
      </c>
      <c r="F391" s="36" t="n">
        <v>45944</v>
      </c>
      <c r="G391" s="35" t="n">
        <v>3</v>
      </c>
      <c r="H391" s="35" t="n">
        <v>3</v>
      </c>
      <c r="I391" s="35" t="n">
        <v>3</v>
      </c>
      <c r="J391" s="35" t="n">
        <v>3</v>
      </c>
      <c r="K391" s="35" t="n">
        <v>2</v>
      </c>
      <c r="L391" s="35" t="n">
        <v>3</v>
      </c>
      <c r="M391" s="50" t="n">
        <f aca="false">IF(COUNT(G391:L391)&lt;6,"",ROUND((G391*Rubric!$D$5+H391*Rubric!$D$6+I391*Rubric!$D$7+J391*Rubric!$D$8+K391*Rubric!$D$9+L391*Rubric!$D$10)/5*100,1))</f>
        <v>58</v>
      </c>
      <c r="N391" s="37" t="str">
        <f aca="false">IF(OR(B391="",D391=""),"",IFERROR(IF(IF(E391="Primary",INDEX(Applications!$I$5:$I$600,MATCH(B391,Applications!$A$5:$A$600,0)),IF(E391="Secondary",INDEX(Applications!$J$5:$J$600,MATCH(B391,Applications!$A$5:$A$600,0)),INDEX(Applications!$K$5:$K$600,MATCH(B391,Applications!$A$5:$A$600,0))))=D391,"OK","Not assigned"),"Check ID"))</f>
        <v>OK</v>
      </c>
      <c r="O391" s="7"/>
    </row>
    <row r="392" customFormat="false" ht="15" hidden="false" customHeight="false" outlineLevel="0" collapsed="false">
      <c r="A392" s="35" t="s">
        <v>1789</v>
      </c>
      <c r="B392" s="35" t="s">
        <v>1083</v>
      </c>
      <c r="C392" s="37" t="str">
        <f aca="false">IF(B392="","",IFERROR(INDEX(Applications!$B$5:$B$600,MATCH(B392,Applications!$A$5:$A$600,0)),"Application ID not found"))</f>
        <v>Old Town Seed Library</v>
      </c>
      <c r="D392" s="35" t="s">
        <v>82</v>
      </c>
      <c r="E392" s="35" t="s">
        <v>80</v>
      </c>
      <c r="F392" s="36" t="n">
        <v>45944</v>
      </c>
      <c r="G392" s="35" t="n">
        <v>4</v>
      </c>
      <c r="H392" s="35" t="n">
        <v>4</v>
      </c>
      <c r="I392" s="35" t="n">
        <v>3</v>
      </c>
      <c r="J392" s="35" t="n">
        <v>3</v>
      </c>
      <c r="K392" s="35" t="n">
        <v>4</v>
      </c>
      <c r="L392" s="35" t="n">
        <v>4</v>
      </c>
      <c r="M392" s="50" t="n">
        <f aca="false">IF(COUNT(G392:L392)&lt;6,"",ROUND((G392*Rubric!$D$5+H392*Rubric!$D$6+I392*Rubric!$D$7+J392*Rubric!$D$8+K392*Rubric!$D$9+L392*Rubric!$D$10)/5*100,1))</f>
        <v>73</v>
      </c>
      <c r="N392" s="37" t="str">
        <f aca="false">IF(OR(B392="",D392=""),"",IFERROR(IF(IF(E392="Primary",INDEX(Applications!$I$5:$I$600,MATCH(B392,Applications!$A$5:$A$600,0)),IF(E392="Secondary",INDEX(Applications!$J$5:$J$600,MATCH(B392,Applications!$A$5:$A$600,0)),INDEX(Applications!$K$5:$K$600,MATCH(B392,Applications!$A$5:$A$600,0))))=D392,"OK","Not assigned"),"Check ID"))</f>
        <v>OK</v>
      </c>
      <c r="O392" s="7"/>
    </row>
    <row r="393" customFormat="false" ht="15" hidden="false" customHeight="false" outlineLevel="0" collapsed="false">
      <c r="A393" s="35" t="s">
        <v>1790</v>
      </c>
      <c r="B393" s="35" t="s">
        <v>1009</v>
      </c>
      <c r="C393" s="37" t="str">
        <f aca="false">IF(B393="","",IFERROR(INDEX(Applications!$B$5:$B$600,MATCH(B393,Applications!$A$5:$A$600,0)),"Application ID not found"))</f>
        <v>Bluestem Farm School</v>
      </c>
      <c r="D393" s="35" t="s">
        <v>82</v>
      </c>
      <c r="E393" s="35" t="s">
        <v>80</v>
      </c>
      <c r="F393" s="36" t="n">
        <v>45944</v>
      </c>
      <c r="G393" s="35" t="n">
        <v>2</v>
      </c>
      <c r="H393" s="35" t="n">
        <v>3</v>
      </c>
      <c r="I393" s="35" t="n">
        <v>3</v>
      </c>
      <c r="J393" s="35" t="n">
        <v>2</v>
      </c>
      <c r="K393" s="35" t="n">
        <v>2</v>
      </c>
      <c r="L393" s="35" t="n">
        <v>2</v>
      </c>
      <c r="M393" s="50" t="n">
        <f aca="false">IF(COUNT(G393:L393)&lt;6,"",ROUND((G393*Rubric!$D$5+H393*Rubric!$D$6+I393*Rubric!$D$7+J393*Rubric!$D$8+K393*Rubric!$D$9+L393*Rubric!$D$10)/5*100,1))</f>
        <v>48</v>
      </c>
      <c r="N393" s="37" t="str">
        <f aca="false">IF(OR(B393="",D393=""),"",IFERROR(IF(IF(E393="Primary",INDEX(Applications!$I$5:$I$600,MATCH(B393,Applications!$A$5:$A$600,0)),IF(E393="Secondary",INDEX(Applications!$J$5:$J$600,MATCH(B393,Applications!$A$5:$A$600,0)),INDEX(Applications!$K$5:$K$600,MATCH(B393,Applications!$A$5:$A$600,0))))=D393,"OK","Not assigned"),"Check ID"))</f>
        <v>OK</v>
      </c>
      <c r="O393" s="7"/>
    </row>
    <row r="394" customFormat="false" ht="15" hidden="false" customHeight="false" outlineLevel="0" collapsed="false">
      <c r="A394" s="35" t="s">
        <v>1791</v>
      </c>
      <c r="B394" s="35" t="s">
        <v>186</v>
      </c>
      <c r="C394" s="37" t="str">
        <f aca="false">IF(B394="","",IFERROR(INDEX(Applications!$B$5:$B$600,MATCH(B394,Applications!$A$5:$A$600,0)),"Application ID not found"))</f>
        <v>Copper Hill Kitchen Project</v>
      </c>
      <c r="D394" s="35" t="s">
        <v>82</v>
      </c>
      <c r="E394" s="35" t="s">
        <v>80</v>
      </c>
      <c r="F394" s="36" t="n">
        <v>45944</v>
      </c>
      <c r="G394" s="35" t="n">
        <v>4</v>
      </c>
      <c r="H394" s="35" t="n">
        <v>3</v>
      </c>
      <c r="I394" s="35" t="n">
        <v>3</v>
      </c>
      <c r="J394" s="35" t="n">
        <v>4</v>
      </c>
      <c r="K394" s="35" t="n">
        <v>4</v>
      </c>
      <c r="L394" s="35" t="n">
        <v>4</v>
      </c>
      <c r="M394" s="50" t="n">
        <f aca="false">IF(COUNT(G394:L394)&lt;6,"",ROUND((G394*Rubric!$D$5+H394*Rubric!$D$6+I394*Rubric!$D$7+J394*Rubric!$D$8+K394*Rubric!$D$9+L394*Rubric!$D$10)/5*100,1))</f>
        <v>72</v>
      </c>
      <c r="N394" s="37" t="str">
        <f aca="false">IF(OR(B394="",D394=""),"",IFERROR(IF(IF(E394="Primary",INDEX(Applications!$I$5:$I$600,MATCH(B394,Applications!$A$5:$A$600,0)),IF(E394="Secondary",INDEX(Applications!$J$5:$J$600,MATCH(B394,Applications!$A$5:$A$600,0)),INDEX(Applications!$K$5:$K$600,MATCH(B394,Applications!$A$5:$A$600,0))))=D394,"OK","Not assigned"),"Check ID"))</f>
        <v>OK</v>
      </c>
      <c r="O394" s="7"/>
    </row>
    <row r="395" customFormat="false" ht="15" hidden="false" customHeight="false" outlineLevel="0" collapsed="false">
      <c r="A395" s="35" t="s">
        <v>1792</v>
      </c>
      <c r="B395" s="35" t="s">
        <v>528</v>
      </c>
      <c r="C395" s="37" t="str">
        <f aca="false">IF(B395="","",IFERROR(INDEX(Applications!$B$5:$B$600,MATCH(B395,Applications!$A$5:$A$600,0)),"Application ID not found"))</f>
        <v>Accra Pantry Network</v>
      </c>
      <c r="D395" s="35" t="s">
        <v>82</v>
      </c>
      <c r="E395" s="35" t="s">
        <v>80</v>
      </c>
      <c r="F395" s="36" t="n">
        <v>45944</v>
      </c>
      <c r="G395" s="35" t="n">
        <v>4</v>
      </c>
      <c r="H395" s="35" t="n">
        <v>3</v>
      </c>
      <c r="I395" s="35" t="n">
        <v>4</v>
      </c>
      <c r="J395" s="35" t="n">
        <v>3</v>
      </c>
      <c r="K395" s="35" t="n">
        <v>4</v>
      </c>
      <c r="L395" s="35" t="n">
        <v>4</v>
      </c>
      <c r="M395" s="50" t="n">
        <f aca="false">IF(COUNT(G395:L395)&lt;6,"",ROUND((G395*Rubric!$D$5+H395*Rubric!$D$6+I395*Rubric!$D$7+J395*Rubric!$D$8+K395*Rubric!$D$9+L395*Rubric!$D$10)/5*100,1))</f>
        <v>73</v>
      </c>
      <c r="N395" s="37" t="str">
        <f aca="false">IF(OR(B395="",D395=""),"",IFERROR(IF(IF(E395="Primary",INDEX(Applications!$I$5:$I$600,MATCH(B395,Applications!$A$5:$A$600,0)),IF(E395="Secondary",INDEX(Applications!$J$5:$J$600,MATCH(B395,Applications!$A$5:$A$600,0)),INDEX(Applications!$K$5:$K$600,MATCH(B395,Applications!$A$5:$A$600,0))))=D395,"OK","Not assigned"),"Check ID"))</f>
        <v>OK</v>
      </c>
      <c r="O395" s="7" t="s">
        <v>1426</v>
      </c>
    </row>
    <row r="396" customFormat="false" ht="15" hidden="false" customHeight="false" outlineLevel="0" collapsed="false">
      <c r="A396" s="35" t="s">
        <v>1793</v>
      </c>
      <c r="B396" s="35" t="s">
        <v>368</v>
      </c>
      <c r="C396" s="37" t="str">
        <f aca="false">IF(B396="","",IFERROR(INDEX(Applications!$B$5:$B$600,MATCH(B396,Applications!$A$5:$A$600,0)),"Application ID not found"))</f>
        <v>Harbor Mobile Market</v>
      </c>
      <c r="D396" s="35" t="s">
        <v>82</v>
      </c>
      <c r="E396" s="35" t="s">
        <v>83</v>
      </c>
      <c r="F396" s="36" t="n">
        <v>45944</v>
      </c>
      <c r="G396" s="35" t="n">
        <v>2</v>
      </c>
      <c r="H396" s="35" t="n">
        <v>3</v>
      </c>
      <c r="I396" s="35" t="n">
        <v>3</v>
      </c>
      <c r="J396" s="35" t="n">
        <v>3</v>
      </c>
      <c r="K396" s="35" t="n">
        <v>3</v>
      </c>
      <c r="L396" s="35" t="n">
        <v>2</v>
      </c>
      <c r="M396" s="50" t="n">
        <f aca="false">IF(COUNT(G396:L396)&lt;6,"",ROUND((G396*Rubric!$D$5+H396*Rubric!$D$6+I396*Rubric!$D$7+J396*Rubric!$D$8+K396*Rubric!$D$9+L396*Rubric!$D$10)/5*100,1))</f>
        <v>53</v>
      </c>
      <c r="N396" s="37" t="str">
        <f aca="false">IF(OR(B396="",D396=""),"",IFERROR(IF(IF(E396="Primary",INDEX(Applications!$I$5:$I$600,MATCH(B396,Applications!$A$5:$A$600,0)),IF(E396="Secondary",INDEX(Applications!$J$5:$J$600,MATCH(B396,Applications!$A$5:$A$600,0)),INDEX(Applications!$K$5:$K$600,MATCH(B396,Applications!$A$5:$A$600,0))))=D396,"OK","Not assigned"),"Check ID"))</f>
        <v>OK</v>
      </c>
      <c r="O396" s="7" t="s">
        <v>1402</v>
      </c>
    </row>
    <row r="397" customFormat="false" ht="15" hidden="false" customHeight="false" outlineLevel="0" collapsed="false">
      <c r="A397" s="35" t="s">
        <v>1794</v>
      </c>
      <c r="B397" s="35" t="s">
        <v>496</v>
      </c>
      <c r="C397" s="37" t="str">
        <f aca="false">IF(B397="","",IFERROR(INDEX(Applications!$B$5:$B$600,MATCH(B397,Applications!$A$5:$A$600,0)),"Application ID not found"))</f>
        <v>Buffalo Youth Food Lab</v>
      </c>
      <c r="D397" s="35" t="s">
        <v>82</v>
      </c>
      <c r="E397" s="35" t="s">
        <v>83</v>
      </c>
      <c r="F397" s="36" t="n">
        <v>45944</v>
      </c>
      <c r="G397" s="35" t="n">
        <v>3</v>
      </c>
      <c r="H397" s="35" t="n">
        <v>4</v>
      </c>
      <c r="I397" s="35" t="n">
        <v>4</v>
      </c>
      <c r="J397" s="35" t="n">
        <v>3</v>
      </c>
      <c r="K397" s="35" t="n">
        <v>4</v>
      </c>
      <c r="L397" s="35" t="n">
        <v>4</v>
      </c>
      <c r="M397" s="50" t="n">
        <f aca="false">IF(COUNT(G397:L397)&lt;6,"",ROUND((G397*Rubric!$D$5+H397*Rubric!$D$6+I397*Rubric!$D$7+J397*Rubric!$D$8+K397*Rubric!$D$9+L397*Rubric!$D$10)/5*100,1))</f>
        <v>72</v>
      </c>
      <c r="N397" s="37" t="str">
        <f aca="false">IF(OR(B397="",D397=""),"",IFERROR(IF(IF(E397="Primary",INDEX(Applications!$I$5:$I$600,MATCH(B397,Applications!$A$5:$A$600,0)),IF(E397="Secondary",INDEX(Applications!$J$5:$J$600,MATCH(B397,Applications!$A$5:$A$600,0)),INDEX(Applications!$K$5:$K$600,MATCH(B397,Applications!$A$5:$A$600,0))))=D397,"OK","Not assigned"),"Check ID"))</f>
        <v>OK</v>
      </c>
      <c r="O397" s="7"/>
    </row>
    <row r="398" customFormat="false" ht="15" hidden="false" customHeight="false" outlineLevel="0" collapsed="false">
      <c r="A398" s="35" t="s">
        <v>1795</v>
      </c>
      <c r="B398" s="35" t="s">
        <v>583</v>
      </c>
      <c r="C398" s="37" t="str">
        <f aca="false">IF(B398="","",IFERROR(INDEX(Applications!$B$5:$B$600,MATCH(B398,Applications!$A$5:$A$600,0)),"Application ID not found"))</f>
        <v>Calgary Cafe Training Program</v>
      </c>
      <c r="D398" s="35" t="s">
        <v>82</v>
      </c>
      <c r="E398" s="35" t="s">
        <v>83</v>
      </c>
      <c r="F398" s="36" t="n">
        <v>45944</v>
      </c>
      <c r="G398" s="35" t="n">
        <v>3</v>
      </c>
      <c r="H398" s="35" t="n">
        <v>4</v>
      </c>
      <c r="I398" s="35" t="n">
        <v>3</v>
      </c>
      <c r="J398" s="35" t="n">
        <v>3</v>
      </c>
      <c r="K398" s="35" t="n">
        <v>3</v>
      </c>
      <c r="L398" s="35" t="n">
        <v>1</v>
      </c>
      <c r="M398" s="50" t="n">
        <f aca="false">IF(COUNT(G398:L398)&lt;6,"",ROUND((G398*Rubric!$D$5+H398*Rubric!$D$6+I398*Rubric!$D$7+J398*Rubric!$D$8+K398*Rubric!$D$9+L398*Rubric!$D$10)/5*100,1))</f>
        <v>60</v>
      </c>
      <c r="N398" s="37" t="str">
        <f aca="false">IF(OR(B398="",D398=""),"",IFERROR(IF(IF(E398="Primary",INDEX(Applications!$I$5:$I$600,MATCH(B398,Applications!$A$5:$A$600,0)),IF(E398="Secondary",INDEX(Applications!$J$5:$J$600,MATCH(B398,Applications!$A$5:$A$600,0)),INDEX(Applications!$K$5:$K$600,MATCH(B398,Applications!$A$5:$A$600,0))))=D398,"OK","Not assigned"),"Check ID"))</f>
        <v>OK</v>
      </c>
      <c r="O398" s="7"/>
    </row>
    <row r="399" customFormat="false" ht="15" hidden="false" customHeight="false" outlineLevel="0" collapsed="false">
      <c r="A399" s="35" t="s">
        <v>1796</v>
      </c>
      <c r="B399" s="35" t="s">
        <v>462</v>
      </c>
      <c r="C399" s="37" t="str">
        <f aca="false">IF(B399="","",IFERROR(INDEX(Applications!$B$5:$B$600,MATCH(B399,Applications!$A$5:$A$600,0)),"Application ID not found"))</f>
        <v>Fairmount Growers Cooperative</v>
      </c>
      <c r="D399" s="35" t="s">
        <v>82</v>
      </c>
      <c r="E399" s="35" t="s">
        <v>80</v>
      </c>
      <c r="F399" s="36" t="n">
        <v>45944</v>
      </c>
      <c r="G399" s="35" t="n">
        <v>3</v>
      </c>
      <c r="H399" s="35" t="n">
        <v>3</v>
      </c>
      <c r="I399" s="35" t="n">
        <v>3</v>
      </c>
      <c r="J399" s="35" t="n">
        <v>2</v>
      </c>
      <c r="K399" s="35" t="n">
        <v>3</v>
      </c>
      <c r="L399" s="35" t="n">
        <v>3</v>
      </c>
      <c r="M399" s="50" t="n">
        <f aca="false">IF(COUNT(G399:L399)&lt;6,"",ROUND((G399*Rubric!$D$5+H399*Rubric!$D$6+I399*Rubric!$D$7+J399*Rubric!$D$8+K399*Rubric!$D$9+L399*Rubric!$D$10)/5*100,1))</f>
        <v>57</v>
      </c>
      <c r="N399" s="37" t="str">
        <f aca="false">IF(OR(B399="",D399=""),"",IFERROR(IF(IF(E399="Primary",INDEX(Applications!$I$5:$I$600,MATCH(B399,Applications!$A$5:$A$600,0)),IF(E399="Secondary",INDEX(Applications!$J$5:$J$600,MATCH(B399,Applications!$A$5:$A$600,0)),INDEX(Applications!$K$5:$K$600,MATCH(B399,Applications!$A$5:$A$600,0))))=D399,"OK","Not assigned"),"Check ID"))</f>
        <v>OK</v>
      </c>
      <c r="O399" s="7" t="s">
        <v>1416</v>
      </c>
    </row>
    <row r="400" customFormat="false" ht="15" hidden="false" customHeight="false" outlineLevel="0" collapsed="false">
      <c r="A400" s="35" t="s">
        <v>1797</v>
      </c>
      <c r="B400" s="35" t="s">
        <v>667</v>
      </c>
      <c r="C400" s="37" t="str">
        <f aca="false">IF(B400="","",IFERROR(INDEX(Applications!$B$5:$B$600,MATCH(B400,Applications!$A$5:$A$600,0)),"Application ID not found"))</f>
        <v>Puebla Community Kitchen</v>
      </c>
      <c r="D400" s="35" t="s">
        <v>88</v>
      </c>
      <c r="E400" s="35" t="s">
        <v>80</v>
      </c>
      <c r="F400" s="36" t="n">
        <v>45944</v>
      </c>
      <c r="G400" s="35" t="n">
        <v>3</v>
      </c>
      <c r="H400" s="35" t="n">
        <v>3</v>
      </c>
      <c r="I400" s="35" t="n">
        <v>5</v>
      </c>
      <c r="J400" s="35" t="n">
        <v>3</v>
      </c>
      <c r="K400" s="35" t="n">
        <v>3</v>
      </c>
      <c r="L400" s="35" t="n">
        <v>3</v>
      </c>
      <c r="M400" s="50" t="n">
        <f aca="false">IF(COUNT(G400:L400)&lt;6,"",ROUND((G400*Rubric!$D$5+H400*Rubric!$D$6+I400*Rubric!$D$7+J400*Rubric!$D$8+K400*Rubric!$D$9+L400*Rubric!$D$10)/5*100,1))</f>
        <v>68</v>
      </c>
      <c r="N400" s="37" t="str">
        <f aca="false">IF(OR(B400="",D400=""),"",IFERROR(IF(IF(E400="Primary",INDEX(Applications!$I$5:$I$600,MATCH(B400,Applications!$A$5:$A$600,0)),IF(E400="Secondary",INDEX(Applications!$J$5:$J$600,MATCH(B400,Applications!$A$5:$A$600,0)),INDEX(Applications!$K$5:$K$600,MATCH(B400,Applications!$A$5:$A$600,0))))=D400,"OK","Not assigned"),"Check ID"))</f>
        <v>OK</v>
      </c>
      <c r="O400" s="7"/>
    </row>
    <row r="401" customFormat="false" ht="15" hidden="false" customHeight="false" outlineLevel="0" collapsed="false">
      <c r="A401" s="35" t="s">
        <v>1798</v>
      </c>
      <c r="B401" s="35" t="s">
        <v>1161</v>
      </c>
      <c r="C401" s="37" t="str">
        <f aca="false">IF(B401="","",IFERROR(INDEX(Applications!$B$5:$B$600,MATCH(B401,Applications!$A$5:$A$600,0)),"Application ID not found"))</f>
        <v>Valley Food Ventures</v>
      </c>
      <c r="D401" s="35" t="s">
        <v>88</v>
      </c>
      <c r="E401" s="35" t="s">
        <v>80</v>
      </c>
      <c r="F401" s="36" t="n">
        <v>45944</v>
      </c>
      <c r="G401" s="35" t="n">
        <v>2</v>
      </c>
      <c r="H401" s="35" t="n">
        <v>2</v>
      </c>
      <c r="I401" s="35" t="n">
        <v>3</v>
      </c>
      <c r="J401" s="35" t="n">
        <v>3</v>
      </c>
      <c r="K401" s="35" t="n">
        <v>2</v>
      </c>
      <c r="L401" s="35" t="n">
        <v>3</v>
      </c>
      <c r="M401" s="50" t="n">
        <f aca="false">IF(COUNT(G401:L401)&lt;6,"",ROUND((G401*Rubric!$D$5+H401*Rubric!$D$6+I401*Rubric!$D$7+J401*Rubric!$D$8+K401*Rubric!$D$9+L401*Rubric!$D$10)/5*100,1))</f>
        <v>49</v>
      </c>
      <c r="N401" s="37" t="str">
        <f aca="false">IF(OR(B401="",D401=""),"",IFERROR(IF(IF(E401="Primary",INDEX(Applications!$I$5:$I$600,MATCH(B401,Applications!$A$5:$A$600,0)),IF(E401="Secondary",INDEX(Applications!$J$5:$J$600,MATCH(B401,Applications!$A$5:$A$600,0)),INDEX(Applications!$K$5:$K$600,MATCH(B401,Applications!$A$5:$A$600,0))))=D401,"OK","Not assigned"),"Check ID"))</f>
        <v>OK</v>
      </c>
      <c r="O401" s="7"/>
    </row>
    <row r="402" customFormat="false" ht="15" hidden="false" customHeight="false" outlineLevel="0" collapsed="false">
      <c r="A402" s="35" t="s">
        <v>1799</v>
      </c>
      <c r="B402" s="35" t="s">
        <v>973</v>
      </c>
      <c r="C402" s="37" t="str">
        <f aca="false">IF(B402="","",IFERROR(INDEX(Applications!$B$5:$B$600,MATCH(B402,Applications!$A$5:$A$600,0)),"Application ID not found"))</f>
        <v>Greenway Culinary Works</v>
      </c>
      <c r="D402" s="35" t="s">
        <v>88</v>
      </c>
      <c r="E402" s="35" t="s">
        <v>83</v>
      </c>
      <c r="F402" s="36" t="n">
        <v>45944</v>
      </c>
      <c r="G402" s="35" t="n">
        <v>4</v>
      </c>
      <c r="H402" s="35" t="n">
        <v>5</v>
      </c>
      <c r="I402" s="35" t="n">
        <v>3</v>
      </c>
      <c r="J402" s="35" t="n">
        <v>4</v>
      </c>
      <c r="K402" s="35" t="n">
        <v>4</v>
      </c>
      <c r="L402" s="35" t="n">
        <v>4</v>
      </c>
      <c r="M402" s="50" t="n">
        <f aca="false">IF(COUNT(G402:L402)&lt;6,"",ROUND((G402*Rubric!$D$5+H402*Rubric!$D$6+I402*Rubric!$D$7+J402*Rubric!$D$8+K402*Rubric!$D$9+L402*Rubric!$D$10)/5*100,1))</f>
        <v>80</v>
      </c>
      <c r="N402" s="37" t="str">
        <f aca="false">IF(OR(B402="",D402=""),"",IFERROR(IF(IF(E402="Primary",INDEX(Applications!$I$5:$I$600,MATCH(B402,Applications!$A$5:$A$600,0)),IF(E402="Secondary",INDEX(Applications!$J$5:$J$600,MATCH(B402,Applications!$A$5:$A$600,0)),INDEX(Applications!$K$5:$K$600,MATCH(B402,Applications!$A$5:$A$600,0))))=D402,"OK","Not assigned"),"Check ID"))</f>
        <v>OK</v>
      </c>
      <c r="O402" s="7"/>
    </row>
    <row r="403" customFormat="false" ht="15" hidden="false" customHeight="false" outlineLevel="0" collapsed="false">
      <c r="A403" s="35" t="s">
        <v>1800</v>
      </c>
      <c r="B403" s="35" t="s">
        <v>466</v>
      </c>
      <c r="C403" s="37" t="str">
        <f aca="false">IF(B403="","",IFERROR(INDEX(Applications!$B$5:$B$600,MATCH(B403,Applications!$A$5:$A$600,0)),"Application ID not found"))</f>
        <v>Wichita Meals Project</v>
      </c>
      <c r="D403" s="35" t="s">
        <v>88</v>
      </c>
      <c r="E403" s="35" t="s">
        <v>83</v>
      </c>
      <c r="F403" s="36" t="n">
        <v>45944</v>
      </c>
      <c r="G403" s="35" t="n">
        <v>4</v>
      </c>
      <c r="H403" s="35" t="n">
        <v>4</v>
      </c>
      <c r="I403" s="35" t="n">
        <v>4</v>
      </c>
      <c r="J403" s="35" t="n">
        <v>5</v>
      </c>
      <c r="K403" s="35" t="n">
        <v>4</v>
      </c>
      <c r="L403" s="35" t="n">
        <v>5</v>
      </c>
      <c r="M403" s="50" t="n">
        <f aca="false">IF(COUNT(G403:L403)&lt;6,"",ROUND((G403*Rubric!$D$5+H403*Rubric!$D$6+I403*Rubric!$D$7+J403*Rubric!$D$8+K403*Rubric!$D$9+L403*Rubric!$D$10)/5*100,1))</f>
        <v>85</v>
      </c>
      <c r="N403" s="37" t="str">
        <f aca="false">IF(OR(B403="",D403=""),"",IFERROR(IF(IF(E403="Primary",INDEX(Applications!$I$5:$I$600,MATCH(B403,Applications!$A$5:$A$600,0)),IF(E403="Secondary",INDEX(Applications!$J$5:$J$600,MATCH(B403,Applications!$A$5:$A$600,0)),INDEX(Applications!$K$5:$K$600,MATCH(B403,Applications!$A$5:$A$600,0))))=D403,"OK","Not assigned"),"Check ID"))</f>
        <v>OK</v>
      </c>
      <c r="O403" s="7" t="s">
        <v>1402</v>
      </c>
    </row>
    <row r="404" customFormat="false" ht="15" hidden="false" customHeight="false" outlineLevel="0" collapsed="false">
      <c r="A404" s="35" t="s">
        <v>1801</v>
      </c>
      <c r="B404" s="35" t="s">
        <v>1091</v>
      </c>
      <c r="C404" s="37" t="str">
        <f aca="false">IF(B404="","",IFERROR(INDEX(Applications!$B$5:$B$600,MATCH(B404,Applications!$A$5:$A$600,0)),"Application ID not found"))</f>
        <v>Lakeshore Family Center</v>
      </c>
      <c r="D404" s="35" t="s">
        <v>88</v>
      </c>
      <c r="E404" s="35" t="s">
        <v>80</v>
      </c>
      <c r="F404" s="36" t="n">
        <v>45944</v>
      </c>
      <c r="G404" s="35" t="n">
        <v>5</v>
      </c>
      <c r="H404" s="35" t="n">
        <v>4</v>
      </c>
      <c r="I404" s="35" t="n">
        <v>4</v>
      </c>
      <c r="J404" s="35" t="n">
        <v>5</v>
      </c>
      <c r="K404" s="35" t="n">
        <v>4</v>
      </c>
      <c r="L404" s="35" t="n">
        <v>4</v>
      </c>
      <c r="M404" s="50" t="n">
        <f aca="false">IF(COUNT(G404:L404)&lt;6,"",ROUND((G404*Rubric!$D$5+H404*Rubric!$D$6+I404*Rubric!$D$7+J404*Rubric!$D$8+K404*Rubric!$D$9+L404*Rubric!$D$10)/5*100,1))</f>
        <v>88</v>
      </c>
      <c r="N404" s="37" t="str">
        <f aca="false">IF(OR(B404="",D404=""),"",IFERROR(IF(IF(E404="Primary",INDEX(Applications!$I$5:$I$600,MATCH(B404,Applications!$A$5:$A$600,0)),IF(E404="Secondary",INDEX(Applications!$J$5:$J$600,MATCH(B404,Applications!$A$5:$A$600,0)),INDEX(Applications!$K$5:$K$600,MATCH(B404,Applications!$A$5:$A$600,0))))=D404,"OK","Not assigned"),"Check ID"))</f>
        <v>OK</v>
      </c>
      <c r="O404" s="7"/>
    </row>
    <row r="405" customFormat="false" ht="15" hidden="false" customHeight="false" outlineLevel="0" collapsed="false">
      <c r="A405" s="35" t="s">
        <v>1802</v>
      </c>
      <c r="B405" s="35" t="s">
        <v>995</v>
      </c>
      <c r="C405" s="37" t="str">
        <f aca="false">IF(B405="","",IFERROR(INDEX(Applications!$B$5:$B$600,MATCH(B405,Applications!$A$5:$A$600,0)),"Application ID not found"))</f>
        <v>Crossroads Pantry Network</v>
      </c>
      <c r="D405" s="35" t="s">
        <v>88</v>
      </c>
      <c r="E405" s="35" t="s">
        <v>80</v>
      </c>
      <c r="F405" s="36" t="n">
        <v>45944</v>
      </c>
      <c r="G405" s="35" t="n">
        <v>1</v>
      </c>
      <c r="H405" s="35" t="n">
        <v>2</v>
      </c>
      <c r="I405" s="35" t="n">
        <v>2</v>
      </c>
      <c r="J405" s="35" t="n">
        <v>2</v>
      </c>
      <c r="K405" s="35" t="n">
        <v>2</v>
      </c>
      <c r="L405" s="35" t="n">
        <v>2</v>
      </c>
      <c r="M405" s="50" t="n">
        <f aca="false">IF(COUNT(G405:L405)&lt;6,"",ROUND((G405*Rubric!$D$5+H405*Rubric!$D$6+I405*Rubric!$D$7+J405*Rubric!$D$8+K405*Rubric!$D$9+L405*Rubric!$D$10)/5*100,1))</f>
        <v>35</v>
      </c>
      <c r="N405" s="37" t="str">
        <f aca="false">IF(OR(B405="",D405=""),"",IFERROR(IF(IF(E405="Primary",INDEX(Applications!$I$5:$I$600,MATCH(B405,Applications!$A$5:$A$600,0)),IF(E405="Secondary",INDEX(Applications!$J$5:$J$600,MATCH(B405,Applications!$A$5:$A$600,0)),INDEX(Applications!$K$5:$K$600,MATCH(B405,Applications!$A$5:$A$600,0))))=D405,"OK","Not assigned"),"Check ID"))</f>
        <v>OK</v>
      </c>
      <c r="O405" s="7" t="s">
        <v>1418</v>
      </c>
    </row>
    <row r="406" customFormat="false" ht="15" hidden="false" customHeight="false" outlineLevel="0" collapsed="false">
      <c r="A406" s="35" t="s">
        <v>1803</v>
      </c>
      <c r="B406" s="35" t="s">
        <v>921</v>
      </c>
      <c r="C406" s="37" t="str">
        <f aca="false">IF(B406="","",IFERROR(INDEX(Applications!$B$5:$B$600,MATCH(B406,Applications!$A$5:$A$600,0)),"Application ID not found"))</f>
        <v>Prairie Seed Library</v>
      </c>
      <c r="D406" s="35" t="s">
        <v>88</v>
      </c>
      <c r="E406" s="35" t="s">
        <v>80</v>
      </c>
      <c r="F406" s="36" t="n">
        <v>45944</v>
      </c>
      <c r="G406" s="35" t="n">
        <v>5</v>
      </c>
      <c r="H406" s="35" t="n">
        <v>5</v>
      </c>
      <c r="I406" s="35" t="n">
        <v>4</v>
      </c>
      <c r="J406" s="35" t="n">
        <v>4</v>
      </c>
      <c r="K406" s="35" t="n">
        <v>5</v>
      </c>
      <c r="L406" s="35" t="n">
        <v>4</v>
      </c>
      <c r="M406" s="50" t="n">
        <f aca="false">IF(COUNT(G406:L406)&lt;6,"",ROUND((G406*Rubric!$D$5+H406*Rubric!$D$6+I406*Rubric!$D$7+J406*Rubric!$D$8+K406*Rubric!$D$9+L406*Rubric!$D$10)/5*100,1))</f>
        <v>91</v>
      </c>
      <c r="N406" s="37" t="str">
        <f aca="false">IF(OR(B406="",D406=""),"",IFERROR(IF(IF(E406="Primary",INDEX(Applications!$I$5:$I$600,MATCH(B406,Applications!$A$5:$A$600,0)),IF(E406="Secondary",INDEX(Applications!$J$5:$J$600,MATCH(B406,Applications!$A$5:$A$600,0)),INDEX(Applications!$K$5:$K$600,MATCH(B406,Applications!$A$5:$A$600,0))))=D406,"OK","Not assigned"),"Check ID"))</f>
        <v>OK</v>
      </c>
      <c r="O406" s="7"/>
    </row>
    <row r="407" customFormat="false" ht="15" hidden="false" customHeight="false" outlineLevel="0" collapsed="false">
      <c r="A407" s="35" t="s">
        <v>1804</v>
      </c>
      <c r="B407" s="35" t="s">
        <v>1187</v>
      </c>
      <c r="C407" s="37" t="str">
        <f aca="false">IF(B407="","",IFERROR(INDEX(Applications!$B$5:$B$600,MATCH(B407,Applications!$A$5:$A$600,0)),"Application ID not found"))</f>
        <v>Halifax Food Bank</v>
      </c>
      <c r="D407" s="35" t="s">
        <v>88</v>
      </c>
      <c r="E407" s="35" t="s">
        <v>83</v>
      </c>
      <c r="F407" s="36" t="n">
        <v>45944</v>
      </c>
      <c r="G407" s="35" t="n">
        <v>3</v>
      </c>
      <c r="H407" s="35" t="n">
        <v>3</v>
      </c>
      <c r="I407" s="35" t="n">
        <v>4</v>
      </c>
      <c r="J407" s="35" t="n">
        <v>4</v>
      </c>
      <c r="K407" s="35" t="n">
        <v>3</v>
      </c>
      <c r="L407" s="35" t="n">
        <v>4</v>
      </c>
      <c r="M407" s="50" t="n">
        <f aca="false">IF(COUNT(G407:L407)&lt;6,"",ROUND((G407*Rubric!$D$5+H407*Rubric!$D$6+I407*Rubric!$D$7+J407*Rubric!$D$8+K407*Rubric!$D$9+L407*Rubric!$D$10)/5*100,1))</f>
        <v>69</v>
      </c>
      <c r="N407" s="37" t="str">
        <f aca="false">IF(OR(B407="",D407=""),"",IFERROR(IF(IF(E407="Primary",INDEX(Applications!$I$5:$I$600,MATCH(B407,Applications!$A$5:$A$600,0)),IF(E407="Secondary",INDEX(Applications!$J$5:$J$600,MATCH(B407,Applications!$A$5:$A$600,0)),INDEX(Applications!$K$5:$K$600,MATCH(B407,Applications!$A$5:$A$600,0))))=D407,"OK","Not assigned"),"Check ID"))</f>
        <v>OK</v>
      </c>
      <c r="O407" s="7"/>
    </row>
    <row r="408" customFormat="false" ht="15" hidden="false" customHeight="false" outlineLevel="0" collapsed="false">
      <c r="A408" s="35" t="s">
        <v>1805</v>
      </c>
      <c r="B408" s="35" t="s">
        <v>903</v>
      </c>
      <c r="C408" s="37" t="str">
        <f aca="false">IF(B408="","",IFERROR(INDEX(Applications!$B$5:$B$600,MATCH(B408,Applications!$A$5:$A$600,0)),"Application ID not found"))</f>
        <v>Mill Creek Food Shelf</v>
      </c>
      <c r="D408" s="35" t="s">
        <v>88</v>
      </c>
      <c r="E408" s="35" t="s">
        <v>83</v>
      </c>
      <c r="F408" s="36" t="n">
        <v>45944</v>
      </c>
      <c r="G408" s="35" t="n">
        <v>3</v>
      </c>
      <c r="H408" s="35" t="n">
        <v>2</v>
      </c>
      <c r="I408" s="35" t="n">
        <v>3</v>
      </c>
      <c r="J408" s="35" t="n">
        <v>3</v>
      </c>
      <c r="K408" s="35" t="n">
        <v>3</v>
      </c>
      <c r="L408" s="35" t="n">
        <v>3</v>
      </c>
      <c r="M408" s="50" t="n">
        <f aca="false">IF(COUNT(G408:L408)&lt;6,"",ROUND((G408*Rubric!$D$5+H408*Rubric!$D$6+I408*Rubric!$D$7+J408*Rubric!$D$8+K408*Rubric!$D$9+L408*Rubric!$D$10)/5*100,1))</f>
        <v>56</v>
      </c>
      <c r="N408" s="37" t="str">
        <f aca="false">IF(OR(B408="",D408=""),"",IFERROR(IF(IF(E408="Primary",INDEX(Applications!$I$5:$I$600,MATCH(B408,Applications!$A$5:$A$600,0)),IF(E408="Secondary",INDEX(Applications!$J$5:$J$600,MATCH(B408,Applications!$A$5:$A$600,0)),INDEX(Applications!$K$5:$K$600,MATCH(B408,Applications!$A$5:$A$600,0))))=D408,"OK","Not assigned"),"Check ID"))</f>
        <v>OK</v>
      </c>
      <c r="O408" s="7"/>
    </row>
    <row r="409" customFormat="false" ht="15" hidden="false" customHeight="false" outlineLevel="0" collapsed="false">
      <c r="A409" s="35" t="s">
        <v>1806</v>
      </c>
      <c r="B409" s="35" t="s">
        <v>727</v>
      </c>
      <c r="C409" s="37" t="str">
        <f aca="false">IF(B409="","",IFERROR(INDEX(Applications!$B$5:$B$600,MATCH(B409,Applications!$A$5:$A$600,0)),"Application ID not found"))</f>
        <v>Winnipeg Community Kitchen</v>
      </c>
      <c r="D409" s="35" t="s">
        <v>88</v>
      </c>
      <c r="E409" s="35" t="s">
        <v>83</v>
      </c>
      <c r="F409" s="36" t="n">
        <v>45944</v>
      </c>
      <c r="G409" s="35" t="n">
        <v>3</v>
      </c>
      <c r="H409" s="35" t="n">
        <v>3</v>
      </c>
      <c r="I409" s="35" t="n">
        <v>3</v>
      </c>
      <c r="J409" s="35" t="n">
        <v>3</v>
      </c>
      <c r="K409" s="35" t="n">
        <v>2</v>
      </c>
      <c r="L409" s="35" t="n">
        <v>2</v>
      </c>
      <c r="M409" s="50" t="n">
        <f aca="false">IF(COUNT(G409:L409)&lt;6,"",ROUND((G409*Rubric!$D$5+H409*Rubric!$D$6+I409*Rubric!$D$7+J409*Rubric!$D$8+K409*Rubric!$D$9+L409*Rubric!$D$10)/5*100,1))</f>
        <v>56</v>
      </c>
      <c r="N409" s="37" t="str">
        <f aca="false">IF(OR(B409="",D409=""),"",IFERROR(IF(IF(E409="Primary",INDEX(Applications!$I$5:$I$600,MATCH(B409,Applications!$A$5:$A$600,0)),IF(E409="Secondary",INDEX(Applications!$J$5:$J$600,MATCH(B409,Applications!$A$5:$A$600,0)),INDEX(Applications!$K$5:$K$600,MATCH(B409,Applications!$A$5:$A$600,0))))=D409,"OK","Not assigned"),"Check ID"))</f>
        <v>OK</v>
      </c>
      <c r="O409" s="7"/>
    </row>
    <row r="410" customFormat="false" ht="15" hidden="false" customHeight="false" outlineLevel="0" collapsed="false">
      <c r="A410" s="35" t="s">
        <v>1807</v>
      </c>
      <c r="B410" s="35" t="s">
        <v>793</v>
      </c>
      <c r="C410" s="37" t="str">
        <f aca="false">IF(B410="","",IFERROR(INDEX(Applications!$B$5:$B$600,MATCH(B410,Applications!$A$5:$A$600,0)),"Application ID not found"))</f>
        <v>Open Door Cafe Training Program</v>
      </c>
      <c r="D410" s="35" t="s">
        <v>88</v>
      </c>
      <c r="E410" s="35" t="s">
        <v>80</v>
      </c>
      <c r="F410" s="36" t="n">
        <v>45944</v>
      </c>
      <c r="G410" s="35" t="n">
        <v>4</v>
      </c>
      <c r="H410" s="35" t="n">
        <v>4</v>
      </c>
      <c r="I410" s="35" t="n">
        <v>3</v>
      </c>
      <c r="J410" s="35" t="n">
        <v>3</v>
      </c>
      <c r="K410" s="35" t="n">
        <v>3</v>
      </c>
      <c r="L410" s="35" t="n">
        <v>3</v>
      </c>
      <c r="M410" s="50" t="n">
        <f aca="false">IF(COUNT(G410:L410)&lt;6,"",ROUND((G410*Rubric!$D$5+H410*Rubric!$D$6+I410*Rubric!$D$7+J410*Rubric!$D$8+K410*Rubric!$D$9+L410*Rubric!$D$10)/5*100,1))</f>
        <v>69</v>
      </c>
      <c r="N410" s="37" t="str">
        <f aca="false">IF(OR(B410="",D410=""),"",IFERROR(IF(IF(E410="Primary",INDEX(Applications!$I$5:$I$600,MATCH(B410,Applications!$A$5:$A$600,0)),IF(E410="Secondary",INDEX(Applications!$J$5:$J$600,MATCH(B410,Applications!$A$5:$A$600,0)),INDEX(Applications!$K$5:$K$600,MATCH(B410,Applications!$A$5:$A$600,0))))=D410,"OK","Not assigned"),"Check ID"))</f>
        <v>OK</v>
      </c>
      <c r="O410" s="7"/>
    </row>
    <row r="411" customFormat="false" ht="15" hidden="false" customHeight="false" outlineLevel="0" collapsed="false">
      <c r="A411" s="35" t="s">
        <v>1808</v>
      </c>
      <c r="B411" s="35" t="s">
        <v>825</v>
      </c>
      <c r="C411" s="37" t="str">
        <f aca="false">IF(B411="","",IFERROR(INDEX(Applications!$B$5:$B$600,MATCH(B411,Applications!$A$5:$A$600,0)),"Application ID not found"))</f>
        <v>Kestrel Community Pantry</v>
      </c>
      <c r="D411" s="35" t="s">
        <v>88</v>
      </c>
      <c r="E411" s="35" t="s">
        <v>83</v>
      </c>
      <c r="F411" s="36" t="n">
        <v>45944</v>
      </c>
      <c r="G411" s="35" t="n">
        <v>3</v>
      </c>
      <c r="H411" s="35" t="n">
        <v>3</v>
      </c>
      <c r="I411" s="35" t="n">
        <v>4</v>
      </c>
      <c r="J411" s="35" t="n">
        <v>3</v>
      </c>
      <c r="K411" s="35" t="n">
        <v>3</v>
      </c>
      <c r="L411" s="35" t="n">
        <v>3</v>
      </c>
      <c r="M411" s="50" t="n">
        <f aca="false">IF(COUNT(G411:L411)&lt;6,"",ROUND((G411*Rubric!$D$5+H411*Rubric!$D$6+I411*Rubric!$D$7+J411*Rubric!$D$8+K411*Rubric!$D$9+L411*Rubric!$D$10)/5*100,1))</f>
        <v>64</v>
      </c>
      <c r="N411" s="37" t="str">
        <f aca="false">IF(OR(B411="",D411=""),"",IFERROR(IF(IF(E411="Primary",INDEX(Applications!$I$5:$I$600,MATCH(B411,Applications!$A$5:$A$600,0)),IF(E411="Secondary",INDEX(Applications!$J$5:$J$600,MATCH(B411,Applications!$A$5:$A$600,0)),INDEX(Applications!$K$5:$K$600,MATCH(B411,Applications!$A$5:$A$600,0))))=D411,"OK","Not assigned"),"Check ID"))</f>
        <v>OK</v>
      </c>
      <c r="O411" s="7"/>
    </row>
    <row r="412" customFormat="false" ht="15" hidden="false" customHeight="false" outlineLevel="0" collapsed="false">
      <c r="A412" s="35" t="s">
        <v>1809</v>
      </c>
      <c r="B412" s="35" t="s">
        <v>228</v>
      </c>
      <c r="C412" s="37" t="str">
        <f aca="false">IF(B412="","",IFERROR(INDEX(Applications!$B$5:$B$600,MATCH(B412,Applications!$A$5:$A$600,0)),"Application ID not found"))</f>
        <v>Cardiff Seed Library</v>
      </c>
      <c r="D412" s="35" t="s">
        <v>91</v>
      </c>
      <c r="E412" s="35" t="s">
        <v>83</v>
      </c>
      <c r="F412" s="36" t="n">
        <v>45944</v>
      </c>
      <c r="G412" s="35" t="n">
        <v>4</v>
      </c>
      <c r="H412" s="35" t="n">
        <v>5</v>
      </c>
      <c r="I412" s="35" t="n">
        <v>4</v>
      </c>
      <c r="J412" s="35" t="n">
        <v>4</v>
      </c>
      <c r="K412" s="35" t="n">
        <v>4</v>
      </c>
      <c r="L412" s="35" t="n">
        <v>4</v>
      </c>
      <c r="M412" s="50" t="n">
        <f aca="false">IF(COUNT(G412:L412)&lt;6,"",ROUND((G412*Rubric!$D$5+H412*Rubric!$D$6+I412*Rubric!$D$7+J412*Rubric!$D$8+K412*Rubric!$D$9+L412*Rubric!$D$10)/5*100,1))</f>
        <v>84</v>
      </c>
      <c r="N412" s="37" t="str">
        <f aca="false">IF(OR(B412="",D412=""),"",IFERROR(IF(IF(E412="Primary",INDEX(Applications!$I$5:$I$600,MATCH(B412,Applications!$A$5:$A$600,0)),IF(E412="Secondary",INDEX(Applications!$J$5:$J$600,MATCH(B412,Applications!$A$5:$A$600,0)),INDEX(Applications!$K$5:$K$600,MATCH(B412,Applications!$A$5:$A$600,0))))=D412,"OK","Not assigned"),"Check ID"))</f>
        <v>OK</v>
      </c>
      <c r="O412" s="7"/>
    </row>
    <row r="413" customFormat="false" ht="15" hidden="false" customHeight="false" outlineLevel="0" collapsed="false">
      <c r="A413" s="35" t="s">
        <v>1810</v>
      </c>
      <c r="B413" s="35" t="s">
        <v>811</v>
      </c>
      <c r="C413" s="37" t="str">
        <f aca="false">IF(B413="","",IFERROR(INDEX(Applications!$B$5:$B$600,MATCH(B413,Applications!$A$5:$A$600,0)),"Application ID not found"))</f>
        <v>Cardiff Food Shelf</v>
      </c>
      <c r="D413" s="35" t="s">
        <v>91</v>
      </c>
      <c r="E413" s="35" t="s">
        <v>83</v>
      </c>
      <c r="F413" s="36" t="n">
        <v>45944</v>
      </c>
      <c r="G413" s="35" t="n">
        <v>4</v>
      </c>
      <c r="H413" s="35" t="n">
        <v>5</v>
      </c>
      <c r="I413" s="35" t="n">
        <v>4</v>
      </c>
      <c r="J413" s="35" t="n">
        <v>4</v>
      </c>
      <c r="K413" s="35" t="n">
        <v>4</v>
      </c>
      <c r="L413" s="35" t="n">
        <v>4</v>
      </c>
      <c r="M413" s="50" t="n">
        <f aca="false">IF(COUNT(G413:L413)&lt;6,"",ROUND((G413*Rubric!$D$5+H413*Rubric!$D$6+I413*Rubric!$D$7+J413*Rubric!$D$8+K413*Rubric!$D$9+L413*Rubric!$D$10)/5*100,1))</f>
        <v>84</v>
      </c>
      <c r="N413" s="37" t="str">
        <f aca="false">IF(OR(B413="",D413=""),"",IFERROR(IF(IF(E413="Primary",INDEX(Applications!$I$5:$I$600,MATCH(B413,Applications!$A$5:$A$600,0)),IF(E413="Secondary",INDEX(Applications!$J$5:$J$600,MATCH(B413,Applications!$A$5:$A$600,0)),INDEX(Applications!$K$5:$K$600,MATCH(B413,Applications!$A$5:$A$600,0))))=D413,"OK","Not assigned"),"Check ID"))</f>
        <v>OK</v>
      </c>
      <c r="O413" s="7"/>
    </row>
    <row r="414" customFormat="false" ht="15" hidden="false" customHeight="false" outlineLevel="0" collapsed="false">
      <c r="A414" s="35" t="s">
        <v>1811</v>
      </c>
      <c r="B414" s="35" t="s">
        <v>1353</v>
      </c>
      <c r="C414" s="37" t="str">
        <f aca="false">IF(B414="","",IFERROR(INDEX(Applications!$B$5:$B$600,MATCH(B414,Applications!$A$5:$A$600,0)),"Application ID not found"))</f>
        <v>Cork Bakery Collective</v>
      </c>
      <c r="D414" s="35" t="s">
        <v>91</v>
      </c>
      <c r="E414" s="35" t="s">
        <v>80</v>
      </c>
      <c r="F414" s="36" t="n">
        <v>45944</v>
      </c>
      <c r="G414" s="35" t="n">
        <v>3</v>
      </c>
      <c r="H414" s="35" t="n">
        <v>4</v>
      </c>
      <c r="I414" s="35" t="n">
        <v>3</v>
      </c>
      <c r="J414" s="35" t="n">
        <v>4</v>
      </c>
      <c r="K414" s="35" t="n">
        <v>3</v>
      </c>
      <c r="L414" s="35" t="n">
        <v>4</v>
      </c>
      <c r="M414" s="50" t="n">
        <f aca="false">IF(COUNT(G414:L414)&lt;6,"",ROUND((G414*Rubric!$D$5+H414*Rubric!$D$6+I414*Rubric!$D$7+J414*Rubric!$D$8+K414*Rubric!$D$9+L414*Rubric!$D$10)/5*100,1))</f>
        <v>69</v>
      </c>
      <c r="N414" s="37" t="str">
        <f aca="false">IF(OR(B414="",D414=""),"",IFERROR(IF(IF(E414="Primary",INDEX(Applications!$I$5:$I$600,MATCH(B414,Applications!$A$5:$A$600,0)),IF(E414="Secondary",INDEX(Applications!$J$5:$J$600,MATCH(B414,Applications!$A$5:$A$600,0)),INDEX(Applications!$K$5:$K$600,MATCH(B414,Applications!$A$5:$A$600,0))))=D414,"OK","Not assigned"),"Check ID"))</f>
        <v>OK</v>
      </c>
      <c r="O414" s="7" t="s">
        <v>1437</v>
      </c>
    </row>
    <row r="415" customFormat="false" ht="15" hidden="false" customHeight="false" outlineLevel="0" collapsed="false">
      <c r="A415" s="35" t="s">
        <v>1812</v>
      </c>
      <c r="B415" s="35" t="s">
        <v>1313</v>
      </c>
      <c r="C415" s="37" t="str">
        <f aca="false">IF(B415="","",IFERROR(INDEX(Applications!$B$5:$B$600,MATCH(B415,Applications!$A$5:$A$600,0)),"Application ID not found"))</f>
        <v>Salvador Community Kitchen</v>
      </c>
      <c r="D415" s="35" t="s">
        <v>91</v>
      </c>
      <c r="E415" s="35" t="s">
        <v>83</v>
      </c>
      <c r="F415" s="36" t="n">
        <v>45944</v>
      </c>
      <c r="G415" s="35" t="n">
        <v>4</v>
      </c>
      <c r="H415" s="35" t="n">
        <v>3</v>
      </c>
      <c r="I415" s="35" t="n">
        <v>4</v>
      </c>
      <c r="J415" s="35" t="n">
        <v>4</v>
      </c>
      <c r="K415" s="35" t="n">
        <v>4</v>
      </c>
      <c r="L415" s="35" t="n">
        <v>3</v>
      </c>
      <c r="M415" s="50" t="n">
        <f aca="false">IF(COUNT(G415:L415)&lt;6,"",ROUND((G415*Rubric!$D$5+H415*Rubric!$D$6+I415*Rubric!$D$7+J415*Rubric!$D$8+K415*Rubric!$D$9+L415*Rubric!$D$10)/5*100,1))</f>
        <v>74</v>
      </c>
      <c r="N415" s="37" t="str">
        <f aca="false">IF(OR(B415="",D415=""),"",IFERROR(IF(IF(E415="Primary",INDEX(Applications!$I$5:$I$600,MATCH(B415,Applications!$A$5:$A$600,0)),IF(E415="Secondary",INDEX(Applications!$J$5:$J$600,MATCH(B415,Applications!$A$5:$A$600,0)),INDEX(Applications!$K$5:$K$600,MATCH(B415,Applications!$A$5:$A$600,0))))=D415,"OK","Not assigned"),"Check ID"))</f>
        <v>OK</v>
      </c>
      <c r="O415" s="7"/>
    </row>
    <row r="416" customFormat="false" ht="15" hidden="false" customHeight="false" outlineLevel="0" collapsed="false">
      <c r="A416" s="35" t="s">
        <v>1813</v>
      </c>
      <c r="B416" s="35" t="s">
        <v>1213</v>
      </c>
      <c r="C416" s="37" t="str">
        <f aca="false">IF(B416="","",IFERROR(INDEX(Applications!$B$5:$B$600,MATCH(B416,Applications!$A$5:$A$600,0)),"Application ID not found"))</f>
        <v>Harbor Community Kitchen</v>
      </c>
      <c r="D416" s="35" t="s">
        <v>91</v>
      </c>
      <c r="E416" s="35" t="s">
        <v>83</v>
      </c>
      <c r="F416" s="36" t="n">
        <v>45944</v>
      </c>
      <c r="G416" s="35" t="n">
        <v>5</v>
      </c>
      <c r="H416" s="35" t="n">
        <v>5</v>
      </c>
      <c r="I416" s="35" t="n">
        <v>5</v>
      </c>
      <c r="J416" s="35" t="n">
        <v>5</v>
      </c>
      <c r="K416" s="35" t="n">
        <v>5</v>
      </c>
      <c r="L416" s="35" t="n">
        <v>5</v>
      </c>
      <c r="M416" s="50" t="n">
        <f aca="false">IF(COUNT(G416:L416)&lt;6,"",ROUND((G416*Rubric!$D$5+H416*Rubric!$D$6+I416*Rubric!$D$7+J416*Rubric!$D$8+K416*Rubric!$D$9+L416*Rubric!$D$10)/5*100,1))</f>
        <v>100</v>
      </c>
      <c r="N416" s="37" t="str">
        <f aca="false">IF(OR(B416="",D416=""),"",IFERROR(IF(IF(E416="Primary",INDEX(Applications!$I$5:$I$600,MATCH(B416,Applications!$A$5:$A$600,0)),IF(E416="Secondary",INDEX(Applications!$J$5:$J$600,MATCH(B416,Applications!$A$5:$A$600,0)),INDEX(Applications!$K$5:$K$600,MATCH(B416,Applications!$A$5:$A$600,0))))=D416,"OK","Not assigned"),"Check ID"))</f>
        <v>OK</v>
      </c>
      <c r="O416" s="7"/>
    </row>
    <row r="417" customFormat="false" ht="15" hidden="false" customHeight="false" outlineLevel="0" collapsed="false">
      <c r="A417" s="35" t="s">
        <v>1814</v>
      </c>
      <c r="B417" s="35" t="s">
        <v>1267</v>
      </c>
      <c r="C417" s="37" t="str">
        <f aca="false">IF(B417="","",IFERROR(INDEX(Applications!$B$5:$B$600,MATCH(B417,Applications!$A$5:$A$600,0)),"Application ID not found"))</f>
        <v>Ironwood Food Bank</v>
      </c>
      <c r="D417" s="35" t="s">
        <v>91</v>
      </c>
      <c r="E417" s="35" t="s">
        <v>83</v>
      </c>
      <c r="F417" s="36" t="n">
        <v>45944</v>
      </c>
      <c r="G417" s="35" t="n">
        <v>2</v>
      </c>
      <c r="H417" s="35" t="n">
        <v>3</v>
      </c>
      <c r="I417" s="35" t="n">
        <v>2</v>
      </c>
      <c r="J417" s="35" t="n">
        <v>2</v>
      </c>
      <c r="K417" s="35" t="n">
        <v>3</v>
      </c>
      <c r="L417" s="35" t="n">
        <v>2</v>
      </c>
      <c r="M417" s="50" t="n">
        <f aca="false">IF(COUNT(G417:L417)&lt;6,"",ROUND((G417*Rubric!$D$5+H417*Rubric!$D$6+I417*Rubric!$D$7+J417*Rubric!$D$8+K417*Rubric!$D$9+L417*Rubric!$D$10)/5*100,1))</f>
        <v>46</v>
      </c>
      <c r="N417" s="37" t="str">
        <f aca="false">IF(OR(B417="",D417=""),"",IFERROR(IF(IF(E417="Primary",INDEX(Applications!$I$5:$I$600,MATCH(B417,Applications!$A$5:$A$600,0)),IF(E417="Secondary",INDEX(Applications!$J$5:$J$600,MATCH(B417,Applications!$A$5:$A$600,0)),INDEX(Applications!$K$5:$K$600,MATCH(B417,Applications!$A$5:$A$600,0))))=D417,"OK","Not assigned"),"Check ID"))</f>
        <v>OK</v>
      </c>
      <c r="O417" s="7" t="s">
        <v>1493</v>
      </c>
    </row>
    <row r="418" customFormat="false" ht="15" hidden="false" customHeight="false" outlineLevel="0" collapsed="false">
      <c r="A418" s="35" t="s">
        <v>1815</v>
      </c>
      <c r="B418" s="35" t="s">
        <v>885</v>
      </c>
      <c r="C418" s="37" t="str">
        <f aca="false">IF(B418="","",IFERROR(INDEX(Applications!$B$5:$B$600,MATCH(B418,Applications!$A$5:$A$600,0)),"Application ID not found"))</f>
        <v>Two Rivers Community Pantry</v>
      </c>
      <c r="D418" s="35" t="s">
        <v>91</v>
      </c>
      <c r="E418" s="35" t="s">
        <v>83</v>
      </c>
      <c r="F418" s="36" t="n">
        <v>45944</v>
      </c>
      <c r="G418" s="35" t="n">
        <v>3</v>
      </c>
      <c r="H418" s="35" t="n">
        <v>4</v>
      </c>
      <c r="I418" s="35" t="n">
        <v>3</v>
      </c>
      <c r="J418" s="35" t="n">
        <v>3</v>
      </c>
      <c r="K418" s="35" t="n">
        <v>3</v>
      </c>
      <c r="L418" s="35" t="n">
        <v>3</v>
      </c>
      <c r="M418" s="50" t="n">
        <f aca="false">IF(COUNT(G418:L418)&lt;6,"",ROUND((G418*Rubric!$D$5+H418*Rubric!$D$6+I418*Rubric!$D$7+J418*Rubric!$D$8+K418*Rubric!$D$9+L418*Rubric!$D$10)/5*100,1))</f>
        <v>64</v>
      </c>
      <c r="N418" s="37" t="str">
        <f aca="false">IF(OR(B418="",D418=""),"",IFERROR(IF(IF(E418="Primary",INDEX(Applications!$I$5:$I$600,MATCH(B418,Applications!$A$5:$A$600,0)),IF(E418="Secondary",INDEX(Applications!$J$5:$J$600,MATCH(B418,Applications!$A$5:$A$600,0)),INDEX(Applications!$K$5:$K$600,MATCH(B418,Applications!$A$5:$A$600,0))))=D418,"OK","Not assigned"),"Check ID"))</f>
        <v>OK</v>
      </c>
      <c r="O418" s="7"/>
    </row>
    <row r="419" customFormat="false" ht="15" hidden="false" customHeight="false" outlineLevel="0" collapsed="false">
      <c r="A419" s="35" t="s">
        <v>1816</v>
      </c>
      <c r="B419" s="35" t="s">
        <v>751</v>
      </c>
      <c r="C419" s="37" t="str">
        <f aca="false">IF(B419="","",IFERROR(INDEX(Applications!$B$5:$B$600,MATCH(B419,Applications!$A$5:$A$600,0)),"Application ID not found"))</f>
        <v>Hamburg Food Bank</v>
      </c>
      <c r="D419" s="35" t="s">
        <v>91</v>
      </c>
      <c r="E419" s="35" t="s">
        <v>80</v>
      </c>
      <c r="F419" s="36" t="n">
        <v>45944</v>
      </c>
      <c r="G419" s="35" t="n">
        <v>3</v>
      </c>
      <c r="H419" s="35" t="n">
        <v>4</v>
      </c>
      <c r="I419" s="35" t="n">
        <v>3</v>
      </c>
      <c r="J419" s="35" t="n">
        <v>4</v>
      </c>
      <c r="K419" s="35" t="n">
        <v>4</v>
      </c>
      <c r="L419" s="35" t="n">
        <v>3</v>
      </c>
      <c r="M419" s="50" t="n">
        <f aca="false">IF(COUNT(G419:L419)&lt;6,"",ROUND((G419*Rubric!$D$5+H419*Rubric!$D$6+I419*Rubric!$D$7+J419*Rubric!$D$8+K419*Rubric!$D$9+L419*Rubric!$D$10)/5*100,1))</f>
        <v>69</v>
      </c>
      <c r="N419" s="37" t="str">
        <f aca="false">IF(OR(B419="",D419=""),"",IFERROR(IF(IF(E419="Primary",INDEX(Applications!$I$5:$I$600,MATCH(B419,Applications!$A$5:$A$600,0)),IF(E419="Secondary",INDEX(Applications!$J$5:$J$600,MATCH(B419,Applications!$A$5:$A$600,0)),INDEX(Applications!$K$5:$K$600,MATCH(B419,Applications!$A$5:$A$600,0))))=D419,"OK","Not assigned"),"Check ID"))</f>
        <v>OK</v>
      </c>
      <c r="O419" s="7"/>
    </row>
    <row r="420" customFormat="false" ht="15" hidden="false" customHeight="false" outlineLevel="0" collapsed="false">
      <c r="A420" s="35" t="s">
        <v>1817</v>
      </c>
      <c r="B420" s="35" t="s">
        <v>917</v>
      </c>
      <c r="C420" s="37" t="str">
        <f aca="false">IF(B420="","",IFERROR(INDEX(Applications!$B$5:$B$600,MATCH(B420,Applications!$A$5:$A$600,0)),"Application ID not found"))</f>
        <v>Linden Food Shelf</v>
      </c>
      <c r="D420" s="35" t="s">
        <v>91</v>
      </c>
      <c r="E420" s="35" t="s">
        <v>83</v>
      </c>
      <c r="F420" s="36" t="n">
        <v>45944</v>
      </c>
      <c r="G420" s="35" t="n">
        <v>3</v>
      </c>
      <c r="H420" s="35" t="n">
        <v>3</v>
      </c>
      <c r="I420" s="35" t="n">
        <v>2</v>
      </c>
      <c r="J420" s="35" t="n">
        <v>3</v>
      </c>
      <c r="K420" s="35" t="n">
        <v>3</v>
      </c>
      <c r="L420" s="35" t="n">
        <v>3</v>
      </c>
      <c r="M420" s="50" t="n">
        <f aca="false">IF(COUNT(G420:L420)&lt;6,"",ROUND((G420*Rubric!$D$5+H420*Rubric!$D$6+I420*Rubric!$D$7+J420*Rubric!$D$8+K420*Rubric!$D$9+L420*Rubric!$D$10)/5*100,1))</f>
        <v>56</v>
      </c>
      <c r="N420" s="37" t="str">
        <f aca="false">IF(OR(B420="",D420=""),"",IFERROR(IF(IF(E420="Primary",INDEX(Applications!$I$5:$I$600,MATCH(B420,Applications!$A$5:$A$600,0)),IF(E420="Secondary",INDEX(Applications!$J$5:$J$600,MATCH(B420,Applications!$A$5:$A$600,0)),INDEX(Applications!$K$5:$K$600,MATCH(B420,Applications!$A$5:$A$600,0))))=D420,"OK","Not assigned"),"Check ID"))</f>
        <v>OK</v>
      </c>
      <c r="O420" s="7" t="s">
        <v>1418</v>
      </c>
    </row>
    <row r="421" customFormat="false" ht="15" hidden="false" customHeight="false" outlineLevel="0" collapsed="false">
      <c r="A421" s="35" t="s">
        <v>1818</v>
      </c>
      <c r="B421" s="35" t="s">
        <v>192</v>
      </c>
      <c r="C421" s="37" t="str">
        <f aca="false">IF(B421="","",IFERROR(INDEX(Applications!$B$5:$B$600,MATCH(B421,Applications!$A$5:$A$600,0)),"Application ID not found"))</f>
        <v>Parkside Cafe Training Program</v>
      </c>
      <c r="D421" s="35" t="s">
        <v>91</v>
      </c>
      <c r="E421" s="35" t="s">
        <v>83</v>
      </c>
      <c r="F421" s="36" t="n">
        <v>45944</v>
      </c>
      <c r="G421" s="35" t="n">
        <v>3</v>
      </c>
      <c r="H421" s="35" t="n">
        <v>3</v>
      </c>
      <c r="I421" s="35" t="n">
        <v>3</v>
      </c>
      <c r="J421" s="35" t="n">
        <v>3</v>
      </c>
      <c r="K421" s="35" t="n">
        <v>3</v>
      </c>
      <c r="L421" s="35" t="n">
        <v>4</v>
      </c>
      <c r="M421" s="50" t="n">
        <f aca="false">IF(COUNT(G421:L421)&lt;6,"",ROUND((G421*Rubric!$D$5+H421*Rubric!$D$6+I421*Rubric!$D$7+J421*Rubric!$D$8+K421*Rubric!$D$9+L421*Rubric!$D$10)/5*100,1))</f>
        <v>62</v>
      </c>
      <c r="N421" s="37" t="str">
        <f aca="false">IF(OR(B421="",D421=""),"",IFERROR(IF(IF(E421="Primary",INDEX(Applications!$I$5:$I$600,MATCH(B421,Applications!$A$5:$A$600,0)),IF(E421="Secondary",INDEX(Applications!$J$5:$J$600,MATCH(B421,Applications!$A$5:$A$600,0)),INDEX(Applications!$K$5:$K$600,MATCH(B421,Applications!$A$5:$A$600,0))))=D421,"OK","Not assigned"),"Check ID"))</f>
        <v>OK</v>
      </c>
      <c r="O421" s="7"/>
    </row>
    <row r="422" customFormat="false" ht="15" hidden="false" customHeight="false" outlineLevel="0" collapsed="false">
      <c r="A422" s="35" t="s">
        <v>1819</v>
      </c>
      <c r="B422" s="35" t="s">
        <v>953</v>
      </c>
      <c r="C422" s="37" t="str">
        <f aca="false">IF(B422="","",IFERROR(INDEX(Applications!$B$5:$B$600,MATCH(B422,Applications!$A$5:$A$600,0)),"Application ID not found"))</f>
        <v>Winnipeg Meals Project</v>
      </c>
      <c r="D422" s="35" t="s">
        <v>91</v>
      </c>
      <c r="E422" s="35" t="s">
        <v>80</v>
      </c>
      <c r="F422" s="36" t="n">
        <v>45944</v>
      </c>
      <c r="G422" s="35" t="n">
        <v>3</v>
      </c>
      <c r="H422" s="35" t="n">
        <v>3</v>
      </c>
      <c r="I422" s="35" t="n">
        <v>4</v>
      </c>
      <c r="J422" s="35" t="n">
        <v>2</v>
      </c>
      <c r="K422" s="35" t="n">
        <v>3</v>
      </c>
      <c r="L422" s="35" t="n">
        <v>4</v>
      </c>
      <c r="M422" s="50" t="n">
        <f aca="false">IF(COUNT(G422:L422)&lt;6,"",ROUND((G422*Rubric!$D$5+H422*Rubric!$D$6+I422*Rubric!$D$7+J422*Rubric!$D$8+K422*Rubric!$D$9+L422*Rubric!$D$10)/5*100,1))</f>
        <v>63</v>
      </c>
      <c r="N422" s="37" t="str">
        <f aca="false">IF(OR(B422="",D422=""),"",IFERROR(IF(IF(E422="Primary",INDEX(Applications!$I$5:$I$600,MATCH(B422,Applications!$A$5:$A$600,0)),IF(E422="Secondary",INDEX(Applications!$J$5:$J$600,MATCH(B422,Applications!$A$5:$A$600,0)),INDEX(Applications!$K$5:$K$600,MATCH(B422,Applications!$A$5:$A$600,0))))=D422,"OK","Not assigned"),"Check ID"))</f>
        <v>OK</v>
      </c>
      <c r="O422" s="7"/>
    </row>
    <row r="423" customFormat="false" ht="15" hidden="false" customHeight="false" outlineLevel="0" collapsed="false">
      <c r="A423" s="35" t="s">
        <v>1820</v>
      </c>
      <c r="B423" s="35" t="s">
        <v>1033</v>
      </c>
      <c r="C423" s="37" t="str">
        <f aca="false">IF(B423="","",IFERROR(INDEX(Applications!$B$5:$B$600,MATCH(B423,Applications!$A$5:$A$600,0)),"Application ID not found"))</f>
        <v>Cebu City Farm Collective</v>
      </c>
      <c r="D423" s="35" t="s">
        <v>91</v>
      </c>
      <c r="E423" s="35" t="s">
        <v>80</v>
      </c>
      <c r="F423" s="36" t="n">
        <v>45944</v>
      </c>
      <c r="G423" s="35" t="n">
        <v>4</v>
      </c>
      <c r="H423" s="35" t="n">
        <v>3</v>
      </c>
      <c r="I423" s="35" t="n">
        <v>4</v>
      </c>
      <c r="J423" s="35" t="n">
        <v>3</v>
      </c>
      <c r="K423" s="35" t="n">
        <v>4</v>
      </c>
      <c r="L423" s="35" t="n">
        <v>3</v>
      </c>
      <c r="M423" s="50" t="n">
        <f aca="false">IF(COUNT(G423:L423)&lt;6,"",ROUND((G423*Rubric!$D$5+H423*Rubric!$D$6+I423*Rubric!$D$7+J423*Rubric!$D$8+K423*Rubric!$D$9+L423*Rubric!$D$10)/5*100,1))</f>
        <v>71</v>
      </c>
      <c r="N423" s="37" t="str">
        <f aca="false">IF(OR(B423="",D423=""),"",IFERROR(IF(IF(E423="Primary",INDEX(Applications!$I$5:$I$600,MATCH(B423,Applications!$A$5:$A$600,0)),IF(E423="Secondary",INDEX(Applications!$J$5:$J$600,MATCH(B423,Applications!$A$5:$A$600,0)),INDEX(Applications!$K$5:$K$600,MATCH(B423,Applications!$A$5:$A$600,0))))=D423,"OK","Not assigned"),"Check ID"))</f>
        <v>OK</v>
      </c>
      <c r="O423" s="7"/>
    </row>
    <row r="424" customFormat="false" ht="15" hidden="false" customHeight="false" outlineLevel="0" collapsed="false">
      <c r="A424" s="35" t="s">
        <v>1821</v>
      </c>
      <c r="B424" s="35" t="s">
        <v>641</v>
      </c>
      <c r="C424" s="37" t="str">
        <f aca="false">IF(B424="","",IFERROR(INDEX(Applications!$B$5:$B$600,MATCH(B424,Applications!$A$5:$A$600,0)),"Application ID not found"))</f>
        <v>Albany Kitchen Project</v>
      </c>
      <c r="D424" s="35" t="s">
        <v>91</v>
      </c>
      <c r="E424" s="35" t="s">
        <v>83</v>
      </c>
      <c r="F424" s="36" t="n">
        <v>45944</v>
      </c>
      <c r="G424" s="35" t="n">
        <v>3</v>
      </c>
      <c r="H424" s="35" t="n">
        <v>4</v>
      </c>
      <c r="I424" s="35" t="n">
        <v>3</v>
      </c>
      <c r="J424" s="35" t="n">
        <v>2</v>
      </c>
      <c r="K424" s="35" t="n">
        <v>4</v>
      </c>
      <c r="L424" s="35" t="n">
        <v>3</v>
      </c>
      <c r="M424" s="50" t="n">
        <f aca="false">IF(COUNT(G424:L424)&lt;6,"",ROUND((G424*Rubric!$D$5+H424*Rubric!$D$6+I424*Rubric!$D$7+J424*Rubric!$D$8+K424*Rubric!$D$9+L424*Rubric!$D$10)/5*100,1))</f>
        <v>63</v>
      </c>
      <c r="N424" s="37" t="str">
        <f aca="false">IF(OR(B424="",D424=""),"",IFERROR(IF(IF(E424="Primary",INDEX(Applications!$I$5:$I$600,MATCH(B424,Applications!$A$5:$A$600,0)),IF(E424="Secondary",INDEX(Applications!$J$5:$J$600,MATCH(B424,Applications!$A$5:$A$600,0)),INDEX(Applications!$K$5:$K$600,MATCH(B424,Applications!$A$5:$A$600,0))))=D424,"OK","Not assigned"),"Check ID"))</f>
        <v>OK</v>
      </c>
      <c r="O424" s="7"/>
    </row>
    <row r="425" customFormat="false" ht="15" hidden="false" customHeight="false" outlineLevel="0" collapsed="false">
      <c r="A425" s="35" t="s">
        <v>1822</v>
      </c>
      <c r="B425" s="35" t="s">
        <v>1045</v>
      </c>
      <c r="C425" s="37" t="str">
        <f aca="false">IF(B425="","",IFERROR(INDEX(Applications!$B$5:$B$600,MATCH(B425,Applications!$A$5:$A$600,0)),"Application ID not found"))</f>
        <v>Cork Cafe Training Program</v>
      </c>
      <c r="D425" s="35" t="s">
        <v>91</v>
      </c>
      <c r="E425" s="35" t="s">
        <v>83</v>
      </c>
      <c r="F425" s="36" t="n">
        <v>45944</v>
      </c>
      <c r="G425" s="35" t="n">
        <v>3</v>
      </c>
      <c r="H425" s="35" t="n">
        <v>3</v>
      </c>
      <c r="I425" s="35" t="n">
        <v>4</v>
      </c>
      <c r="J425" s="35" t="n">
        <v>4</v>
      </c>
      <c r="K425" s="35" t="n">
        <v>4</v>
      </c>
      <c r="L425" s="35" t="n">
        <v>4</v>
      </c>
      <c r="M425" s="50" t="n">
        <f aca="false">IF(COUNT(G425:L425)&lt;6,"",ROUND((G425*Rubric!$D$5+H425*Rubric!$D$6+I425*Rubric!$D$7+J425*Rubric!$D$8+K425*Rubric!$D$9+L425*Rubric!$D$10)/5*100,1))</f>
        <v>71</v>
      </c>
      <c r="N425" s="37" t="str">
        <f aca="false">IF(OR(B425="",D425=""),"",IFERROR(IF(IF(E425="Primary",INDEX(Applications!$I$5:$I$600,MATCH(B425,Applications!$A$5:$A$600,0)),IF(E425="Secondary",INDEX(Applications!$J$5:$J$600,MATCH(B425,Applications!$A$5:$A$600,0)),INDEX(Applications!$K$5:$K$600,MATCH(B425,Applications!$A$5:$A$600,0))))=D425,"OK","Not assigned"),"Check ID"))</f>
        <v>OK</v>
      </c>
      <c r="O425" s="7" t="s">
        <v>1418</v>
      </c>
    </row>
    <row r="426" customFormat="false" ht="15" hidden="false" customHeight="false" outlineLevel="0" collapsed="false">
      <c r="A426" s="35" t="s">
        <v>1823</v>
      </c>
      <c r="B426" s="35" t="s">
        <v>1095</v>
      </c>
      <c r="C426" s="37" t="str">
        <f aca="false">IF(B426="","",IFERROR(INDEX(Applications!$B$5:$B$600,MATCH(B426,Applications!$A$5:$A$600,0)),"Application ID not found"))</f>
        <v>Open Door Mobile Market</v>
      </c>
      <c r="D426" s="35" t="s">
        <v>94</v>
      </c>
      <c r="E426" s="35" t="s">
        <v>80</v>
      </c>
      <c r="F426" s="36" t="n">
        <v>45944</v>
      </c>
      <c r="G426" s="35" t="n">
        <v>2</v>
      </c>
      <c r="H426" s="35" t="n">
        <v>2</v>
      </c>
      <c r="I426" s="35" t="n">
        <v>3</v>
      </c>
      <c r="J426" s="35" t="n">
        <v>2</v>
      </c>
      <c r="K426" s="35" t="n">
        <v>3</v>
      </c>
      <c r="L426" s="35" t="n">
        <v>2</v>
      </c>
      <c r="M426" s="50" t="n">
        <f aca="false">IF(COUNT(G426:L426)&lt;6,"",ROUND((G426*Rubric!$D$5+H426*Rubric!$D$6+I426*Rubric!$D$7+J426*Rubric!$D$8+K426*Rubric!$D$9+L426*Rubric!$D$10)/5*100,1))</f>
        <v>46</v>
      </c>
      <c r="N426" s="37" t="str">
        <f aca="false">IF(OR(B426="",D426=""),"",IFERROR(IF(IF(E426="Primary",INDEX(Applications!$I$5:$I$600,MATCH(B426,Applications!$A$5:$A$600,0)),IF(E426="Secondary",INDEX(Applications!$J$5:$J$600,MATCH(B426,Applications!$A$5:$A$600,0)),INDEX(Applications!$K$5:$K$600,MATCH(B426,Applications!$A$5:$A$600,0))))=D426,"OK","Not assigned"),"Check ID"))</f>
        <v>OK</v>
      </c>
      <c r="O426" s="7"/>
    </row>
    <row r="427" customFormat="false" ht="15" hidden="false" customHeight="false" outlineLevel="0" collapsed="false">
      <c r="A427" s="35" t="s">
        <v>1824</v>
      </c>
      <c r="B427" s="35" t="s">
        <v>925</v>
      </c>
      <c r="C427" s="37" t="str">
        <f aca="false">IF(B427="","",IFERROR(INDEX(Applications!$B$5:$B$600,MATCH(B427,Applications!$A$5:$A$600,0)),"Application ID not found"))</f>
        <v>Albany Cafe Training Program</v>
      </c>
      <c r="D427" s="35" t="s">
        <v>94</v>
      </c>
      <c r="E427" s="35" t="s">
        <v>80</v>
      </c>
      <c r="F427" s="36" t="n">
        <v>45944</v>
      </c>
      <c r="G427" s="35" t="n">
        <v>4</v>
      </c>
      <c r="H427" s="35" t="n">
        <v>3</v>
      </c>
      <c r="I427" s="35" t="n">
        <v>3</v>
      </c>
      <c r="J427" s="35" t="n">
        <v>4</v>
      </c>
      <c r="K427" s="35" t="n">
        <v>4</v>
      </c>
      <c r="L427" s="35" t="n">
        <v>4</v>
      </c>
      <c r="M427" s="50" t="n">
        <f aca="false">IF(COUNT(G427:L427)&lt;6,"",ROUND((G427*Rubric!$D$5+H427*Rubric!$D$6+I427*Rubric!$D$7+J427*Rubric!$D$8+K427*Rubric!$D$9+L427*Rubric!$D$10)/5*100,1))</f>
        <v>72</v>
      </c>
      <c r="N427" s="37" t="str">
        <f aca="false">IF(OR(B427="",D427=""),"",IFERROR(IF(IF(E427="Primary",INDEX(Applications!$I$5:$I$600,MATCH(B427,Applications!$A$5:$A$600,0)),IF(E427="Secondary",INDEX(Applications!$J$5:$J$600,MATCH(B427,Applications!$A$5:$A$600,0)),INDEX(Applications!$K$5:$K$600,MATCH(B427,Applications!$A$5:$A$600,0))))=D427,"OK","Not assigned"),"Check ID"))</f>
        <v>OK</v>
      </c>
      <c r="O427" s="7"/>
    </row>
    <row r="428" customFormat="false" ht="15" hidden="false" customHeight="false" outlineLevel="0" collapsed="false">
      <c r="A428" s="35" t="s">
        <v>1825</v>
      </c>
      <c r="B428" s="35" t="s">
        <v>272</v>
      </c>
      <c r="C428" s="37" t="str">
        <f aca="false">IF(B428="","",IFERROR(INDEX(Applications!$B$5:$B$600,MATCH(B428,Applications!$A$5:$A$600,0)),"Application ID not found"))</f>
        <v>Bluestem Pantry Network</v>
      </c>
      <c r="D428" s="35" t="s">
        <v>94</v>
      </c>
      <c r="E428" s="35" t="s">
        <v>83</v>
      </c>
      <c r="F428" s="36" t="n">
        <v>45944</v>
      </c>
      <c r="G428" s="35" t="n">
        <v>2</v>
      </c>
      <c r="H428" s="35" t="n">
        <v>3</v>
      </c>
      <c r="I428" s="35" t="n">
        <v>2</v>
      </c>
      <c r="J428" s="35" t="n">
        <v>2</v>
      </c>
      <c r="K428" s="35" t="n">
        <v>2</v>
      </c>
      <c r="L428" s="35" t="n">
        <v>3</v>
      </c>
      <c r="M428" s="50" t="n">
        <f aca="false">IF(COUNT(G428:L428)&lt;6,"",ROUND((G428*Rubric!$D$5+H428*Rubric!$D$6+I428*Rubric!$D$7+J428*Rubric!$D$8+K428*Rubric!$D$9+L428*Rubric!$D$10)/5*100,1))</f>
        <v>46</v>
      </c>
      <c r="N428" s="37" t="str">
        <f aca="false">IF(OR(B428="",D428=""),"",IFERROR(IF(IF(E428="Primary",INDEX(Applications!$I$5:$I$600,MATCH(B428,Applications!$A$5:$A$600,0)),IF(E428="Secondary",INDEX(Applications!$J$5:$J$600,MATCH(B428,Applications!$A$5:$A$600,0)),INDEX(Applications!$K$5:$K$600,MATCH(B428,Applications!$A$5:$A$600,0))))=D428,"OK","Not assigned"),"Check ID"))</f>
        <v>OK</v>
      </c>
      <c r="O428" s="7"/>
    </row>
    <row r="429" customFormat="false" ht="15" hidden="false" customHeight="false" outlineLevel="0" collapsed="false">
      <c r="A429" s="35" t="s">
        <v>1826</v>
      </c>
      <c r="B429" s="35" t="s">
        <v>757</v>
      </c>
      <c r="C429" s="37" t="str">
        <f aca="false">IF(B429="","",IFERROR(INDEX(Applications!$B$5:$B$600,MATCH(B429,Applications!$A$5:$A$600,0)),"Application ID not found"))</f>
        <v>Saltgrass Schools Nutrition Fund</v>
      </c>
      <c r="D429" s="35" t="s">
        <v>94</v>
      </c>
      <c r="E429" s="35" t="s">
        <v>83</v>
      </c>
      <c r="F429" s="36" t="n">
        <v>45944</v>
      </c>
      <c r="G429" s="35" t="n">
        <v>3</v>
      </c>
      <c r="H429" s="35" t="n">
        <v>3</v>
      </c>
      <c r="I429" s="35" t="n">
        <v>4</v>
      </c>
      <c r="J429" s="35" t="n">
        <v>3</v>
      </c>
      <c r="K429" s="35" t="n">
        <v>2</v>
      </c>
      <c r="L429" s="35" t="n">
        <v>3</v>
      </c>
      <c r="M429" s="50" t="n">
        <f aca="false">IF(COUNT(G429:L429)&lt;6,"",ROUND((G429*Rubric!$D$5+H429*Rubric!$D$6+I429*Rubric!$D$7+J429*Rubric!$D$8+K429*Rubric!$D$9+L429*Rubric!$D$10)/5*100,1))</f>
        <v>62</v>
      </c>
      <c r="N429" s="37" t="str">
        <f aca="false">IF(OR(B429="",D429=""),"",IFERROR(IF(IF(E429="Primary",INDEX(Applications!$I$5:$I$600,MATCH(B429,Applications!$A$5:$A$600,0)),IF(E429="Secondary",INDEX(Applications!$J$5:$J$600,MATCH(B429,Applications!$A$5:$A$600,0)),INDEX(Applications!$K$5:$K$600,MATCH(B429,Applications!$A$5:$A$600,0))))=D429,"OK","Not assigned"),"Check ID"))</f>
        <v>OK</v>
      </c>
      <c r="O429" s="7"/>
    </row>
    <row r="430" customFormat="false" ht="15" hidden="false" customHeight="false" outlineLevel="0" collapsed="false">
      <c r="A430" s="35" t="s">
        <v>1827</v>
      </c>
      <c r="B430" s="35" t="s">
        <v>526</v>
      </c>
      <c r="C430" s="37" t="str">
        <f aca="false">IF(B430="","",IFERROR(INDEX(Applications!$B$5:$B$600,MATCH(B430,Applications!$A$5:$A$600,0)),"Application ID not found"))</f>
        <v>Wichita Market Gardens</v>
      </c>
      <c r="D430" s="35" t="s">
        <v>94</v>
      </c>
      <c r="E430" s="35" t="s">
        <v>83</v>
      </c>
      <c r="F430" s="36" t="n">
        <v>45944</v>
      </c>
      <c r="G430" s="35" t="n">
        <v>3</v>
      </c>
      <c r="H430" s="35" t="n">
        <v>2</v>
      </c>
      <c r="I430" s="35" t="n">
        <v>2</v>
      </c>
      <c r="J430" s="35" t="n">
        <v>3</v>
      </c>
      <c r="K430" s="35" t="n">
        <v>4</v>
      </c>
      <c r="L430" s="35" t="n">
        <v>3</v>
      </c>
      <c r="M430" s="50" t="n">
        <f aca="false">IF(COUNT(G430:L430)&lt;6,"",ROUND((G430*Rubric!$D$5+H430*Rubric!$D$6+I430*Rubric!$D$7+J430*Rubric!$D$8+K430*Rubric!$D$9+L430*Rubric!$D$10)/5*100,1))</f>
        <v>54</v>
      </c>
      <c r="N430" s="37" t="str">
        <f aca="false">IF(OR(B430="",D430=""),"",IFERROR(IF(IF(E430="Primary",INDEX(Applications!$I$5:$I$600,MATCH(B430,Applications!$A$5:$A$600,0)),IF(E430="Secondary",INDEX(Applications!$J$5:$J$600,MATCH(B430,Applications!$A$5:$A$600,0)),INDEX(Applications!$K$5:$K$600,MATCH(B430,Applications!$A$5:$A$600,0))))=D430,"OK","Not assigned"),"Check ID"))</f>
        <v>OK</v>
      </c>
      <c r="O430" s="7"/>
    </row>
    <row r="431" customFormat="false" ht="15" hidden="false" customHeight="false" outlineLevel="0" collapsed="false">
      <c r="A431" s="35" t="s">
        <v>1828</v>
      </c>
      <c r="B431" s="35" t="s">
        <v>1077</v>
      </c>
      <c r="C431" s="37" t="str">
        <f aca="false">IF(B431="","",IFERROR(INDEX(Applications!$B$5:$B$600,MATCH(B431,Applications!$A$5:$A$600,0)),"Application ID not found"))</f>
        <v>Sheffield Meals Project</v>
      </c>
      <c r="D431" s="35" t="s">
        <v>94</v>
      </c>
      <c r="E431" s="35" t="s">
        <v>83</v>
      </c>
      <c r="F431" s="36" t="n">
        <v>45944</v>
      </c>
      <c r="G431" s="35" t="n">
        <v>2</v>
      </c>
      <c r="H431" s="35" t="n">
        <v>2</v>
      </c>
      <c r="I431" s="35" t="n">
        <v>2</v>
      </c>
      <c r="J431" s="35" t="n">
        <v>3</v>
      </c>
      <c r="K431" s="35" t="n">
        <v>2</v>
      </c>
      <c r="L431" s="35" t="n">
        <v>2</v>
      </c>
      <c r="M431" s="50" t="n">
        <f aca="false">IF(COUNT(G431:L431)&lt;6,"",ROUND((G431*Rubric!$D$5+H431*Rubric!$D$6+I431*Rubric!$D$7+J431*Rubric!$D$8+K431*Rubric!$D$9+L431*Rubric!$D$10)/5*100,1))</f>
        <v>43</v>
      </c>
      <c r="N431" s="37" t="str">
        <f aca="false">IF(OR(B431="",D431=""),"",IFERROR(IF(IF(E431="Primary",INDEX(Applications!$I$5:$I$600,MATCH(B431,Applications!$A$5:$A$600,0)),IF(E431="Secondary",INDEX(Applications!$J$5:$J$600,MATCH(B431,Applications!$A$5:$A$600,0)),INDEX(Applications!$K$5:$K$600,MATCH(B431,Applications!$A$5:$A$600,0))))=D431,"OK","Not assigned"),"Check ID"))</f>
        <v>OK</v>
      </c>
      <c r="O431" s="7"/>
    </row>
    <row r="432" customFormat="false" ht="15" hidden="false" customHeight="false" outlineLevel="0" collapsed="false">
      <c r="A432" s="35" t="s">
        <v>1829</v>
      </c>
      <c r="B432" s="35" t="s">
        <v>879</v>
      </c>
      <c r="C432" s="37" t="str">
        <f aca="false">IF(B432="","",IFERROR(INDEX(Applications!$B$5:$B$600,MATCH(B432,Applications!$A$5:$A$600,0)),"Application ID not found"))</f>
        <v>Halifax Meals Project</v>
      </c>
      <c r="D432" s="35" t="s">
        <v>94</v>
      </c>
      <c r="E432" s="35" t="s">
        <v>83</v>
      </c>
      <c r="F432" s="36" t="n">
        <v>45944</v>
      </c>
      <c r="G432" s="35" t="n">
        <v>3</v>
      </c>
      <c r="H432" s="35" t="n">
        <v>3</v>
      </c>
      <c r="I432" s="35" t="n">
        <v>2</v>
      </c>
      <c r="J432" s="35" t="n">
        <v>3</v>
      </c>
      <c r="K432" s="35" t="n">
        <v>3</v>
      </c>
      <c r="L432" s="35" t="n">
        <v>3</v>
      </c>
      <c r="M432" s="50" t="n">
        <f aca="false">IF(COUNT(G432:L432)&lt;6,"",ROUND((G432*Rubric!$D$5+H432*Rubric!$D$6+I432*Rubric!$D$7+J432*Rubric!$D$8+K432*Rubric!$D$9+L432*Rubric!$D$10)/5*100,1))</f>
        <v>56</v>
      </c>
      <c r="N432" s="37" t="str">
        <f aca="false">IF(OR(B432="",D432=""),"",IFERROR(IF(IF(E432="Primary",INDEX(Applications!$I$5:$I$600,MATCH(B432,Applications!$A$5:$A$600,0)),IF(E432="Secondary",INDEX(Applications!$J$5:$J$600,MATCH(B432,Applications!$A$5:$A$600,0)),INDEX(Applications!$K$5:$K$600,MATCH(B432,Applications!$A$5:$A$600,0))))=D432,"OK","Not assigned"),"Check ID"))</f>
        <v>OK</v>
      </c>
      <c r="O432" s="7"/>
    </row>
    <row r="433" customFormat="false" ht="15" hidden="false" customHeight="false" outlineLevel="0" collapsed="false">
      <c r="A433" s="35" t="s">
        <v>1830</v>
      </c>
      <c r="B433" s="35" t="s">
        <v>939</v>
      </c>
      <c r="C433" s="37" t="str">
        <f aca="false">IF(B433="","",IFERROR(INDEX(Applications!$B$5:$B$600,MATCH(B433,Applications!$A$5:$A$600,0)),"Application ID not found"))</f>
        <v>Copper Hill Family Center</v>
      </c>
      <c r="D433" s="35" t="s">
        <v>94</v>
      </c>
      <c r="E433" s="35" t="s">
        <v>80</v>
      </c>
      <c r="F433" s="36" t="n">
        <v>45944</v>
      </c>
      <c r="G433" s="35" t="n">
        <v>4</v>
      </c>
      <c r="H433" s="35" t="n">
        <v>3</v>
      </c>
      <c r="I433" s="35" t="n">
        <v>3</v>
      </c>
      <c r="J433" s="35" t="n">
        <v>2</v>
      </c>
      <c r="K433" s="35" t="n">
        <v>3</v>
      </c>
      <c r="L433" s="35" t="n">
        <v>3</v>
      </c>
      <c r="M433" s="50" t="n">
        <f aca="false">IF(COUNT(G433:L433)&lt;6,"",ROUND((G433*Rubric!$D$5+H433*Rubric!$D$6+I433*Rubric!$D$7+J433*Rubric!$D$8+K433*Rubric!$D$9+L433*Rubric!$D$10)/5*100,1))</f>
        <v>62</v>
      </c>
      <c r="N433" s="37" t="str">
        <f aca="false">IF(OR(B433="",D433=""),"",IFERROR(IF(IF(E433="Primary",INDEX(Applications!$I$5:$I$600,MATCH(B433,Applications!$A$5:$A$600,0)),IF(E433="Secondary",INDEX(Applications!$J$5:$J$600,MATCH(B433,Applications!$A$5:$A$600,0)),INDEX(Applications!$K$5:$K$600,MATCH(B433,Applications!$A$5:$A$600,0))))=D433,"OK","Not assigned"),"Check ID"))</f>
        <v>OK</v>
      </c>
      <c r="O433" s="7"/>
    </row>
    <row r="434" customFormat="false" ht="15" hidden="false" customHeight="false" outlineLevel="0" collapsed="false">
      <c r="A434" s="35" t="s">
        <v>1831</v>
      </c>
      <c r="B434" s="35" t="s">
        <v>263</v>
      </c>
      <c r="C434" s="37" t="str">
        <f aca="false">IF(B434="","",IFERROR(INDEX(Applications!$B$5:$B$600,MATCH(B434,Applications!$A$5:$A$600,0)),"Application ID not found"))</f>
        <v>Hamilton Food Bank</v>
      </c>
      <c r="D434" s="35" t="s">
        <v>94</v>
      </c>
      <c r="E434" s="35" t="s">
        <v>83</v>
      </c>
      <c r="F434" s="36" t="n">
        <v>45944</v>
      </c>
      <c r="G434" s="35" t="n">
        <v>4</v>
      </c>
      <c r="H434" s="35" t="n">
        <v>3</v>
      </c>
      <c r="I434" s="35" t="n">
        <v>3</v>
      </c>
      <c r="J434" s="35" t="n">
        <v>3</v>
      </c>
      <c r="K434" s="35" t="n">
        <v>3</v>
      </c>
      <c r="L434" s="35" t="n">
        <v>3</v>
      </c>
      <c r="M434" s="50" t="n">
        <f aca="false">IF(COUNT(G434:L434)&lt;6,"",ROUND((G434*Rubric!$D$5+H434*Rubric!$D$6+I434*Rubric!$D$7+J434*Rubric!$D$8+K434*Rubric!$D$9+L434*Rubric!$D$10)/5*100,1))</f>
        <v>65</v>
      </c>
      <c r="N434" s="37" t="str">
        <f aca="false">IF(OR(B434="",D434=""),"",IFERROR(IF(IF(E434="Primary",INDEX(Applications!$I$5:$I$600,MATCH(B434,Applications!$A$5:$A$600,0)),IF(E434="Secondary",INDEX(Applications!$J$5:$J$600,MATCH(B434,Applications!$A$5:$A$600,0)),INDEX(Applications!$K$5:$K$600,MATCH(B434,Applications!$A$5:$A$600,0))))=D434,"OK","Not assigned"),"Check ID"))</f>
        <v>OK</v>
      </c>
      <c r="O434" s="7"/>
    </row>
    <row r="435" customFormat="false" ht="15" hidden="false" customHeight="false" outlineLevel="0" collapsed="false">
      <c r="A435" s="35" t="s">
        <v>1832</v>
      </c>
      <c r="B435" s="35" t="s">
        <v>552</v>
      </c>
      <c r="C435" s="37" t="str">
        <f aca="false">IF(B435="","",IFERROR(INDEX(Applications!$B$5:$B$600,MATCH(B435,Applications!$A$5:$A$600,0)),"Application ID not found"))</f>
        <v>Recife Farm School</v>
      </c>
      <c r="D435" s="35" t="s">
        <v>94</v>
      </c>
      <c r="E435" s="35" t="s">
        <v>80</v>
      </c>
      <c r="F435" s="36" t="n">
        <v>45944</v>
      </c>
      <c r="G435" s="35" t="n">
        <v>2</v>
      </c>
      <c r="H435" s="35" t="n">
        <v>2</v>
      </c>
      <c r="I435" s="35" t="n">
        <v>3</v>
      </c>
      <c r="J435" s="35" t="n">
        <v>3</v>
      </c>
      <c r="K435" s="35" t="n">
        <v>3</v>
      </c>
      <c r="L435" s="35" t="n">
        <v>3</v>
      </c>
      <c r="M435" s="50" t="n">
        <f aca="false">IF(COUNT(G435:L435)&lt;6,"",ROUND((G435*Rubric!$D$5+H435*Rubric!$D$6+I435*Rubric!$D$7+J435*Rubric!$D$8+K435*Rubric!$D$9+L435*Rubric!$D$10)/5*100,1))</f>
        <v>51</v>
      </c>
      <c r="N435" s="37" t="str">
        <f aca="false">IF(OR(B435="",D435=""),"",IFERROR(IF(IF(E435="Primary",INDEX(Applications!$I$5:$I$600,MATCH(B435,Applications!$A$5:$A$600,0)),IF(E435="Secondary",INDEX(Applications!$J$5:$J$600,MATCH(B435,Applications!$A$5:$A$600,0)),INDEX(Applications!$K$5:$K$600,MATCH(B435,Applications!$A$5:$A$600,0))))=D435,"OK","Not assigned"),"Check ID"))</f>
        <v>OK</v>
      </c>
      <c r="O435" s="7"/>
    </row>
    <row r="436" customFormat="false" ht="15" hidden="false" customHeight="false" outlineLevel="0" collapsed="false">
      <c r="A436" s="35" t="s">
        <v>1833</v>
      </c>
      <c r="B436" s="35" t="s">
        <v>593</v>
      </c>
      <c r="C436" s="37" t="str">
        <f aca="false">IF(B436="","",IFERROR(INDEX(Applications!$B$5:$B$600,MATCH(B436,Applications!$A$5:$A$600,0)),"Application ID not found"))</f>
        <v>Louisville Food Ventures</v>
      </c>
      <c r="D436" s="35" t="s">
        <v>94</v>
      </c>
      <c r="E436" s="35" t="s">
        <v>80</v>
      </c>
      <c r="F436" s="36" t="n">
        <v>45944</v>
      </c>
      <c r="G436" s="35" t="n">
        <v>2</v>
      </c>
      <c r="H436" s="35" t="n">
        <v>2</v>
      </c>
      <c r="I436" s="35" t="n">
        <v>2</v>
      </c>
      <c r="J436" s="35" t="n">
        <v>1</v>
      </c>
      <c r="K436" s="35" t="n">
        <v>1</v>
      </c>
      <c r="L436" s="35" t="n">
        <v>2</v>
      </c>
      <c r="M436" s="50" t="n">
        <f aca="false">IF(COUNT(G436:L436)&lt;6,"",ROUND((G436*Rubric!$D$5+H436*Rubric!$D$6+I436*Rubric!$D$7+J436*Rubric!$D$8+K436*Rubric!$D$9+L436*Rubric!$D$10)/5*100,1))</f>
        <v>35</v>
      </c>
      <c r="N436" s="37" t="str">
        <f aca="false">IF(OR(B436="",D436=""),"",IFERROR(IF(IF(E436="Primary",INDEX(Applications!$I$5:$I$600,MATCH(B436,Applications!$A$5:$A$600,0)),IF(E436="Secondary",INDEX(Applications!$J$5:$J$600,MATCH(B436,Applications!$A$5:$A$600,0)),INDEX(Applications!$K$5:$K$600,MATCH(B436,Applications!$A$5:$A$600,0))))=D436,"OK","Not assigned"),"Check ID"))</f>
        <v>OK</v>
      </c>
      <c r="O436" s="7"/>
    </row>
    <row r="437" customFormat="false" ht="15" hidden="false" customHeight="false" outlineLevel="0" collapsed="false">
      <c r="A437" s="35" t="s">
        <v>1834</v>
      </c>
      <c r="B437" s="35" t="s">
        <v>418</v>
      </c>
      <c r="C437" s="37" t="str">
        <f aca="false">IF(B437="","",IFERROR(INDEX(Applications!$B$5:$B$600,MATCH(B437,Applications!$A$5:$A$600,0)),"Application ID not found"))</f>
        <v>Fairmount Bakery Collective</v>
      </c>
      <c r="D437" s="35" t="s">
        <v>94</v>
      </c>
      <c r="E437" s="35" t="s">
        <v>83</v>
      </c>
      <c r="F437" s="36" t="n">
        <v>45944</v>
      </c>
      <c r="G437" s="35" t="n">
        <v>3</v>
      </c>
      <c r="H437" s="35" t="n">
        <v>2</v>
      </c>
      <c r="I437" s="35" t="n">
        <v>2</v>
      </c>
      <c r="J437" s="35" t="n">
        <v>2</v>
      </c>
      <c r="K437" s="35" t="n">
        <v>2</v>
      </c>
      <c r="L437" s="35" t="n">
        <v>2</v>
      </c>
      <c r="M437" s="50" t="n">
        <f aca="false">IF(COUNT(G437:L437)&lt;6,"",ROUND((G437*Rubric!$D$5+H437*Rubric!$D$6+I437*Rubric!$D$7+J437*Rubric!$D$8+K437*Rubric!$D$9+L437*Rubric!$D$10)/5*100,1))</f>
        <v>45</v>
      </c>
      <c r="N437" s="37" t="str">
        <f aca="false">IF(OR(B437="",D437=""),"",IFERROR(IF(IF(E437="Primary",INDEX(Applications!$I$5:$I$600,MATCH(B437,Applications!$A$5:$A$600,0)),IF(E437="Secondary",INDEX(Applications!$J$5:$J$600,MATCH(B437,Applications!$A$5:$A$600,0)),INDEX(Applications!$K$5:$K$600,MATCH(B437,Applications!$A$5:$A$600,0))))=D437,"OK","Not assigned"),"Check ID"))</f>
        <v>OK</v>
      </c>
      <c r="O437" s="7"/>
    </row>
    <row r="438" customFormat="false" ht="15" hidden="false" customHeight="false" outlineLevel="0" collapsed="false">
      <c r="A438" s="35" t="s">
        <v>1835</v>
      </c>
      <c r="B438" s="35" t="s">
        <v>771</v>
      </c>
      <c r="C438" s="37" t="str">
        <f aca="false">IF(B438="","",IFERROR(INDEX(Applications!$B$5:$B$600,MATCH(B438,Applications!$A$5:$A$600,0)),"Application ID not found"))</f>
        <v>Pittsburgh Community Pantry</v>
      </c>
      <c r="D438" s="35" t="s">
        <v>85</v>
      </c>
      <c r="E438" s="35" t="s">
        <v>83</v>
      </c>
      <c r="F438" s="36" t="n">
        <v>45944</v>
      </c>
      <c r="G438" s="35" t="n">
        <v>3</v>
      </c>
      <c r="H438" s="35" t="n">
        <v>3</v>
      </c>
      <c r="I438" s="35" t="n">
        <v>3</v>
      </c>
      <c r="J438" s="35" t="n">
        <v>3</v>
      </c>
      <c r="K438" s="35" t="n">
        <v>3</v>
      </c>
      <c r="L438" s="35" t="n">
        <v>4</v>
      </c>
      <c r="M438" s="50" t="n">
        <f aca="false">IF(COUNT(G438:L438)&lt;6,"",ROUND((G438*Rubric!$D$5+H438*Rubric!$D$6+I438*Rubric!$D$7+J438*Rubric!$D$8+K438*Rubric!$D$9+L438*Rubric!$D$10)/5*100,1))</f>
        <v>62</v>
      </c>
      <c r="N438" s="37" t="str">
        <f aca="false">IF(OR(B438="",D438=""),"",IFERROR(IF(IF(E438="Primary",INDEX(Applications!$I$5:$I$600,MATCH(B438,Applications!$A$5:$A$600,0)),IF(E438="Secondary",INDEX(Applications!$J$5:$J$600,MATCH(B438,Applications!$A$5:$A$600,0)),INDEX(Applications!$K$5:$K$600,MATCH(B438,Applications!$A$5:$A$600,0))))=D438,"OK","Not assigned"),"Check ID"))</f>
        <v>OK</v>
      </c>
      <c r="O438" s="7" t="s">
        <v>1592</v>
      </c>
    </row>
    <row r="439" customFormat="false" ht="15" hidden="false" customHeight="false" outlineLevel="0" collapsed="false">
      <c r="A439" s="35" t="s">
        <v>1836</v>
      </c>
      <c r="B439" s="35" t="s">
        <v>444</v>
      </c>
      <c r="C439" s="37" t="str">
        <f aca="false">IF(B439="","",IFERROR(INDEX(Applications!$B$5:$B$600,MATCH(B439,Applications!$A$5:$A$600,0)),"Application ID not found"))</f>
        <v>Milwaukee Community Pantry</v>
      </c>
      <c r="D439" s="35" t="s">
        <v>85</v>
      </c>
      <c r="E439" s="35" t="s">
        <v>80</v>
      </c>
      <c r="F439" s="36" t="n">
        <v>45944</v>
      </c>
      <c r="G439" s="35" t="n">
        <v>3</v>
      </c>
      <c r="H439" s="35" t="n">
        <v>3</v>
      </c>
      <c r="I439" s="35" t="n">
        <v>3</v>
      </c>
      <c r="J439" s="35" t="n">
        <v>3</v>
      </c>
      <c r="K439" s="35" t="n">
        <v>3</v>
      </c>
      <c r="L439" s="35" t="n">
        <v>4</v>
      </c>
      <c r="M439" s="50" t="n">
        <f aca="false">IF(COUNT(G439:L439)&lt;6,"",ROUND((G439*Rubric!$D$5+H439*Rubric!$D$6+I439*Rubric!$D$7+J439*Rubric!$D$8+K439*Rubric!$D$9+L439*Rubric!$D$10)/5*100,1))</f>
        <v>62</v>
      </c>
      <c r="N439" s="37" t="str">
        <f aca="false">IF(OR(B439="",D439=""),"",IFERROR(IF(IF(E439="Primary",INDEX(Applications!$I$5:$I$600,MATCH(B439,Applications!$A$5:$A$600,0)),IF(E439="Secondary",INDEX(Applications!$J$5:$J$600,MATCH(B439,Applications!$A$5:$A$600,0)),INDEX(Applications!$K$5:$K$600,MATCH(B439,Applications!$A$5:$A$600,0))))=D439,"OK","Not assigned"),"Check ID"))</f>
        <v>OK</v>
      </c>
      <c r="O439" s="7"/>
    </row>
    <row r="440" customFormat="false" ht="15" hidden="false" customHeight="false" outlineLevel="0" collapsed="false">
      <c r="A440" s="35" t="s">
        <v>1837</v>
      </c>
      <c r="B440" s="35" t="s">
        <v>783</v>
      </c>
      <c r="C440" s="37" t="str">
        <f aca="false">IF(B440="","",IFERROR(INDEX(Applications!$B$5:$B$600,MATCH(B440,Applications!$A$5:$A$600,0)),"Application ID not found"))</f>
        <v>Old Town Meals Project</v>
      </c>
      <c r="D440" s="35" t="s">
        <v>85</v>
      </c>
      <c r="E440" s="35" t="s">
        <v>80</v>
      </c>
      <c r="F440" s="36" t="n">
        <v>45944</v>
      </c>
      <c r="G440" s="35" t="n">
        <v>2</v>
      </c>
      <c r="H440" s="35" t="n">
        <v>3</v>
      </c>
      <c r="I440" s="35" t="n">
        <v>3</v>
      </c>
      <c r="J440" s="35" t="n">
        <v>2</v>
      </c>
      <c r="K440" s="35" t="n">
        <v>2</v>
      </c>
      <c r="L440" s="35" t="n">
        <v>2</v>
      </c>
      <c r="M440" s="50" t="n">
        <f aca="false">IF(COUNT(G440:L440)&lt;6,"",ROUND((G440*Rubric!$D$5+H440*Rubric!$D$6+I440*Rubric!$D$7+J440*Rubric!$D$8+K440*Rubric!$D$9+L440*Rubric!$D$10)/5*100,1))</f>
        <v>48</v>
      </c>
      <c r="N440" s="37" t="str">
        <f aca="false">IF(OR(B440="",D440=""),"",IFERROR(IF(IF(E440="Primary",INDEX(Applications!$I$5:$I$600,MATCH(B440,Applications!$A$5:$A$600,0)),IF(E440="Secondary",INDEX(Applications!$J$5:$J$600,MATCH(B440,Applications!$A$5:$A$600,0)),INDEX(Applications!$K$5:$K$600,MATCH(B440,Applications!$A$5:$A$600,0))))=D440,"OK","Not assigned"),"Check ID"))</f>
        <v>OK</v>
      </c>
      <c r="O440" s="7"/>
    </row>
    <row r="441" customFormat="false" ht="15" hidden="false" customHeight="false" outlineLevel="0" collapsed="false">
      <c r="A441" s="35" t="s">
        <v>1838</v>
      </c>
      <c r="B441" s="35" t="s">
        <v>717</v>
      </c>
      <c r="C441" s="37" t="str">
        <f aca="false">IF(B441="","",IFERROR(INDEX(Applications!$B$5:$B$600,MATCH(B441,Applications!$A$5:$A$600,0)),"Application ID not found"))</f>
        <v>Cork Mobile Market</v>
      </c>
      <c r="D441" s="35" t="s">
        <v>85</v>
      </c>
      <c r="E441" s="35" t="s">
        <v>80</v>
      </c>
      <c r="F441" s="36" t="n">
        <v>45944</v>
      </c>
      <c r="G441" s="35" t="n">
        <v>3</v>
      </c>
      <c r="H441" s="35" t="n">
        <v>2</v>
      </c>
      <c r="I441" s="35" t="n">
        <v>3</v>
      </c>
      <c r="J441" s="35" t="n">
        <v>3</v>
      </c>
      <c r="K441" s="35" t="n">
        <v>3</v>
      </c>
      <c r="L441" s="35" t="n">
        <v>3</v>
      </c>
      <c r="M441" s="50" t="n">
        <f aca="false">IF(COUNT(G441:L441)&lt;6,"",ROUND((G441*Rubric!$D$5+H441*Rubric!$D$6+I441*Rubric!$D$7+J441*Rubric!$D$8+K441*Rubric!$D$9+L441*Rubric!$D$10)/5*100,1))</f>
        <v>56</v>
      </c>
      <c r="N441" s="37" t="str">
        <f aca="false">IF(OR(B441="",D441=""),"",IFERROR(IF(IF(E441="Primary",INDEX(Applications!$I$5:$I$600,MATCH(B441,Applications!$A$5:$A$600,0)),IF(E441="Secondary",INDEX(Applications!$J$5:$J$600,MATCH(B441,Applications!$A$5:$A$600,0)),INDEX(Applications!$K$5:$K$600,MATCH(B441,Applications!$A$5:$A$600,0))))=D441,"OK","Not assigned"),"Check ID"))</f>
        <v>OK</v>
      </c>
      <c r="O441" s="7"/>
    </row>
    <row r="442" customFormat="false" ht="15" hidden="false" customHeight="false" outlineLevel="0" collapsed="false">
      <c r="A442" s="35" t="s">
        <v>1839</v>
      </c>
      <c r="B442" s="35" t="s">
        <v>757</v>
      </c>
      <c r="C442" s="37" t="str">
        <f aca="false">IF(B442="","",IFERROR(INDEX(Applications!$B$5:$B$600,MATCH(B442,Applications!$A$5:$A$600,0)),"Application ID not found"))</f>
        <v>Saltgrass Schools Nutrition Fund</v>
      </c>
      <c r="D442" s="35" t="s">
        <v>85</v>
      </c>
      <c r="E442" s="35" t="s">
        <v>80</v>
      </c>
      <c r="F442" s="36" t="n">
        <v>45944</v>
      </c>
      <c r="G442" s="35" t="n">
        <v>3</v>
      </c>
      <c r="H442" s="35" t="n">
        <v>3</v>
      </c>
      <c r="I442" s="35" t="n">
        <v>3</v>
      </c>
      <c r="J442" s="35" t="n">
        <v>3</v>
      </c>
      <c r="K442" s="35" t="n">
        <v>2</v>
      </c>
      <c r="L442" s="35" t="n">
        <v>3</v>
      </c>
      <c r="M442" s="50" t="n">
        <f aca="false">IF(COUNT(G442:L442)&lt;6,"",ROUND((G442*Rubric!$D$5+H442*Rubric!$D$6+I442*Rubric!$D$7+J442*Rubric!$D$8+K442*Rubric!$D$9+L442*Rubric!$D$10)/5*100,1))</f>
        <v>58</v>
      </c>
      <c r="N442" s="37" t="str">
        <f aca="false">IF(OR(B442="",D442=""),"",IFERROR(IF(IF(E442="Primary",INDEX(Applications!$I$5:$I$600,MATCH(B442,Applications!$A$5:$A$600,0)),IF(E442="Secondary",INDEX(Applications!$J$5:$J$600,MATCH(B442,Applications!$A$5:$A$600,0)),INDEX(Applications!$K$5:$K$600,MATCH(B442,Applications!$A$5:$A$600,0))))=D442,"OK","Not assigned"),"Check ID"))</f>
        <v>OK</v>
      </c>
      <c r="O442" s="7"/>
    </row>
    <row r="443" customFormat="false" ht="15" hidden="false" customHeight="false" outlineLevel="0" collapsed="false">
      <c r="A443" s="35" t="s">
        <v>1840</v>
      </c>
      <c r="B443" s="35" t="s">
        <v>329</v>
      </c>
      <c r="C443" s="37" t="str">
        <f aca="false">IF(B443="","",IFERROR(INDEX(Applications!$B$5:$B$600,MATCH(B443,Applications!$A$5:$A$600,0)),"Application ID not found"))</f>
        <v>Des Moines Food Bank</v>
      </c>
      <c r="D443" s="35" t="s">
        <v>85</v>
      </c>
      <c r="E443" s="35" t="s">
        <v>80</v>
      </c>
      <c r="F443" s="36" t="n">
        <v>45944</v>
      </c>
      <c r="G443" s="35" t="n">
        <v>2</v>
      </c>
      <c r="H443" s="35" t="n">
        <v>3</v>
      </c>
      <c r="I443" s="35" t="n">
        <v>3</v>
      </c>
      <c r="J443" s="35" t="n">
        <v>3</v>
      </c>
      <c r="K443" s="35" t="n">
        <v>2</v>
      </c>
      <c r="L443" s="35" t="n">
        <v>3</v>
      </c>
      <c r="M443" s="50" t="n">
        <f aca="false">IF(COUNT(G443:L443)&lt;6,"",ROUND((G443*Rubric!$D$5+H443*Rubric!$D$6+I443*Rubric!$D$7+J443*Rubric!$D$8+K443*Rubric!$D$9+L443*Rubric!$D$10)/5*100,1))</f>
        <v>53</v>
      </c>
      <c r="N443" s="37" t="str">
        <f aca="false">IF(OR(B443="",D443=""),"",IFERROR(IF(IF(E443="Primary",INDEX(Applications!$I$5:$I$600,MATCH(B443,Applications!$A$5:$A$600,0)),IF(E443="Secondary",INDEX(Applications!$J$5:$J$600,MATCH(B443,Applications!$A$5:$A$600,0)),INDEX(Applications!$K$5:$K$600,MATCH(B443,Applications!$A$5:$A$600,0))))=D443,"OK","Not assigned"),"Check ID"))</f>
        <v>OK</v>
      </c>
      <c r="O443" s="7"/>
    </row>
    <row r="444" customFormat="false" ht="15" hidden="false" customHeight="false" outlineLevel="0" collapsed="false">
      <c r="A444" s="35" t="s">
        <v>1841</v>
      </c>
      <c r="B444" s="35" t="s">
        <v>1003</v>
      </c>
      <c r="C444" s="37" t="str">
        <f aca="false">IF(B444="","",IFERROR(INDEX(Applications!$B$5:$B$600,MATCH(B444,Applications!$A$5:$A$600,0)),"Application ID not found"))</f>
        <v>Lantern Community Pantry</v>
      </c>
      <c r="D444" s="35" t="s">
        <v>85</v>
      </c>
      <c r="E444" s="35" t="s">
        <v>80</v>
      </c>
      <c r="F444" s="36" t="n">
        <v>45944</v>
      </c>
      <c r="G444" s="35" t="n">
        <v>3</v>
      </c>
      <c r="H444" s="35" t="n">
        <v>4</v>
      </c>
      <c r="I444" s="35" t="n">
        <v>4</v>
      </c>
      <c r="J444" s="35" t="n">
        <v>4</v>
      </c>
      <c r="K444" s="35" t="n">
        <v>4</v>
      </c>
      <c r="L444" s="35" t="n">
        <v>4</v>
      </c>
      <c r="M444" s="50" t="n">
        <f aca="false">IF(COUNT(G444:L444)&lt;6,"",ROUND((G444*Rubric!$D$5+H444*Rubric!$D$6+I444*Rubric!$D$7+J444*Rubric!$D$8+K444*Rubric!$D$9+L444*Rubric!$D$10)/5*100,1))</f>
        <v>75</v>
      </c>
      <c r="N444" s="37" t="str">
        <f aca="false">IF(OR(B444="",D444=""),"",IFERROR(IF(IF(E444="Primary",INDEX(Applications!$I$5:$I$600,MATCH(B444,Applications!$A$5:$A$600,0)),IF(E444="Secondary",INDEX(Applications!$J$5:$J$600,MATCH(B444,Applications!$A$5:$A$600,0)),INDEX(Applications!$K$5:$K$600,MATCH(B444,Applications!$A$5:$A$600,0))))=D444,"OK","Not assigned"),"Check ID"))</f>
        <v>OK</v>
      </c>
      <c r="O444" s="7" t="s">
        <v>1426</v>
      </c>
    </row>
    <row r="445" customFormat="false" ht="15" hidden="false" customHeight="false" outlineLevel="0" collapsed="false">
      <c r="A445" s="35" t="s">
        <v>1842</v>
      </c>
      <c r="B445" s="35" t="s">
        <v>233</v>
      </c>
      <c r="C445" s="37" t="str">
        <f aca="false">IF(B445="","",IFERROR(INDEX(Applications!$B$5:$B$600,MATCH(B445,Applications!$A$5:$A$600,0)),"Application ID not found"))</f>
        <v>Tucson Meals Project</v>
      </c>
      <c r="D445" s="35" t="s">
        <v>85</v>
      </c>
      <c r="E445" s="35" t="s">
        <v>83</v>
      </c>
      <c r="F445" s="36" t="n">
        <v>45944</v>
      </c>
      <c r="G445" s="35" t="n">
        <v>4</v>
      </c>
      <c r="H445" s="35" t="n">
        <v>5</v>
      </c>
      <c r="I445" s="35" t="n">
        <v>5</v>
      </c>
      <c r="J445" s="35" t="n">
        <v>5</v>
      </c>
      <c r="K445" s="35" t="n">
        <v>4</v>
      </c>
      <c r="L445" s="35" t="n">
        <v>5</v>
      </c>
      <c r="M445" s="50" t="n">
        <f aca="false">IF(COUNT(G445:L445)&lt;6,"",ROUND((G445*Rubric!$D$5+H445*Rubric!$D$6+I445*Rubric!$D$7+J445*Rubric!$D$8+K445*Rubric!$D$9+L445*Rubric!$D$10)/5*100,1))</f>
        <v>93</v>
      </c>
      <c r="N445" s="37" t="str">
        <f aca="false">IF(OR(B445="",D445=""),"",IFERROR(IF(IF(E445="Primary",INDEX(Applications!$I$5:$I$600,MATCH(B445,Applications!$A$5:$A$600,0)),IF(E445="Secondary",INDEX(Applications!$J$5:$J$600,MATCH(B445,Applications!$A$5:$A$600,0)),INDEX(Applications!$K$5:$K$600,MATCH(B445,Applications!$A$5:$A$600,0))))=D445,"OK","Not assigned"),"Check ID"))</f>
        <v>OK</v>
      </c>
      <c r="O445" s="7"/>
    </row>
    <row r="446" customFormat="false" ht="15" hidden="false" customHeight="false" outlineLevel="0" collapsed="false">
      <c r="A446" s="35" t="s">
        <v>1843</v>
      </c>
      <c r="B446" s="35" t="s">
        <v>1279</v>
      </c>
      <c r="C446" s="37" t="str">
        <f aca="false">IF(B446="","",IFERROR(INDEX(Applications!$B$5:$B$600,MATCH(B446,Applications!$A$5:$A$600,0)),"Application ID not found"))</f>
        <v>Two Rivers Cafe Training Program</v>
      </c>
      <c r="D446" s="35" t="s">
        <v>85</v>
      </c>
      <c r="E446" s="35" t="s">
        <v>80</v>
      </c>
      <c r="F446" s="36" t="n">
        <v>45944</v>
      </c>
      <c r="G446" s="35" t="n">
        <v>4</v>
      </c>
      <c r="H446" s="35" t="n">
        <v>4</v>
      </c>
      <c r="I446" s="35" t="n">
        <v>3</v>
      </c>
      <c r="J446" s="35" t="n">
        <v>4</v>
      </c>
      <c r="K446" s="35" t="n">
        <v>4</v>
      </c>
      <c r="L446" s="35" t="n">
        <v>4</v>
      </c>
      <c r="M446" s="50" t="n">
        <f aca="false">IF(COUNT(G446:L446)&lt;6,"",ROUND((G446*Rubric!$D$5+H446*Rubric!$D$6+I446*Rubric!$D$7+J446*Rubric!$D$8+K446*Rubric!$D$9+L446*Rubric!$D$10)/5*100,1))</f>
        <v>76</v>
      </c>
      <c r="N446" s="37" t="str">
        <f aca="false">IF(OR(B446="",D446=""),"",IFERROR(IF(IF(E446="Primary",INDEX(Applications!$I$5:$I$600,MATCH(B446,Applications!$A$5:$A$600,0)),IF(E446="Secondary",INDEX(Applications!$J$5:$J$600,MATCH(B446,Applications!$A$5:$A$600,0)),INDEX(Applications!$K$5:$K$600,MATCH(B446,Applications!$A$5:$A$600,0))))=D446,"OK","Not assigned"),"Check ID"))</f>
        <v>OK</v>
      </c>
      <c r="O446" s="7" t="s">
        <v>1493</v>
      </c>
    </row>
    <row r="447" customFormat="false" ht="15" hidden="false" customHeight="false" outlineLevel="0" collapsed="false">
      <c r="A447" s="35" t="s">
        <v>1844</v>
      </c>
      <c r="B447" s="35" t="s">
        <v>679</v>
      </c>
      <c r="C447" s="37" t="str">
        <f aca="false">IF(B447="","",IFERROR(INDEX(Applications!$B$5:$B$600,MATCH(B447,Applications!$A$5:$A$600,0)),"Application ID not found"))</f>
        <v>Utrecht Kitchen Project</v>
      </c>
      <c r="D447" s="35" t="s">
        <v>85</v>
      </c>
      <c r="E447" s="35" t="s">
        <v>80</v>
      </c>
      <c r="F447" s="36" t="n">
        <v>45944</v>
      </c>
      <c r="G447" s="35" t="n">
        <v>3</v>
      </c>
      <c r="H447" s="35" t="n">
        <v>4</v>
      </c>
      <c r="I447" s="35" t="n">
        <v>3</v>
      </c>
      <c r="J447" s="35" t="n">
        <v>3</v>
      </c>
      <c r="K447" s="35" t="n">
        <v>4</v>
      </c>
      <c r="L447" s="35" t="n">
        <v>4</v>
      </c>
      <c r="M447" s="50" t="n">
        <f aca="false">IF(COUNT(G447:L447)&lt;6,"",ROUND((G447*Rubric!$D$5+H447*Rubric!$D$6+I447*Rubric!$D$7+J447*Rubric!$D$8+K447*Rubric!$D$9+L447*Rubric!$D$10)/5*100,1))</f>
        <v>68</v>
      </c>
      <c r="N447" s="37" t="str">
        <f aca="false">IF(OR(B447="",D447=""),"",IFERROR(IF(IF(E447="Primary",INDEX(Applications!$I$5:$I$600,MATCH(B447,Applications!$A$5:$A$600,0)),IF(E447="Secondary",INDEX(Applications!$J$5:$J$600,MATCH(B447,Applications!$A$5:$A$600,0)),INDEX(Applications!$K$5:$K$600,MATCH(B447,Applications!$A$5:$A$600,0))))=D447,"OK","Not assigned"),"Check ID"))</f>
        <v>OK</v>
      </c>
      <c r="O447" s="7"/>
    </row>
    <row r="448" customFormat="false" ht="15" hidden="false" customHeight="false" outlineLevel="0" collapsed="false">
      <c r="A448" s="35" t="s">
        <v>1845</v>
      </c>
      <c r="B448" s="35" t="s">
        <v>913</v>
      </c>
      <c r="C448" s="37" t="str">
        <f aca="false">IF(B448="","",IFERROR(INDEX(Applications!$B$5:$B$600,MATCH(B448,Applications!$A$5:$A$600,0)),"Application ID not found"))</f>
        <v>Des Moines Seed Library</v>
      </c>
      <c r="D448" s="35" t="s">
        <v>85</v>
      </c>
      <c r="E448" s="35" t="s">
        <v>83</v>
      </c>
      <c r="F448" s="36" t="n">
        <v>45944</v>
      </c>
      <c r="G448" s="35" t="n">
        <v>3</v>
      </c>
      <c r="H448" s="35" t="n">
        <v>3</v>
      </c>
      <c r="I448" s="35" t="n">
        <v>4</v>
      </c>
      <c r="J448" s="35" t="n">
        <v>3</v>
      </c>
      <c r="K448" s="35" t="n">
        <v>4</v>
      </c>
      <c r="L448" s="35" t="n">
        <v>3</v>
      </c>
      <c r="M448" s="50" t="n">
        <f aca="false">IF(COUNT(G448:L448)&lt;6,"",ROUND((G448*Rubric!$D$5+H448*Rubric!$D$6+I448*Rubric!$D$7+J448*Rubric!$D$8+K448*Rubric!$D$9+L448*Rubric!$D$10)/5*100,1))</f>
        <v>66</v>
      </c>
      <c r="N448" s="37" t="str">
        <f aca="false">IF(OR(B448="",D448=""),"",IFERROR(IF(IF(E448="Primary",INDEX(Applications!$I$5:$I$600,MATCH(B448,Applications!$A$5:$A$600,0)),IF(E448="Secondary",INDEX(Applications!$J$5:$J$600,MATCH(B448,Applications!$A$5:$A$600,0)),INDEX(Applications!$K$5:$K$600,MATCH(B448,Applications!$A$5:$A$600,0))))=D448,"OK","Not assigned"),"Check ID"))</f>
        <v>OK</v>
      </c>
      <c r="O448" s="7" t="s">
        <v>1428</v>
      </c>
    </row>
    <row r="449" customFormat="false" ht="15" hidden="false" customHeight="false" outlineLevel="0" collapsed="false">
      <c r="A449" s="35" t="s">
        <v>1846</v>
      </c>
      <c r="B449" s="35" t="s">
        <v>341</v>
      </c>
      <c r="C449" s="37" t="str">
        <f aca="false">IF(B449="","",IFERROR(INDEX(Applications!$B$5:$B$600,MATCH(B449,Applications!$A$5:$A$600,0)),"Application ID not found"))</f>
        <v>Quezon City Meals Project</v>
      </c>
      <c r="D449" s="35" t="s">
        <v>85</v>
      </c>
      <c r="E449" s="35" t="s">
        <v>83</v>
      </c>
      <c r="F449" s="36" t="n">
        <v>45944</v>
      </c>
      <c r="G449" s="35" t="n">
        <v>3</v>
      </c>
      <c r="H449" s="35" t="n">
        <v>3</v>
      </c>
      <c r="I449" s="35" t="n">
        <v>3</v>
      </c>
      <c r="J449" s="35" t="n">
        <v>3</v>
      </c>
      <c r="K449" s="35" t="n">
        <v>3</v>
      </c>
      <c r="L449" s="35" t="n">
        <v>2</v>
      </c>
      <c r="M449" s="50" t="n">
        <f aca="false">IF(COUNT(G449:L449)&lt;6,"",ROUND((G449*Rubric!$D$5+H449*Rubric!$D$6+I449*Rubric!$D$7+J449*Rubric!$D$8+K449*Rubric!$D$9+L449*Rubric!$D$10)/5*100,1))</f>
        <v>58</v>
      </c>
      <c r="N449" s="37" t="str">
        <f aca="false">IF(OR(B449="",D449=""),"",IFERROR(IF(IF(E449="Primary",INDEX(Applications!$I$5:$I$600,MATCH(B449,Applications!$A$5:$A$600,0)),IF(E449="Secondary",INDEX(Applications!$J$5:$J$600,MATCH(B449,Applications!$A$5:$A$600,0)),INDEX(Applications!$K$5:$K$600,MATCH(B449,Applications!$A$5:$A$600,0))))=D449,"OK","Not assigned"),"Check ID"))</f>
        <v>OK</v>
      </c>
      <c r="O449" s="7"/>
    </row>
    <row r="450" customFormat="false" ht="15" hidden="false" customHeight="false" outlineLevel="0" collapsed="false">
      <c r="A450" s="35" t="s">
        <v>1847</v>
      </c>
      <c r="B450" s="35" t="s">
        <v>550</v>
      </c>
      <c r="C450" s="37" t="str">
        <f aca="false">IF(B450="","",IFERROR(INDEX(Applications!$B$5:$B$600,MATCH(B450,Applications!$A$5:$A$600,0)),"Application ID not found"))</f>
        <v>Peoria Growers Cooperative</v>
      </c>
      <c r="D450" s="35" t="s">
        <v>85</v>
      </c>
      <c r="E450" s="35" t="s">
        <v>83</v>
      </c>
      <c r="F450" s="36" t="n">
        <v>45944</v>
      </c>
      <c r="G450" s="35" t="n">
        <v>2</v>
      </c>
      <c r="H450" s="35" t="n">
        <v>3</v>
      </c>
      <c r="I450" s="35" t="n">
        <v>2</v>
      </c>
      <c r="J450" s="35" t="n">
        <v>3</v>
      </c>
      <c r="K450" s="35" t="n">
        <v>2</v>
      </c>
      <c r="L450" s="35" t="n">
        <v>1</v>
      </c>
      <c r="M450" s="50" t="n">
        <f aca="false">IF(COUNT(G450:L450)&lt;6,"",ROUND((G450*Rubric!$D$5+H450*Rubric!$D$6+I450*Rubric!$D$7+J450*Rubric!$D$8+K450*Rubric!$D$9+L450*Rubric!$D$10)/5*100,1))</f>
        <v>45</v>
      </c>
      <c r="N450" s="37" t="str">
        <f aca="false">IF(OR(B450="",D450=""),"",IFERROR(IF(IF(E450="Primary",INDEX(Applications!$I$5:$I$600,MATCH(B450,Applications!$A$5:$A$600,0)),IF(E450="Secondary",INDEX(Applications!$J$5:$J$600,MATCH(B450,Applications!$A$5:$A$600,0)),INDEX(Applications!$K$5:$K$600,MATCH(B450,Applications!$A$5:$A$600,0))))=D450,"OK","Not assigned"),"Check ID"))</f>
        <v>OK</v>
      </c>
      <c r="O450" s="7"/>
    </row>
    <row r="451" customFormat="false" ht="15" hidden="false" customHeight="false" outlineLevel="0" collapsed="false">
      <c r="A451" s="35" t="s">
        <v>1848</v>
      </c>
      <c r="B451" s="35" t="s">
        <v>797</v>
      </c>
      <c r="C451" s="37" t="str">
        <f aca="false">IF(B451="","",IFERROR(INDEX(Applications!$B$5:$B$600,MATCH(B451,Applications!$A$5:$A$600,0)),"Application ID not found"))</f>
        <v>Mombasa Cafe Training Program</v>
      </c>
      <c r="D451" s="35" t="s">
        <v>85</v>
      </c>
      <c r="E451" s="35" t="s">
        <v>83</v>
      </c>
      <c r="F451" s="36" t="n">
        <v>45944</v>
      </c>
      <c r="G451" s="35" t="n">
        <v>3</v>
      </c>
      <c r="H451" s="35" t="n">
        <v>3</v>
      </c>
      <c r="I451" s="35" t="n">
        <v>3</v>
      </c>
      <c r="J451" s="35" t="n">
        <v>3</v>
      </c>
      <c r="K451" s="35" t="n">
        <v>4</v>
      </c>
      <c r="L451" s="35" t="n">
        <v>4</v>
      </c>
      <c r="M451" s="50" t="n">
        <f aca="false">IF(COUNT(G451:L451)&lt;6,"",ROUND((G451*Rubric!$D$5+H451*Rubric!$D$6+I451*Rubric!$D$7+J451*Rubric!$D$8+K451*Rubric!$D$9+L451*Rubric!$D$10)/5*100,1))</f>
        <v>64</v>
      </c>
      <c r="N451" s="37" t="str">
        <f aca="false">IF(OR(B451="",D451=""),"",IFERROR(IF(IF(E451="Primary",INDEX(Applications!$I$5:$I$600,MATCH(B451,Applications!$A$5:$A$600,0)),IF(E451="Secondary",INDEX(Applications!$J$5:$J$600,MATCH(B451,Applications!$A$5:$A$600,0)),INDEX(Applications!$K$5:$K$600,MATCH(B451,Applications!$A$5:$A$600,0))))=D451,"OK","Not assigned"),"Check ID"))</f>
        <v>OK</v>
      </c>
      <c r="O451" s="7"/>
    </row>
    <row r="452" customFormat="false" ht="15" hidden="false" customHeight="false" outlineLevel="0" collapsed="false">
      <c r="A452" s="35" t="s">
        <v>1849</v>
      </c>
      <c r="B452" s="35" t="s">
        <v>911</v>
      </c>
      <c r="C452" s="37" t="str">
        <f aca="false">IF(B452="","",IFERROR(INDEX(Applications!$B$5:$B$600,MATCH(B452,Applications!$A$5:$A$600,0)),"Application ID not found"))</f>
        <v>Cali Food Ventures</v>
      </c>
      <c r="D452" s="35" t="s">
        <v>85</v>
      </c>
      <c r="E452" s="35" t="s">
        <v>83</v>
      </c>
      <c r="F452" s="36" t="n">
        <v>45944</v>
      </c>
      <c r="G452" s="35" t="n">
        <v>3</v>
      </c>
      <c r="H452" s="35" t="n">
        <v>3</v>
      </c>
      <c r="I452" s="35" t="n">
        <v>2</v>
      </c>
      <c r="J452" s="35" t="n">
        <v>3</v>
      </c>
      <c r="K452" s="35" t="n">
        <v>3</v>
      </c>
      <c r="L452" s="35" t="n">
        <v>3</v>
      </c>
      <c r="M452" s="50" t="n">
        <f aca="false">IF(COUNT(G452:L452)&lt;6,"",ROUND((G452*Rubric!$D$5+H452*Rubric!$D$6+I452*Rubric!$D$7+J452*Rubric!$D$8+K452*Rubric!$D$9+L452*Rubric!$D$10)/5*100,1))</f>
        <v>56</v>
      </c>
      <c r="N452" s="37" t="str">
        <f aca="false">IF(OR(B452="",D452=""),"",IFERROR(IF(IF(E452="Primary",INDEX(Applications!$I$5:$I$600,MATCH(B452,Applications!$A$5:$A$600,0)),IF(E452="Secondary",INDEX(Applications!$J$5:$J$600,MATCH(B452,Applications!$A$5:$A$600,0)),INDEX(Applications!$K$5:$K$600,MATCH(B452,Applications!$A$5:$A$600,0))))=D452,"OK","Not assigned"),"Check ID"))</f>
        <v>OK</v>
      </c>
      <c r="O452" s="7"/>
    </row>
    <row r="453" customFormat="false" ht="15" hidden="false" customHeight="false" outlineLevel="0" collapsed="false">
      <c r="A453" s="35" t="s">
        <v>1850</v>
      </c>
      <c r="B453" s="35" t="s">
        <v>1099</v>
      </c>
      <c r="C453" s="37" t="str">
        <f aca="false">IF(B453="","",IFERROR(INDEX(Applications!$B$5:$B$600,MATCH(B453,Applications!$A$5:$A$600,0)),"Application ID not found"))</f>
        <v>Parkside Community Pantry</v>
      </c>
      <c r="D453" s="35" t="s">
        <v>85</v>
      </c>
      <c r="E453" s="35" t="s">
        <v>80</v>
      </c>
      <c r="F453" s="36" t="n">
        <v>45944</v>
      </c>
      <c r="G453" s="35" t="n">
        <v>3</v>
      </c>
      <c r="H453" s="35" t="n">
        <v>4</v>
      </c>
      <c r="I453" s="35" t="n">
        <v>3</v>
      </c>
      <c r="J453" s="35" t="n">
        <v>3</v>
      </c>
      <c r="K453" s="35" t="n">
        <v>3</v>
      </c>
      <c r="L453" s="35" t="n">
        <v>4</v>
      </c>
      <c r="M453" s="50" t="n">
        <f aca="false">IF(COUNT(G453:L453)&lt;6,"",ROUND((G453*Rubric!$D$5+H453*Rubric!$D$6+I453*Rubric!$D$7+J453*Rubric!$D$8+K453*Rubric!$D$9+L453*Rubric!$D$10)/5*100,1))</f>
        <v>66</v>
      </c>
      <c r="N453" s="37" t="str">
        <f aca="false">IF(OR(B453="",D453=""),"",IFERROR(IF(IF(E453="Primary",INDEX(Applications!$I$5:$I$600,MATCH(B453,Applications!$A$5:$A$600,0)),IF(E453="Secondary",INDEX(Applications!$J$5:$J$600,MATCH(B453,Applications!$A$5:$A$600,0)),INDEX(Applications!$K$5:$K$600,MATCH(B453,Applications!$A$5:$A$600,0))))=D453,"OK","Not assigned"),"Check ID"))</f>
        <v>OK</v>
      </c>
      <c r="O453" s="7"/>
    </row>
    <row r="454" customFormat="false" ht="15" hidden="false" customHeight="false" outlineLevel="0" collapsed="false">
      <c r="A454" s="35" t="s">
        <v>1851</v>
      </c>
      <c r="B454" s="35" t="s">
        <v>1061</v>
      </c>
      <c r="C454" s="37" t="str">
        <f aca="false">IF(B454="","",IFERROR(INDEX(Applications!$B$5:$B$600,MATCH(B454,Applications!$A$5:$A$600,0)),"Application ID not found"))</f>
        <v>Greenway Family Center</v>
      </c>
      <c r="D454" s="35" t="s">
        <v>85</v>
      </c>
      <c r="E454" s="35" t="s">
        <v>80</v>
      </c>
      <c r="F454" s="36" t="n">
        <v>45944</v>
      </c>
      <c r="G454" s="35" t="n">
        <v>4</v>
      </c>
      <c r="H454" s="35" t="n">
        <v>5</v>
      </c>
      <c r="I454" s="35" t="n">
        <v>4</v>
      </c>
      <c r="J454" s="35" t="n">
        <v>5</v>
      </c>
      <c r="K454" s="35" t="n">
        <v>5</v>
      </c>
      <c r="L454" s="35" t="n">
        <v>5</v>
      </c>
      <c r="M454" s="50" t="n">
        <f aca="false">IF(COUNT(G454:L454)&lt;6,"",ROUND((G454*Rubric!$D$5+H454*Rubric!$D$6+I454*Rubric!$D$7+J454*Rubric!$D$8+K454*Rubric!$D$9+L454*Rubric!$D$10)/5*100,1))</f>
        <v>91</v>
      </c>
      <c r="N454" s="37" t="str">
        <f aca="false">IF(OR(B454="",D454=""),"",IFERROR(IF(IF(E454="Primary",INDEX(Applications!$I$5:$I$600,MATCH(B454,Applications!$A$5:$A$600,0)),IF(E454="Secondary",INDEX(Applications!$J$5:$J$600,MATCH(B454,Applications!$A$5:$A$600,0)),INDEX(Applications!$K$5:$K$600,MATCH(B454,Applications!$A$5:$A$600,0))))=D454,"OK","Not assigned"),"Check ID"))</f>
        <v>OK</v>
      </c>
      <c r="O454" s="7"/>
    </row>
    <row r="455" customFormat="false" ht="15" hidden="false" customHeight="false" outlineLevel="0" collapsed="false">
      <c r="A455" s="35" t="s">
        <v>1852</v>
      </c>
      <c r="B455" s="35" t="s">
        <v>607</v>
      </c>
      <c r="C455" s="37" t="str">
        <f aca="false">IF(B455="","",IFERROR(INDEX(Applications!$B$5:$B$600,MATCH(B455,Applications!$A$5:$A$600,0)),"Application ID not found"))</f>
        <v>Harbor Food Bank</v>
      </c>
      <c r="D455" s="35" t="s">
        <v>85</v>
      </c>
      <c r="E455" s="35" t="s">
        <v>83</v>
      </c>
      <c r="F455" s="36" t="n">
        <v>45944</v>
      </c>
      <c r="G455" s="35" t="n">
        <v>4</v>
      </c>
      <c r="H455" s="35" t="n">
        <v>3</v>
      </c>
      <c r="I455" s="35" t="n">
        <v>3</v>
      </c>
      <c r="J455" s="35" t="n">
        <v>3</v>
      </c>
      <c r="K455" s="35" t="n">
        <v>3</v>
      </c>
      <c r="L455" s="35" t="n">
        <v>3</v>
      </c>
      <c r="M455" s="50" t="n">
        <f aca="false">IF(COUNT(G455:L455)&lt;6,"",ROUND((G455*Rubric!$D$5+H455*Rubric!$D$6+I455*Rubric!$D$7+J455*Rubric!$D$8+K455*Rubric!$D$9+L455*Rubric!$D$10)/5*100,1))</f>
        <v>65</v>
      </c>
      <c r="N455" s="37" t="str">
        <f aca="false">IF(OR(B455="",D455=""),"",IFERROR(IF(IF(E455="Primary",INDEX(Applications!$I$5:$I$600,MATCH(B455,Applications!$A$5:$A$600,0)),IF(E455="Secondary",INDEX(Applications!$J$5:$J$600,MATCH(B455,Applications!$A$5:$A$600,0)),INDEX(Applications!$K$5:$K$600,MATCH(B455,Applications!$A$5:$A$600,0))))=D455,"OK","Not assigned"),"Check ID"))</f>
        <v>OK</v>
      </c>
      <c r="O455" s="7" t="s">
        <v>1493</v>
      </c>
    </row>
    <row r="456" customFormat="false" ht="15" hidden="false" customHeight="false" outlineLevel="0" collapsed="false">
      <c r="A456" s="35" t="s">
        <v>1853</v>
      </c>
      <c r="B456" s="35" t="s">
        <v>907</v>
      </c>
      <c r="C456" s="37" t="str">
        <f aca="false">IF(B456="","",IFERROR(INDEX(Applications!$B$5:$B$600,MATCH(B456,Applications!$A$5:$A$600,0)),"Application ID not found"))</f>
        <v>Pittsburgh Seed Library</v>
      </c>
      <c r="D456" s="35" t="s">
        <v>78</v>
      </c>
      <c r="E456" s="35" t="s">
        <v>80</v>
      </c>
      <c r="F456" s="36" t="n">
        <v>45945</v>
      </c>
      <c r="G456" s="35" t="n">
        <v>4</v>
      </c>
      <c r="H456" s="35" t="n">
        <v>4</v>
      </c>
      <c r="I456" s="35" t="n">
        <v>4</v>
      </c>
      <c r="J456" s="35" t="n">
        <v>4</v>
      </c>
      <c r="K456" s="35" t="n">
        <v>4</v>
      </c>
      <c r="L456" s="35" t="n">
        <v>5</v>
      </c>
      <c r="M456" s="50" t="n">
        <f aca="false">IF(COUNT(G456:L456)&lt;6,"",ROUND((G456*Rubric!$D$5+H456*Rubric!$D$6+I456*Rubric!$D$7+J456*Rubric!$D$8+K456*Rubric!$D$9+L456*Rubric!$D$10)/5*100,1))</f>
        <v>82</v>
      </c>
      <c r="N456" s="37" t="str">
        <f aca="false">IF(OR(B456="",D456=""),"",IFERROR(IF(IF(E456="Primary",INDEX(Applications!$I$5:$I$600,MATCH(B456,Applications!$A$5:$A$600,0)),IF(E456="Secondary",INDEX(Applications!$J$5:$J$600,MATCH(B456,Applications!$A$5:$A$600,0)),INDEX(Applications!$K$5:$K$600,MATCH(B456,Applications!$A$5:$A$600,0))))=D456,"OK","Not assigned"),"Check ID"))</f>
        <v>OK</v>
      </c>
      <c r="O456" s="7" t="s">
        <v>1592</v>
      </c>
    </row>
    <row r="457" customFormat="false" ht="15" hidden="false" customHeight="false" outlineLevel="0" collapsed="false">
      <c r="A457" s="35" t="s">
        <v>1854</v>
      </c>
      <c r="B457" s="35" t="s">
        <v>472</v>
      </c>
      <c r="C457" s="37" t="str">
        <f aca="false">IF(B457="","",IFERROR(INDEX(Applications!$B$5:$B$600,MATCH(B457,Applications!$A$5:$A$600,0)),"Application ID not found"))</f>
        <v>Yakima Community Kitchen</v>
      </c>
      <c r="D457" s="35" t="s">
        <v>78</v>
      </c>
      <c r="E457" s="35" t="s">
        <v>83</v>
      </c>
      <c r="F457" s="36" t="n">
        <v>45945</v>
      </c>
      <c r="G457" s="35" t="n">
        <v>3</v>
      </c>
      <c r="H457" s="35" t="n">
        <v>4</v>
      </c>
      <c r="I457" s="35" t="n">
        <v>3</v>
      </c>
      <c r="J457" s="35" t="n">
        <v>4</v>
      </c>
      <c r="K457" s="35" t="n">
        <v>4</v>
      </c>
      <c r="L457" s="35" t="n">
        <v>3</v>
      </c>
      <c r="M457" s="50" t="n">
        <f aca="false">IF(COUNT(G457:L457)&lt;6,"",ROUND((G457*Rubric!$D$5+H457*Rubric!$D$6+I457*Rubric!$D$7+J457*Rubric!$D$8+K457*Rubric!$D$9+L457*Rubric!$D$10)/5*100,1))</f>
        <v>69</v>
      </c>
      <c r="N457" s="37" t="str">
        <f aca="false">IF(OR(B457="",D457=""),"",IFERROR(IF(IF(E457="Primary",INDEX(Applications!$I$5:$I$600,MATCH(B457,Applications!$A$5:$A$600,0)),IF(E457="Secondary",INDEX(Applications!$J$5:$J$600,MATCH(B457,Applications!$A$5:$A$600,0)),INDEX(Applications!$K$5:$K$600,MATCH(B457,Applications!$A$5:$A$600,0))))=D457,"OK","Not assigned"),"Check ID"))</f>
        <v>OK</v>
      </c>
      <c r="O457" s="7"/>
    </row>
    <row r="458" customFormat="false" ht="15" hidden="false" customHeight="false" outlineLevel="0" collapsed="false">
      <c r="A458" s="35" t="s">
        <v>1855</v>
      </c>
      <c r="B458" s="35" t="s">
        <v>615</v>
      </c>
      <c r="C458" s="37" t="str">
        <f aca="false">IF(B458="","",IFERROR(INDEX(Applications!$B$5:$B$600,MATCH(B458,Applications!$A$5:$A$600,0)),"Application ID not found"))</f>
        <v>Accra Schools Nutrition Fund</v>
      </c>
      <c r="D458" s="35" t="s">
        <v>78</v>
      </c>
      <c r="E458" s="35" t="s">
        <v>83</v>
      </c>
      <c r="F458" s="36" t="n">
        <v>45945</v>
      </c>
      <c r="G458" s="35" t="n">
        <v>3</v>
      </c>
      <c r="H458" s="35" t="n">
        <v>2</v>
      </c>
      <c r="I458" s="35" t="n">
        <v>3</v>
      </c>
      <c r="J458" s="35" t="n">
        <v>3</v>
      </c>
      <c r="K458" s="35" t="n">
        <v>2</v>
      </c>
      <c r="L458" s="35" t="n">
        <v>3</v>
      </c>
      <c r="M458" s="50" t="n">
        <f aca="false">IF(COUNT(G458:L458)&lt;6,"",ROUND((G458*Rubric!$D$5+H458*Rubric!$D$6+I458*Rubric!$D$7+J458*Rubric!$D$8+K458*Rubric!$D$9+L458*Rubric!$D$10)/5*100,1))</f>
        <v>54</v>
      </c>
      <c r="N458" s="37" t="str">
        <f aca="false">IF(OR(B458="",D458=""),"",IFERROR(IF(IF(E458="Primary",INDEX(Applications!$I$5:$I$600,MATCH(B458,Applications!$A$5:$A$600,0)),IF(E458="Secondary",INDEX(Applications!$J$5:$J$600,MATCH(B458,Applications!$A$5:$A$600,0)),INDEX(Applications!$K$5:$K$600,MATCH(B458,Applications!$A$5:$A$600,0))))=D458,"OK","Not assigned"),"Check ID"))</f>
        <v>OK</v>
      </c>
      <c r="O458" s="7"/>
    </row>
    <row r="459" customFormat="false" ht="15" hidden="false" customHeight="false" outlineLevel="0" collapsed="false">
      <c r="A459" s="35" t="s">
        <v>1856</v>
      </c>
      <c r="B459" s="35" t="s">
        <v>733</v>
      </c>
      <c r="C459" s="37" t="str">
        <f aca="false">IF(B459="","",IFERROR(INDEX(Applications!$B$5:$B$600,MATCH(B459,Applications!$A$5:$A$600,0)),"Application ID not found"))</f>
        <v>Boise Meals Project</v>
      </c>
      <c r="D459" s="35" t="s">
        <v>78</v>
      </c>
      <c r="E459" s="35" t="s">
        <v>83</v>
      </c>
      <c r="F459" s="36" t="n">
        <v>45945</v>
      </c>
      <c r="G459" s="35" t="n">
        <v>3</v>
      </c>
      <c r="H459" s="35" t="n">
        <v>3</v>
      </c>
      <c r="I459" s="35" t="n">
        <v>3</v>
      </c>
      <c r="J459" s="35" t="n">
        <v>3</v>
      </c>
      <c r="K459" s="35" t="n">
        <v>2</v>
      </c>
      <c r="L459" s="35" t="n">
        <v>2</v>
      </c>
      <c r="M459" s="50" t="n">
        <f aca="false">IF(COUNT(G459:L459)&lt;6,"",ROUND((G459*Rubric!$D$5+H459*Rubric!$D$6+I459*Rubric!$D$7+J459*Rubric!$D$8+K459*Rubric!$D$9+L459*Rubric!$D$10)/5*100,1))</f>
        <v>56</v>
      </c>
      <c r="N459" s="37" t="str">
        <f aca="false">IF(OR(B459="",D459=""),"",IFERROR(IF(IF(E459="Primary",INDEX(Applications!$I$5:$I$600,MATCH(B459,Applications!$A$5:$A$600,0)),IF(E459="Secondary",INDEX(Applications!$J$5:$J$600,MATCH(B459,Applications!$A$5:$A$600,0)),INDEX(Applications!$K$5:$K$600,MATCH(B459,Applications!$A$5:$A$600,0))))=D459,"OK","Not assigned"),"Check ID"))</f>
        <v>OK</v>
      </c>
      <c r="O459" s="7"/>
    </row>
    <row r="460" customFormat="false" ht="15" hidden="false" customHeight="false" outlineLevel="0" collapsed="false">
      <c r="A460" s="35" t="s">
        <v>1857</v>
      </c>
      <c r="B460" s="35" t="s">
        <v>1257</v>
      </c>
      <c r="C460" s="37" t="str">
        <f aca="false">IF(B460="","",IFERROR(INDEX(Applications!$B$5:$B$600,MATCH(B460,Applications!$A$5:$A$600,0)),"Application ID not found"))</f>
        <v>Old Town Food Bank</v>
      </c>
      <c r="D460" s="35" t="s">
        <v>78</v>
      </c>
      <c r="E460" s="35" t="s">
        <v>83</v>
      </c>
      <c r="F460" s="36" t="n">
        <v>45945</v>
      </c>
      <c r="G460" s="35" t="n">
        <v>5</v>
      </c>
      <c r="H460" s="35" t="n">
        <v>4</v>
      </c>
      <c r="I460" s="35" t="n">
        <v>5</v>
      </c>
      <c r="J460" s="35" t="n">
        <v>5</v>
      </c>
      <c r="K460" s="35" t="n">
        <v>5</v>
      </c>
      <c r="L460" s="35" t="n">
        <v>5</v>
      </c>
      <c r="M460" s="50" t="n">
        <f aca="false">IF(COUNT(G460:L460)&lt;6,"",ROUND((G460*Rubric!$D$5+H460*Rubric!$D$6+I460*Rubric!$D$7+J460*Rubric!$D$8+K460*Rubric!$D$9+L460*Rubric!$D$10)/5*100,1))</f>
        <v>96</v>
      </c>
      <c r="N460" s="37" t="str">
        <f aca="false">IF(OR(B460="",D460=""),"",IFERROR(IF(IF(E460="Primary",INDEX(Applications!$I$5:$I$600,MATCH(B460,Applications!$A$5:$A$600,0)),IF(E460="Secondary",INDEX(Applications!$J$5:$J$600,MATCH(B460,Applications!$A$5:$A$600,0)),INDEX(Applications!$K$5:$K$600,MATCH(B460,Applications!$A$5:$A$600,0))))=D460,"OK","Not assigned"),"Check ID"))</f>
        <v>OK</v>
      </c>
      <c r="O460" s="7"/>
    </row>
    <row r="461" customFormat="false" ht="15" hidden="false" customHeight="false" outlineLevel="0" collapsed="false">
      <c r="A461" s="35" t="s">
        <v>1858</v>
      </c>
      <c r="B461" s="35" t="s">
        <v>593</v>
      </c>
      <c r="C461" s="37" t="str">
        <f aca="false">IF(B461="","",IFERROR(INDEX(Applications!$B$5:$B$600,MATCH(B461,Applications!$A$5:$A$600,0)),"Application ID not found"))</f>
        <v>Louisville Food Ventures</v>
      </c>
      <c r="D461" s="35" t="s">
        <v>78</v>
      </c>
      <c r="E461" s="35" t="s">
        <v>83</v>
      </c>
      <c r="F461" s="36" t="n">
        <v>45945</v>
      </c>
      <c r="G461" s="35" t="n">
        <v>3</v>
      </c>
      <c r="H461" s="35" t="n">
        <v>2</v>
      </c>
      <c r="I461" s="35" t="n">
        <v>3</v>
      </c>
      <c r="J461" s="35" t="n">
        <v>3</v>
      </c>
      <c r="K461" s="35" t="n">
        <v>3</v>
      </c>
      <c r="L461" s="35" t="n">
        <v>3</v>
      </c>
      <c r="M461" s="50" t="n">
        <f aca="false">IF(COUNT(G461:L461)&lt;6,"",ROUND((G461*Rubric!$D$5+H461*Rubric!$D$6+I461*Rubric!$D$7+J461*Rubric!$D$8+K461*Rubric!$D$9+L461*Rubric!$D$10)/5*100,1))</f>
        <v>56</v>
      </c>
      <c r="N461" s="37" t="str">
        <f aca="false">IF(OR(B461="",D461=""),"",IFERROR(IF(IF(E461="Primary",INDEX(Applications!$I$5:$I$600,MATCH(B461,Applications!$A$5:$A$600,0)),IF(E461="Secondary",INDEX(Applications!$J$5:$J$600,MATCH(B461,Applications!$A$5:$A$600,0)),INDEX(Applications!$K$5:$K$600,MATCH(B461,Applications!$A$5:$A$600,0))))=D461,"OK","Not assigned"),"Check ID"))</f>
        <v>OK</v>
      </c>
      <c r="O461" s="7"/>
    </row>
    <row r="462" customFormat="false" ht="15" hidden="false" customHeight="false" outlineLevel="0" collapsed="false">
      <c r="A462" s="35" t="s">
        <v>1859</v>
      </c>
      <c r="B462" s="35" t="s">
        <v>416</v>
      </c>
      <c r="C462" s="37" t="str">
        <f aca="false">IF(B462="","",IFERROR(INDEX(Applications!$B$5:$B$600,MATCH(B462,Applications!$A$5:$A$600,0)),"Application ID not found"))</f>
        <v>Jaipur Food Shelf</v>
      </c>
      <c r="D462" s="35" t="s">
        <v>78</v>
      </c>
      <c r="E462" s="35" t="s">
        <v>83</v>
      </c>
      <c r="F462" s="36" t="n">
        <v>45945</v>
      </c>
      <c r="G462" s="35" t="n">
        <v>3</v>
      </c>
      <c r="H462" s="35" t="n">
        <v>3</v>
      </c>
      <c r="I462" s="35" t="n">
        <v>4</v>
      </c>
      <c r="J462" s="35" t="n">
        <v>3</v>
      </c>
      <c r="K462" s="35" t="n">
        <v>3</v>
      </c>
      <c r="L462" s="35" t="n">
        <v>3</v>
      </c>
      <c r="M462" s="50" t="n">
        <f aca="false">IF(COUNT(G462:L462)&lt;6,"",ROUND((G462*Rubric!$D$5+H462*Rubric!$D$6+I462*Rubric!$D$7+J462*Rubric!$D$8+K462*Rubric!$D$9+L462*Rubric!$D$10)/5*100,1))</f>
        <v>64</v>
      </c>
      <c r="N462" s="37" t="str">
        <f aca="false">IF(OR(B462="",D462=""),"",IFERROR(IF(IF(E462="Primary",INDEX(Applications!$I$5:$I$600,MATCH(B462,Applications!$A$5:$A$600,0)),IF(E462="Secondary",INDEX(Applications!$J$5:$J$600,MATCH(B462,Applications!$A$5:$A$600,0)),INDEX(Applications!$K$5:$K$600,MATCH(B462,Applications!$A$5:$A$600,0))))=D462,"OK","Not assigned"),"Check ID"))</f>
        <v>OK</v>
      </c>
      <c r="O462" s="7"/>
    </row>
    <row r="463" customFormat="false" ht="15" hidden="false" customHeight="false" outlineLevel="0" collapsed="false">
      <c r="A463" s="35" t="s">
        <v>1860</v>
      </c>
      <c r="B463" s="35" t="s">
        <v>895</v>
      </c>
      <c r="C463" s="37" t="str">
        <f aca="false">IF(B463="","",IFERROR(INDEX(Applications!$B$5:$B$600,MATCH(B463,Applications!$A$5:$A$600,0)),"Application ID not found"))</f>
        <v>Lima Cafe Training Program</v>
      </c>
      <c r="D463" s="35" t="s">
        <v>78</v>
      </c>
      <c r="E463" s="35" t="s">
        <v>80</v>
      </c>
      <c r="F463" s="36" t="n">
        <v>45945</v>
      </c>
      <c r="G463" s="35" t="n">
        <v>3</v>
      </c>
      <c r="H463" s="35" t="n">
        <v>4</v>
      </c>
      <c r="I463" s="35" t="n">
        <v>4</v>
      </c>
      <c r="J463" s="35" t="n">
        <v>4</v>
      </c>
      <c r="K463" s="35" t="n">
        <v>5</v>
      </c>
      <c r="L463" s="35" t="n">
        <v>4</v>
      </c>
      <c r="M463" s="50" t="n">
        <f aca="false">IF(COUNT(G463:L463)&lt;6,"",ROUND((G463*Rubric!$D$5+H463*Rubric!$D$6+I463*Rubric!$D$7+J463*Rubric!$D$8+K463*Rubric!$D$9+L463*Rubric!$D$10)/5*100,1))</f>
        <v>77</v>
      </c>
      <c r="N463" s="37" t="str">
        <f aca="false">IF(OR(B463="",D463=""),"",IFERROR(IF(IF(E463="Primary",INDEX(Applications!$I$5:$I$600,MATCH(B463,Applications!$A$5:$A$600,0)),IF(E463="Secondary",INDEX(Applications!$J$5:$J$600,MATCH(B463,Applications!$A$5:$A$600,0)),INDEX(Applications!$K$5:$K$600,MATCH(B463,Applications!$A$5:$A$600,0))))=D463,"OK","Not assigned"),"Check ID"))</f>
        <v>OK</v>
      </c>
      <c r="O463" s="7"/>
    </row>
    <row r="464" customFormat="false" ht="15" hidden="false" customHeight="false" outlineLevel="0" collapsed="false">
      <c r="A464" s="35" t="s">
        <v>1861</v>
      </c>
      <c r="B464" s="35" t="s">
        <v>971</v>
      </c>
      <c r="C464" s="37" t="str">
        <f aca="false">IF(B464="","",IFERROR(INDEX(Applications!$B$5:$B$600,MATCH(B464,Applications!$A$5:$A$600,0)),"Application ID not found"))</f>
        <v>Fresno Schools Nutrition Fund</v>
      </c>
      <c r="D464" s="35" t="s">
        <v>78</v>
      </c>
      <c r="E464" s="35" t="s">
        <v>83</v>
      </c>
      <c r="F464" s="36" t="n">
        <v>45945</v>
      </c>
      <c r="G464" s="35" t="n">
        <v>4</v>
      </c>
      <c r="H464" s="35" t="n">
        <v>4</v>
      </c>
      <c r="I464" s="35" t="n">
        <v>4</v>
      </c>
      <c r="J464" s="35" t="n">
        <v>4</v>
      </c>
      <c r="K464" s="35" t="n">
        <v>3</v>
      </c>
      <c r="L464" s="35" t="n">
        <v>4</v>
      </c>
      <c r="M464" s="50" t="n">
        <f aca="false">IF(COUNT(G464:L464)&lt;6,"",ROUND((G464*Rubric!$D$5+H464*Rubric!$D$6+I464*Rubric!$D$7+J464*Rubric!$D$8+K464*Rubric!$D$9+L464*Rubric!$D$10)/5*100,1))</f>
        <v>78</v>
      </c>
      <c r="N464" s="37" t="str">
        <f aca="false">IF(OR(B464="",D464=""),"",IFERROR(IF(IF(E464="Primary",INDEX(Applications!$I$5:$I$600,MATCH(B464,Applications!$A$5:$A$600,0)),IF(E464="Secondary",INDEX(Applications!$J$5:$J$600,MATCH(B464,Applications!$A$5:$A$600,0)),INDEX(Applications!$K$5:$K$600,MATCH(B464,Applications!$A$5:$A$600,0))))=D464,"OK","Not assigned"),"Check ID"))</f>
        <v>OK</v>
      </c>
      <c r="O464" s="7" t="s">
        <v>1592</v>
      </c>
    </row>
    <row r="465" customFormat="false" ht="15" hidden="false" customHeight="false" outlineLevel="0" collapsed="false">
      <c r="A465" s="35" t="s">
        <v>1862</v>
      </c>
      <c r="B465" s="35" t="s">
        <v>745</v>
      </c>
      <c r="C465" s="37" t="str">
        <f aca="false">IF(B465="","",IFERROR(INDEX(Applications!$B$5:$B$600,MATCH(B465,Applications!$A$5:$A$600,0)),"Application ID not found"))</f>
        <v>Southfield Mobile Market</v>
      </c>
      <c r="D465" s="35" t="s">
        <v>78</v>
      </c>
      <c r="E465" s="35" t="s">
        <v>83</v>
      </c>
      <c r="F465" s="36" t="n">
        <v>45945</v>
      </c>
      <c r="G465" s="35" t="n">
        <v>4</v>
      </c>
      <c r="H465" s="35" t="n">
        <v>3</v>
      </c>
      <c r="I465" s="35" t="n">
        <v>4</v>
      </c>
      <c r="J465" s="35" t="n">
        <v>4</v>
      </c>
      <c r="K465" s="35" t="n">
        <v>4</v>
      </c>
      <c r="L465" s="35" t="n">
        <v>4</v>
      </c>
      <c r="M465" s="50" t="n">
        <f aca="false">IF(COUNT(G465:L465)&lt;6,"",ROUND((G465*Rubric!$D$5+H465*Rubric!$D$6+I465*Rubric!$D$7+J465*Rubric!$D$8+K465*Rubric!$D$9+L465*Rubric!$D$10)/5*100,1))</f>
        <v>76</v>
      </c>
      <c r="N465" s="37" t="str">
        <f aca="false">IF(OR(B465="",D465=""),"",IFERROR(IF(IF(E465="Primary",INDEX(Applications!$I$5:$I$600,MATCH(B465,Applications!$A$5:$A$600,0)),IF(E465="Secondary",INDEX(Applications!$J$5:$J$600,MATCH(B465,Applications!$A$5:$A$600,0)),INDEX(Applications!$K$5:$K$600,MATCH(B465,Applications!$A$5:$A$600,0))))=D465,"OK","Not assigned"),"Check ID"))</f>
        <v>OK</v>
      </c>
      <c r="O465" s="7"/>
    </row>
    <row r="466" customFormat="false" ht="15" hidden="false" customHeight="false" outlineLevel="0" collapsed="false">
      <c r="A466" s="35" t="s">
        <v>1863</v>
      </c>
      <c r="B466" s="35" t="s">
        <v>1171</v>
      </c>
      <c r="C466" s="37" t="str">
        <f aca="false">IF(B466="","",IFERROR(INDEX(Applications!$B$5:$B$600,MATCH(B466,Applications!$A$5:$A$600,0)),"Application ID not found"))</f>
        <v>Peoria Farm School</v>
      </c>
      <c r="D466" s="35" t="s">
        <v>78</v>
      </c>
      <c r="E466" s="35" t="s">
        <v>80</v>
      </c>
      <c r="F466" s="36" t="n">
        <v>45945</v>
      </c>
      <c r="G466" s="35" t="n">
        <v>3</v>
      </c>
      <c r="H466" s="35" t="n">
        <v>3</v>
      </c>
      <c r="I466" s="35" t="n">
        <v>3</v>
      </c>
      <c r="J466" s="35" t="n">
        <v>4</v>
      </c>
      <c r="K466" s="35" t="n">
        <v>3</v>
      </c>
      <c r="L466" s="35" t="n">
        <v>3</v>
      </c>
      <c r="M466" s="50" t="n">
        <f aca="false">IF(COUNT(G466:L466)&lt;6,"",ROUND((G466*Rubric!$D$5+H466*Rubric!$D$6+I466*Rubric!$D$7+J466*Rubric!$D$8+K466*Rubric!$D$9+L466*Rubric!$D$10)/5*100,1))</f>
        <v>63</v>
      </c>
      <c r="N466" s="37" t="str">
        <f aca="false">IF(OR(B466="",D466=""),"",IFERROR(IF(IF(E466="Primary",INDEX(Applications!$I$5:$I$600,MATCH(B466,Applications!$A$5:$A$600,0)),IF(E466="Secondary",INDEX(Applications!$J$5:$J$600,MATCH(B466,Applications!$A$5:$A$600,0)),INDEX(Applications!$K$5:$K$600,MATCH(B466,Applications!$A$5:$A$600,0))))=D466,"OK","Not assigned"),"Check ID"))</f>
        <v>OK</v>
      </c>
      <c r="O466" s="7"/>
    </row>
    <row r="467" customFormat="false" ht="15" hidden="false" customHeight="false" outlineLevel="0" collapsed="false">
      <c r="A467" s="35" t="s">
        <v>1864</v>
      </c>
      <c r="B467" s="35" t="s">
        <v>442</v>
      </c>
      <c r="C467" s="37" t="str">
        <f aca="false">IF(B467="","",IFERROR(INDEX(Applications!$B$5:$B$600,MATCH(B467,Applications!$A$5:$A$600,0)),"Application ID not found"))</f>
        <v>Stonebridge Community Kitchen</v>
      </c>
      <c r="D467" s="35" t="s">
        <v>78</v>
      </c>
      <c r="E467" s="35" t="s">
        <v>80</v>
      </c>
      <c r="F467" s="36" t="n">
        <v>45945</v>
      </c>
      <c r="G467" s="35" t="n">
        <v>4</v>
      </c>
      <c r="H467" s="35" t="n">
        <v>4</v>
      </c>
      <c r="I467" s="35" t="n">
        <v>3</v>
      </c>
      <c r="J467" s="35" t="n">
        <v>4</v>
      </c>
      <c r="K467" s="35" t="n">
        <v>3</v>
      </c>
      <c r="L467" s="35" t="n">
        <v>3</v>
      </c>
      <c r="M467" s="50" t="n">
        <f aca="false">IF(COUNT(G467:L467)&lt;6,"",ROUND((G467*Rubric!$D$5+H467*Rubric!$D$6+I467*Rubric!$D$7+J467*Rubric!$D$8+K467*Rubric!$D$9+L467*Rubric!$D$10)/5*100,1))</f>
        <v>72</v>
      </c>
      <c r="N467" s="37" t="str">
        <f aca="false">IF(OR(B467="",D467=""),"",IFERROR(IF(IF(E467="Primary",INDEX(Applications!$I$5:$I$600,MATCH(B467,Applications!$A$5:$A$600,0)),IF(E467="Secondary",INDEX(Applications!$J$5:$J$600,MATCH(B467,Applications!$A$5:$A$600,0)),INDEX(Applications!$K$5:$K$600,MATCH(B467,Applications!$A$5:$A$600,0))))=D467,"OK","Not assigned"),"Check ID"))</f>
        <v>OK</v>
      </c>
      <c r="O467" s="7"/>
    </row>
    <row r="468" customFormat="false" ht="15" hidden="false" customHeight="false" outlineLevel="0" collapsed="false">
      <c r="A468" s="35" t="s">
        <v>1865</v>
      </c>
      <c r="B468" s="35" t="s">
        <v>380</v>
      </c>
      <c r="C468" s="37" t="str">
        <f aca="false">IF(B468="","",IFERROR(INDEX(Applications!$B$5:$B$600,MATCH(B468,Applications!$A$5:$A$600,0)),"Application ID not found"))</f>
        <v>Ironwood Mobile Market</v>
      </c>
      <c r="D468" s="35" t="s">
        <v>78</v>
      </c>
      <c r="E468" s="35" t="s">
        <v>83</v>
      </c>
      <c r="F468" s="36" t="n">
        <v>45945</v>
      </c>
      <c r="G468" s="35" t="n">
        <v>3</v>
      </c>
      <c r="H468" s="35" t="n">
        <v>4</v>
      </c>
      <c r="I468" s="35" t="n">
        <v>4</v>
      </c>
      <c r="J468" s="35" t="n">
        <v>4</v>
      </c>
      <c r="K468" s="35" t="n">
        <v>4</v>
      </c>
      <c r="L468" s="35" t="n">
        <v>4</v>
      </c>
      <c r="M468" s="50" t="n">
        <f aca="false">IF(COUNT(G468:L468)&lt;6,"",ROUND((G468*Rubric!$D$5+H468*Rubric!$D$6+I468*Rubric!$D$7+J468*Rubric!$D$8+K468*Rubric!$D$9+L468*Rubric!$D$10)/5*100,1))</f>
        <v>75</v>
      </c>
      <c r="N468" s="37" t="str">
        <f aca="false">IF(OR(B468="",D468=""),"",IFERROR(IF(IF(E468="Primary",INDEX(Applications!$I$5:$I$600,MATCH(B468,Applications!$A$5:$A$600,0)),IF(E468="Secondary",INDEX(Applications!$J$5:$J$600,MATCH(B468,Applications!$A$5:$A$600,0)),INDEX(Applications!$K$5:$K$600,MATCH(B468,Applications!$A$5:$A$600,0))))=D468,"OK","Not assigned"),"Check ID"))</f>
        <v>OK</v>
      </c>
      <c r="O468" s="7"/>
    </row>
    <row r="469" customFormat="false" ht="15" hidden="false" customHeight="false" outlineLevel="0" collapsed="false">
      <c r="A469" s="35" t="s">
        <v>1866</v>
      </c>
      <c r="B469" s="35" t="s">
        <v>689</v>
      </c>
      <c r="C469" s="37" t="str">
        <f aca="false">IF(B469="","",IFERROR(INDEX(Applications!$B$5:$B$600,MATCH(B469,Applications!$A$5:$A$600,0)),"Application ID not found"))</f>
        <v>Northside Food Shelf</v>
      </c>
      <c r="D469" s="35" t="s">
        <v>82</v>
      </c>
      <c r="E469" s="35" t="s">
        <v>80</v>
      </c>
      <c r="F469" s="36" t="n">
        <v>45945</v>
      </c>
      <c r="G469" s="35" t="n">
        <v>2</v>
      </c>
      <c r="H469" s="35" t="n">
        <v>3</v>
      </c>
      <c r="I469" s="35" t="n">
        <v>3</v>
      </c>
      <c r="J469" s="35" t="n">
        <v>2</v>
      </c>
      <c r="K469" s="35" t="n">
        <v>3</v>
      </c>
      <c r="L469" s="35" t="n">
        <v>3</v>
      </c>
      <c r="M469" s="50" t="n">
        <f aca="false">IF(COUNT(G469:L469)&lt;6,"",ROUND((G469*Rubric!$D$5+H469*Rubric!$D$6+I469*Rubric!$D$7+J469*Rubric!$D$8+K469*Rubric!$D$9+L469*Rubric!$D$10)/5*100,1))</f>
        <v>52</v>
      </c>
      <c r="N469" s="37" t="str">
        <f aca="false">IF(OR(B469="",D469=""),"",IFERROR(IF(IF(E469="Primary",INDEX(Applications!$I$5:$I$600,MATCH(B469,Applications!$A$5:$A$600,0)),IF(E469="Secondary",INDEX(Applications!$J$5:$J$600,MATCH(B469,Applications!$A$5:$A$600,0)),INDEX(Applications!$K$5:$K$600,MATCH(B469,Applications!$A$5:$A$600,0))))=D469,"OK","Not assigned"),"Check ID"))</f>
        <v>OK</v>
      </c>
      <c r="O469" s="7" t="s">
        <v>1416</v>
      </c>
    </row>
    <row r="470" customFormat="false" ht="15" hidden="false" customHeight="false" outlineLevel="0" collapsed="false">
      <c r="A470" s="35" t="s">
        <v>1867</v>
      </c>
      <c r="B470" s="35" t="s">
        <v>1163</v>
      </c>
      <c r="C470" s="37" t="str">
        <f aca="false">IF(B470="","",IFERROR(INDEX(Applications!$B$5:$B$600,MATCH(B470,Applications!$A$5:$A$600,0)),"Application ID not found"))</f>
        <v>Louisville Family Center</v>
      </c>
      <c r="D470" s="35" t="s">
        <v>82</v>
      </c>
      <c r="E470" s="35" t="s">
        <v>83</v>
      </c>
      <c r="F470" s="36" t="n">
        <v>45945</v>
      </c>
      <c r="G470" s="35" t="n">
        <v>2</v>
      </c>
      <c r="H470" s="35" t="n">
        <v>3</v>
      </c>
      <c r="I470" s="35" t="n">
        <v>3</v>
      </c>
      <c r="J470" s="35" t="n">
        <v>2</v>
      </c>
      <c r="K470" s="35" t="n">
        <v>3</v>
      </c>
      <c r="L470" s="35" t="n">
        <v>3</v>
      </c>
      <c r="M470" s="50" t="n">
        <f aca="false">IF(COUNT(G470:L470)&lt;6,"",ROUND((G470*Rubric!$D$5+H470*Rubric!$D$6+I470*Rubric!$D$7+J470*Rubric!$D$8+K470*Rubric!$D$9+L470*Rubric!$D$10)/5*100,1))</f>
        <v>52</v>
      </c>
      <c r="N470" s="37" t="str">
        <f aca="false">IF(OR(B470="",D470=""),"",IFERROR(IF(IF(E470="Primary",INDEX(Applications!$I$5:$I$600,MATCH(B470,Applications!$A$5:$A$600,0)),IF(E470="Secondary",INDEX(Applications!$J$5:$J$600,MATCH(B470,Applications!$A$5:$A$600,0)),INDEX(Applications!$K$5:$K$600,MATCH(B470,Applications!$A$5:$A$600,0))))=D470,"OK","Not assigned"),"Check ID"))</f>
        <v>OK</v>
      </c>
      <c r="O470" s="7" t="s">
        <v>1493</v>
      </c>
    </row>
    <row r="471" customFormat="false" ht="15" hidden="false" customHeight="false" outlineLevel="0" collapsed="false">
      <c r="A471" s="35" t="s">
        <v>1868</v>
      </c>
      <c r="B471" s="35" t="s">
        <v>735</v>
      </c>
      <c r="C471" s="37" t="str">
        <f aca="false">IF(B471="","",IFERROR(INDEX(Applications!$B$5:$B$600,MATCH(B471,Applications!$A$5:$A$600,0)),"Application ID not found"))</f>
        <v>Recife Food Ventures</v>
      </c>
      <c r="D471" s="35" t="s">
        <v>82</v>
      </c>
      <c r="E471" s="35" t="s">
        <v>80</v>
      </c>
      <c r="F471" s="36" t="n">
        <v>45945</v>
      </c>
      <c r="G471" s="35" t="n">
        <v>4</v>
      </c>
      <c r="H471" s="35" t="n">
        <v>4</v>
      </c>
      <c r="I471" s="35" t="n">
        <v>3</v>
      </c>
      <c r="J471" s="35" t="n">
        <v>4</v>
      </c>
      <c r="K471" s="35" t="n">
        <v>3</v>
      </c>
      <c r="L471" s="35" t="n">
        <v>4</v>
      </c>
      <c r="M471" s="50" t="n">
        <f aca="false">IF(COUNT(G471:L471)&lt;6,"",ROUND((G471*Rubric!$D$5+H471*Rubric!$D$6+I471*Rubric!$D$7+J471*Rubric!$D$8+K471*Rubric!$D$9+L471*Rubric!$D$10)/5*100,1))</f>
        <v>74</v>
      </c>
      <c r="N471" s="37" t="str">
        <f aca="false">IF(OR(B471="",D471=""),"",IFERROR(IF(IF(E471="Primary",INDEX(Applications!$I$5:$I$600,MATCH(B471,Applications!$A$5:$A$600,0)),IF(E471="Secondary",INDEX(Applications!$J$5:$J$600,MATCH(B471,Applications!$A$5:$A$600,0)),INDEX(Applications!$K$5:$K$600,MATCH(B471,Applications!$A$5:$A$600,0))))=D471,"OK","Not assigned"),"Check ID"))</f>
        <v>OK</v>
      </c>
      <c r="O471" s="7"/>
    </row>
    <row r="472" customFormat="false" ht="15" hidden="false" customHeight="false" outlineLevel="0" collapsed="false">
      <c r="A472" s="35" t="s">
        <v>1869</v>
      </c>
      <c r="B472" s="35" t="s">
        <v>947</v>
      </c>
      <c r="C472" s="37" t="str">
        <f aca="false">IF(B472="","",IFERROR(INDEX(Applications!$B$5:$B$600,MATCH(B472,Applications!$A$5:$A$600,0)),"Application ID not found"))</f>
        <v>Open Door Food Shelf</v>
      </c>
      <c r="D472" s="35" t="s">
        <v>82</v>
      </c>
      <c r="E472" s="35" t="s">
        <v>83</v>
      </c>
      <c r="F472" s="36" t="n">
        <v>45945</v>
      </c>
      <c r="G472" s="35" t="n">
        <v>4</v>
      </c>
      <c r="H472" s="35" t="n">
        <v>4</v>
      </c>
      <c r="I472" s="35" t="n">
        <v>5</v>
      </c>
      <c r="J472" s="35" t="n">
        <v>5</v>
      </c>
      <c r="K472" s="35" t="n">
        <v>3</v>
      </c>
      <c r="L472" s="35" t="n">
        <v>5</v>
      </c>
      <c r="M472" s="50" t="n">
        <f aca="false">IF(COUNT(G472:L472)&lt;6,"",ROUND((G472*Rubric!$D$5+H472*Rubric!$D$6+I472*Rubric!$D$7+J472*Rubric!$D$8+K472*Rubric!$D$9+L472*Rubric!$D$10)/5*100,1))</f>
        <v>87</v>
      </c>
      <c r="N472" s="37" t="str">
        <f aca="false">IF(OR(B472="",D472=""),"",IFERROR(IF(IF(E472="Primary",INDEX(Applications!$I$5:$I$600,MATCH(B472,Applications!$A$5:$A$600,0)),IF(E472="Secondary",INDEX(Applications!$J$5:$J$600,MATCH(B472,Applications!$A$5:$A$600,0)),INDEX(Applications!$K$5:$K$600,MATCH(B472,Applications!$A$5:$A$600,0))))=D472,"OK","Not assigned"),"Check ID"))</f>
        <v>OK</v>
      </c>
      <c r="O472" s="7" t="s">
        <v>1398</v>
      </c>
    </row>
    <row r="473" customFormat="false" ht="15" hidden="false" customHeight="false" outlineLevel="0" collapsed="false">
      <c r="A473" s="35" t="s">
        <v>1870</v>
      </c>
      <c r="B473" s="35" t="s">
        <v>1185</v>
      </c>
      <c r="C473" s="37" t="str">
        <f aca="false">IF(B473="","",IFERROR(INDEX(Applications!$B$5:$B$600,MATCH(B473,Applications!$A$5:$A$600,0)),"Application ID not found"))</f>
        <v>Des Moines Schools Nutrition Fund</v>
      </c>
      <c r="D473" s="35" t="s">
        <v>82</v>
      </c>
      <c r="E473" s="35" t="s">
        <v>83</v>
      </c>
      <c r="F473" s="36" t="n">
        <v>45945</v>
      </c>
      <c r="G473" s="35" t="n">
        <v>4</v>
      </c>
      <c r="H473" s="35" t="n">
        <v>4</v>
      </c>
      <c r="I473" s="35" t="n">
        <v>4</v>
      </c>
      <c r="J473" s="35" t="n">
        <v>4</v>
      </c>
      <c r="K473" s="35" t="n">
        <v>5</v>
      </c>
      <c r="L473" s="35" t="n">
        <v>5</v>
      </c>
      <c r="M473" s="50" t="n">
        <f aca="false">IF(COUNT(G473:L473)&lt;6,"",ROUND((G473*Rubric!$D$5+H473*Rubric!$D$6+I473*Rubric!$D$7+J473*Rubric!$D$8+K473*Rubric!$D$9+L473*Rubric!$D$10)/5*100,1))</f>
        <v>84</v>
      </c>
      <c r="N473" s="37" t="str">
        <f aca="false">IF(OR(B473="",D473=""),"",IFERROR(IF(IF(E473="Primary",INDEX(Applications!$I$5:$I$600,MATCH(B473,Applications!$A$5:$A$600,0)),IF(E473="Secondary",INDEX(Applications!$J$5:$J$600,MATCH(B473,Applications!$A$5:$A$600,0)),INDEX(Applications!$K$5:$K$600,MATCH(B473,Applications!$A$5:$A$600,0))))=D473,"OK","Not assigned"),"Check ID"))</f>
        <v>OK</v>
      </c>
      <c r="O473" s="7"/>
    </row>
    <row r="474" customFormat="false" ht="15" hidden="false" customHeight="false" outlineLevel="0" collapsed="false">
      <c r="A474" s="35" t="s">
        <v>1871</v>
      </c>
      <c r="B474" s="35" t="s">
        <v>697</v>
      </c>
      <c r="C474" s="37" t="str">
        <f aca="false">IF(B474="","",IFERROR(INDEX(Applications!$B$5:$B$600,MATCH(B474,Applications!$A$5:$A$600,0)),"Application ID not found"))</f>
        <v>Sunrise Community Pantry</v>
      </c>
      <c r="D474" s="35" t="s">
        <v>82</v>
      </c>
      <c r="E474" s="35" t="s">
        <v>80</v>
      </c>
      <c r="F474" s="36" t="n">
        <v>45945</v>
      </c>
      <c r="G474" s="35" t="n">
        <v>3</v>
      </c>
      <c r="H474" s="35" t="n">
        <v>3</v>
      </c>
      <c r="I474" s="35" t="n">
        <v>3</v>
      </c>
      <c r="J474" s="35" t="n">
        <v>4</v>
      </c>
      <c r="K474" s="35" t="n">
        <v>3</v>
      </c>
      <c r="L474" s="35" t="n">
        <v>4</v>
      </c>
      <c r="M474" s="50" t="n">
        <f aca="false">IF(COUNT(G474:L474)&lt;6,"",ROUND((G474*Rubric!$D$5+H474*Rubric!$D$6+I474*Rubric!$D$7+J474*Rubric!$D$8+K474*Rubric!$D$9+L474*Rubric!$D$10)/5*100,1))</f>
        <v>65</v>
      </c>
      <c r="N474" s="37" t="str">
        <f aca="false">IF(OR(B474="",D474=""),"",IFERROR(IF(IF(E474="Primary",INDEX(Applications!$I$5:$I$600,MATCH(B474,Applications!$A$5:$A$600,0)),IF(E474="Secondary",INDEX(Applications!$J$5:$J$600,MATCH(B474,Applications!$A$5:$A$600,0)),INDEX(Applications!$K$5:$K$600,MATCH(B474,Applications!$A$5:$A$600,0))))=D474,"OK","Not assigned"),"Check ID"))</f>
        <v>OK</v>
      </c>
      <c r="O474" s="7"/>
    </row>
    <row r="475" customFormat="false" ht="15" hidden="false" customHeight="false" outlineLevel="0" collapsed="false">
      <c r="A475" s="35" t="s">
        <v>1872</v>
      </c>
      <c r="B475" s="35" t="s">
        <v>565</v>
      </c>
      <c r="C475" s="37" t="str">
        <f aca="false">IF(B475="","",IFERROR(INDEX(Applications!$B$5:$B$600,MATCH(B475,Applications!$A$5:$A$600,0)),"Application ID not found"))</f>
        <v>Calgary Community Kitchen</v>
      </c>
      <c r="D475" s="35" t="s">
        <v>82</v>
      </c>
      <c r="E475" s="35" t="s">
        <v>83</v>
      </c>
      <c r="F475" s="36" t="n">
        <v>45945</v>
      </c>
      <c r="G475" s="35" t="n">
        <v>2</v>
      </c>
      <c r="H475" s="35" t="n">
        <v>2</v>
      </c>
      <c r="I475" s="35" t="n">
        <v>2</v>
      </c>
      <c r="J475" s="35" t="n">
        <v>2</v>
      </c>
      <c r="K475" s="35" t="n">
        <v>2</v>
      </c>
      <c r="L475" s="35" t="n">
        <v>2</v>
      </c>
      <c r="M475" s="50" t="n">
        <f aca="false">IF(COUNT(G475:L475)&lt;6,"",ROUND((G475*Rubric!$D$5+H475*Rubric!$D$6+I475*Rubric!$D$7+J475*Rubric!$D$8+K475*Rubric!$D$9+L475*Rubric!$D$10)/5*100,1))</f>
        <v>40</v>
      </c>
      <c r="N475" s="37" t="str">
        <f aca="false">IF(OR(B475="",D475=""),"",IFERROR(IF(IF(E475="Primary",INDEX(Applications!$I$5:$I$600,MATCH(B475,Applications!$A$5:$A$600,0)),IF(E475="Secondary",INDEX(Applications!$J$5:$J$600,MATCH(B475,Applications!$A$5:$A$600,0)),INDEX(Applications!$K$5:$K$600,MATCH(B475,Applications!$A$5:$A$600,0))))=D475,"OK","Not assigned"),"Check ID"))</f>
        <v>OK</v>
      </c>
      <c r="O475" s="7"/>
    </row>
    <row r="476" customFormat="false" ht="15" hidden="false" customHeight="false" outlineLevel="0" collapsed="false">
      <c r="A476" s="35" t="s">
        <v>1873</v>
      </c>
      <c r="B476" s="35" t="s">
        <v>192</v>
      </c>
      <c r="C476" s="37" t="str">
        <f aca="false">IF(B476="","",IFERROR(INDEX(Applications!$B$5:$B$600,MATCH(B476,Applications!$A$5:$A$600,0)),"Application ID not found"))</f>
        <v>Parkside Cafe Training Program</v>
      </c>
      <c r="D476" s="35" t="s">
        <v>82</v>
      </c>
      <c r="E476" s="35" t="s">
        <v>80</v>
      </c>
      <c r="F476" s="36" t="n">
        <v>45945</v>
      </c>
      <c r="G476" s="35" t="n">
        <v>3</v>
      </c>
      <c r="H476" s="35" t="n">
        <v>2</v>
      </c>
      <c r="I476" s="35" t="n">
        <v>3</v>
      </c>
      <c r="J476" s="35" t="n">
        <v>2</v>
      </c>
      <c r="K476" s="35" t="n">
        <v>4</v>
      </c>
      <c r="L476" s="35" t="n">
        <v>3</v>
      </c>
      <c r="M476" s="50" t="n">
        <f aca="false">IF(COUNT(G476:L476)&lt;6,"",ROUND((G476*Rubric!$D$5+H476*Rubric!$D$6+I476*Rubric!$D$7+J476*Rubric!$D$8+K476*Rubric!$D$9+L476*Rubric!$D$10)/5*100,1))</f>
        <v>55</v>
      </c>
      <c r="N476" s="37" t="str">
        <f aca="false">IF(OR(B476="",D476=""),"",IFERROR(IF(IF(E476="Primary",INDEX(Applications!$I$5:$I$600,MATCH(B476,Applications!$A$5:$A$600,0)),IF(E476="Secondary",INDEX(Applications!$J$5:$J$600,MATCH(B476,Applications!$A$5:$A$600,0)),INDEX(Applications!$K$5:$K$600,MATCH(B476,Applications!$A$5:$A$600,0))))=D476,"OK","Not assigned"),"Check ID"))</f>
        <v>OK</v>
      </c>
      <c r="O476" s="7"/>
    </row>
    <row r="477" customFormat="false" ht="15" hidden="false" customHeight="false" outlineLevel="0" collapsed="false">
      <c r="A477" s="35" t="s">
        <v>1874</v>
      </c>
      <c r="B477" s="35" t="s">
        <v>343</v>
      </c>
      <c r="C477" s="37" t="str">
        <f aca="false">IF(B477="","",IFERROR(INDEX(Applications!$B$5:$B$600,MATCH(B477,Applications!$A$5:$A$600,0)),"Application ID not found"))</f>
        <v>Linden Youth Food Lab</v>
      </c>
      <c r="D477" s="35" t="s">
        <v>82</v>
      </c>
      <c r="E477" s="35" t="s">
        <v>83</v>
      </c>
      <c r="F477" s="36" t="n">
        <v>45945</v>
      </c>
      <c r="G477" s="35" t="n">
        <v>3</v>
      </c>
      <c r="H477" s="35" t="n">
        <v>4</v>
      </c>
      <c r="I477" s="35" t="n">
        <v>3</v>
      </c>
      <c r="J477" s="35" t="n">
        <v>3</v>
      </c>
      <c r="K477" s="35" t="n">
        <v>3</v>
      </c>
      <c r="L477" s="35" t="n">
        <v>3</v>
      </c>
      <c r="M477" s="50" t="n">
        <f aca="false">IF(COUNT(G477:L477)&lt;6,"",ROUND((G477*Rubric!$D$5+H477*Rubric!$D$6+I477*Rubric!$D$7+J477*Rubric!$D$8+K477*Rubric!$D$9+L477*Rubric!$D$10)/5*100,1))</f>
        <v>64</v>
      </c>
      <c r="N477" s="37" t="str">
        <f aca="false">IF(OR(B477="",D477=""),"",IFERROR(IF(IF(E477="Primary",INDEX(Applications!$I$5:$I$600,MATCH(B477,Applications!$A$5:$A$600,0)),IF(E477="Secondary",INDEX(Applications!$J$5:$J$600,MATCH(B477,Applications!$A$5:$A$600,0)),INDEX(Applications!$K$5:$K$600,MATCH(B477,Applications!$A$5:$A$600,0))))=D477,"OK","Not assigned"),"Check ID"))</f>
        <v>OK</v>
      </c>
      <c r="O477" s="7"/>
    </row>
    <row r="478" customFormat="false" ht="15" hidden="false" customHeight="false" outlineLevel="0" collapsed="false">
      <c r="A478" s="35" t="s">
        <v>1875</v>
      </c>
      <c r="B478" s="35" t="s">
        <v>997</v>
      </c>
      <c r="C478" s="37" t="str">
        <f aca="false">IF(B478="","",IFERROR(INDEX(Applications!$B$5:$B$600,MATCH(B478,Applications!$A$5:$A$600,0)),"Application ID not found"))</f>
        <v>Northside Meals Project</v>
      </c>
      <c r="D478" s="35" t="s">
        <v>82</v>
      </c>
      <c r="E478" s="35" t="s">
        <v>80</v>
      </c>
      <c r="F478" s="36" t="n">
        <v>45945</v>
      </c>
      <c r="G478" s="35" t="n">
        <v>4</v>
      </c>
      <c r="H478" s="35" t="n">
        <v>3</v>
      </c>
      <c r="I478" s="35" t="n">
        <v>3</v>
      </c>
      <c r="J478" s="35" t="n">
        <v>4</v>
      </c>
      <c r="K478" s="35" t="n">
        <v>3</v>
      </c>
      <c r="L478" s="35" t="n">
        <v>4</v>
      </c>
      <c r="M478" s="50" t="n">
        <f aca="false">IF(COUNT(G478:L478)&lt;6,"",ROUND((G478*Rubric!$D$5+H478*Rubric!$D$6+I478*Rubric!$D$7+J478*Rubric!$D$8+K478*Rubric!$D$9+L478*Rubric!$D$10)/5*100,1))</f>
        <v>70</v>
      </c>
      <c r="N478" s="37" t="str">
        <f aca="false">IF(OR(B478="",D478=""),"",IFERROR(IF(IF(E478="Primary",INDEX(Applications!$I$5:$I$600,MATCH(B478,Applications!$A$5:$A$600,0)),IF(E478="Secondary",INDEX(Applications!$J$5:$J$600,MATCH(B478,Applications!$A$5:$A$600,0)),INDEX(Applications!$K$5:$K$600,MATCH(B478,Applications!$A$5:$A$600,0))))=D478,"OK","Not assigned"),"Check ID"))</f>
        <v>OK</v>
      </c>
      <c r="O478" s="7"/>
    </row>
    <row r="479" customFormat="false" ht="15" hidden="false" customHeight="false" outlineLevel="0" collapsed="false">
      <c r="A479" s="35" t="s">
        <v>1876</v>
      </c>
      <c r="B479" s="35" t="s">
        <v>1069</v>
      </c>
      <c r="C479" s="37" t="str">
        <f aca="false">IF(B479="","",IFERROR(INDEX(Applications!$B$5:$B$600,MATCH(B479,Applications!$A$5:$A$600,0)),"Application ID not found"))</f>
        <v>Kestrel Kitchen Project</v>
      </c>
      <c r="D479" s="35" t="s">
        <v>82</v>
      </c>
      <c r="E479" s="35" t="s">
        <v>80</v>
      </c>
      <c r="F479" s="36" t="n">
        <v>45945</v>
      </c>
      <c r="G479" s="35" t="n">
        <v>3</v>
      </c>
      <c r="H479" s="35" t="n">
        <v>3</v>
      </c>
      <c r="I479" s="35" t="n">
        <v>4</v>
      </c>
      <c r="J479" s="35" t="n">
        <v>3</v>
      </c>
      <c r="K479" s="35" t="n">
        <v>3</v>
      </c>
      <c r="L479" s="35" t="n">
        <v>4</v>
      </c>
      <c r="M479" s="50" t="n">
        <f aca="false">IF(COUNT(G479:L479)&lt;6,"",ROUND((G479*Rubric!$D$5+H479*Rubric!$D$6+I479*Rubric!$D$7+J479*Rubric!$D$8+K479*Rubric!$D$9+L479*Rubric!$D$10)/5*100,1))</f>
        <v>66</v>
      </c>
      <c r="N479" s="37" t="str">
        <f aca="false">IF(OR(B479="",D479=""),"",IFERROR(IF(IF(E479="Primary",INDEX(Applications!$I$5:$I$600,MATCH(B479,Applications!$A$5:$A$600,0)),IF(E479="Secondary",INDEX(Applications!$J$5:$J$600,MATCH(B479,Applications!$A$5:$A$600,0)),INDEX(Applications!$K$5:$K$600,MATCH(B479,Applications!$A$5:$A$600,0))))=D479,"OK","Not assigned"),"Check ID"))</f>
        <v>OK</v>
      </c>
      <c r="O479" s="7"/>
    </row>
    <row r="480" customFormat="false" ht="15" hidden="false" customHeight="false" outlineLevel="0" collapsed="false">
      <c r="A480" s="35" t="s">
        <v>1877</v>
      </c>
      <c r="B480" s="35" t="s">
        <v>1285</v>
      </c>
      <c r="C480" s="37" t="str">
        <f aca="false">IF(B480="","",IFERROR(INDEX(Applications!$B$5:$B$600,MATCH(B480,Applications!$A$5:$A$600,0)),"Application ID not found"))</f>
        <v>Riverbend Youth Food Lab</v>
      </c>
      <c r="D480" s="35" t="s">
        <v>82</v>
      </c>
      <c r="E480" s="35" t="s">
        <v>83</v>
      </c>
      <c r="F480" s="36" t="n">
        <v>45945</v>
      </c>
      <c r="G480" s="35" t="n">
        <v>4</v>
      </c>
      <c r="H480" s="35" t="n">
        <v>4</v>
      </c>
      <c r="I480" s="35" t="n">
        <v>5</v>
      </c>
      <c r="J480" s="35" t="n">
        <v>4</v>
      </c>
      <c r="K480" s="35" t="n">
        <v>5</v>
      </c>
      <c r="L480" s="35" t="n">
        <v>5</v>
      </c>
      <c r="M480" s="50" t="n">
        <f aca="false">IF(COUNT(G480:L480)&lt;6,"",ROUND((G480*Rubric!$D$5+H480*Rubric!$D$6+I480*Rubric!$D$7+J480*Rubric!$D$8+K480*Rubric!$D$9+L480*Rubric!$D$10)/5*100,1))</f>
        <v>88</v>
      </c>
      <c r="N480" s="37" t="str">
        <f aca="false">IF(OR(B480="",D480=""),"",IFERROR(IF(IF(E480="Primary",INDEX(Applications!$I$5:$I$600,MATCH(B480,Applications!$A$5:$A$600,0)),IF(E480="Secondary",INDEX(Applications!$J$5:$J$600,MATCH(B480,Applications!$A$5:$A$600,0)),INDEX(Applications!$K$5:$K$600,MATCH(B480,Applications!$A$5:$A$600,0))))=D480,"OK","Not assigned"),"Check ID"))</f>
        <v>OK</v>
      </c>
      <c r="O480" s="7"/>
    </row>
    <row r="481" customFormat="false" ht="15" hidden="false" customHeight="false" outlineLevel="0" collapsed="false">
      <c r="A481" s="35" t="s">
        <v>1878</v>
      </c>
      <c r="B481" s="35" t="s">
        <v>751</v>
      </c>
      <c r="C481" s="37" t="str">
        <f aca="false">IF(B481="","",IFERROR(INDEX(Applications!$B$5:$B$600,MATCH(B481,Applications!$A$5:$A$600,0)),"Application ID not found"))</f>
        <v>Hamburg Food Bank</v>
      </c>
      <c r="D481" s="35" t="s">
        <v>88</v>
      </c>
      <c r="E481" s="35" t="s">
        <v>83</v>
      </c>
      <c r="F481" s="36" t="n">
        <v>45945</v>
      </c>
      <c r="G481" s="35" t="n">
        <v>3</v>
      </c>
      <c r="H481" s="35" t="n">
        <v>3</v>
      </c>
      <c r="I481" s="35" t="n">
        <v>3</v>
      </c>
      <c r="J481" s="35" t="n">
        <v>3</v>
      </c>
      <c r="K481" s="35" t="n">
        <v>3</v>
      </c>
      <c r="L481" s="35" t="n">
        <v>3</v>
      </c>
      <c r="M481" s="50" t="n">
        <f aca="false">IF(COUNT(G481:L481)&lt;6,"",ROUND((G481*Rubric!$D$5+H481*Rubric!$D$6+I481*Rubric!$D$7+J481*Rubric!$D$8+K481*Rubric!$D$9+L481*Rubric!$D$10)/5*100,1))</f>
        <v>60</v>
      </c>
      <c r="N481" s="37" t="str">
        <f aca="false">IF(OR(B481="",D481=""),"",IFERROR(IF(IF(E481="Primary",INDEX(Applications!$I$5:$I$600,MATCH(B481,Applications!$A$5:$A$600,0)),IF(E481="Secondary",INDEX(Applications!$J$5:$J$600,MATCH(B481,Applications!$A$5:$A$600,0)),INDEX(Applications!$K$5:$K$600,MATCH(B481,Applications!$A$5:$A$600,0))))=D481,"OK","Not assigned"),"Check ID"))</f>
        <v>OK</v>
      </c>
      <c r="O481" s="7"/>
    </row>
    <row r="482" customFormat="false" ht="15" hidden="false" customHeight="false" outlineLevel="0" collapsed="false">
      <c r="A482" s="35" t="s">
        <v>1879</v>
      </c>
      <c r="B482" s="35" t="s">
        <v>410</v>
      </c>
      <c r="C482" s="37" t="str">
        <f aca="false">IF(B482="","",IFERROR(INDEX(Applications!$B$5:$B$600,MATCH(B482,Applications!$A$5:$A$600,0)),"Application ID not found"))</f>
        <v>Stonebridge Mobile Market</v>
      </c>
      <c r="D482" s="35" t="s">
        <v>88</v>
      </c>
      <c r="E482" s="35" t="s">
        <v>80</v>
      </c>
      <c r="F482" s="36" t="n">
        <v>45945</v>
      </c>
      <c r="G482" s="35" t="n">
        <v>3</v>
      </c>
      <c r="H482" s="35" t="n">
        <v>3</v>
      </c>
      <c r="I482" s="35" t="n">
        <v>4</v>
      </c>
      <c r="J482" s="35" t="n">
        <v>3</v>
      </c>
      <c r="K482" s="35" t="n">
        <v>3</v>
      </c>
      <c r="L482" s="35" t="n">
        <v>4</v>
      </c>
      <c r="M482" s="50" t="n">
        <f aca="false">IF(COUNT(G482:L482)&lt;6,"",ROUND((G482*Rubric!$D$5+H482*Rubric!$D$6+I482*Rubric!$D$7+J482*Rubric!$D$8+K482*Rubric!$D$9+L482*Rubric!$D$10)/5*100,1))</f>
        <v>66</v>
      </c>
      <c r="N482" s="37" t="str">
        <f aca="false">IF(OR(B482="",D482=""),"",IFERROR(IF(IF(E482="Primary",INDEX(Applications!$I$5:$I$600,MATCH(B482,Applications!$A$5:$A$600,0)),IF(E482="Secondary",INDEX(Applications!$J$5:$J$600,MATCH(B482,Applications!$A$5:$A$600,0)),INDEX(Applications!$K$5:$K$600,MATCH(B482,Applications!$A$5:$A$600,0))))=D482,"OK","Not assigned"),"Check ID"))</f>
        <v>OK</v>
      </c>
      <c r="O482" s="7"/>
    </row>
    <row r="483" customFormat="false" ht="15" hidden="false" customHeight="false" outlineLevel="0" collapsed="false">
      <c r="A483" s="35" t="s">
        <v>1880</v>
      </c>
      <c r="B483" s="35" t="s">
        <v>534</v>
      </c>
      <c r="C483" s="37" t="str">
        <f aca="false">IF(B483="","",IFERROR(INDEX(Applications!$B$5:$B$600,MATCH(B483,Applications!$A$5:$A$600,0)),"Application ID not found"))</f>
        <v>Tidewater Farm Collective</v>
      </c>
      <c r="D483" s="35" t="s">
        <v>88</v>
      </c>
      <c r="E483" s="35" t="s">
        <v>83</v>
      </c>
      <c r="F483" s="36" t="n">
        <v>45945</v>
      </c>
      <c r="G483" s="35" t="n">
        <v>4</v>
      </c>
      <c r="H483" s="35" t="n">
        <v>4</v>
      </c>
      <c r="I483" s="35" t="n">
        <v>5</v>
      </c>
      <c r="J483" s="35" t="n">
        <v>4</v>
      </c>
      <c r="K483" s="35" t="n">
        <v>3</v>
      </c>
      <c r="L483" s="35" t="n">
        <v>4</v>
      </c>
      <c r="M483" s="50" t="n">
        <f aca="false">IF(COUNT(G483:L483)&lt;6,"",ROUND((G483*Rubric!$D$5+H483*Rubric!$D$6+I483*Rubric!$D$7+J483*Rubric!$D$8+K483*Rubric!$D$9+L483*Rubric!$D$10)/5*100,1))</f>
        <v>82</v>
      </c>
      <c r="N483" s="37" t="str">
        <f aca="false">IF(OR(B483="",D483=""),"",IFERROR(IF(IF(E483="Primary",INDEX(Applications!$I$5:$I$600,MATCH(B483,Applications!$A$5:$A$600,0)),IF(E483="Secondary",INDEX(Applications!$J$5:$J$600,MATCH(B483,Applications!$A$5:$A$600,0)),INDEX(Applications!$K$5:$K$600,MATCH(B483,Applications!$A$5:$A$600,0))))=D483,"OK","Not assigned"),"Check ID"))</f>
        <v>OK</v>
      </c>
      <c r="O483" s="7"/>
    </row>
    <row r="484" customFormat="false" ht="15" hidden="false" customHeight="false" outlineLevel="0" collapsed="false">
      <c r="A484" s="35" t="s">
        <v>1881</v>
      </c>
      <c r="B484" s="35" t="s">
        <v>228</v>
      </c>
      <c r="C484" s="37" t="str">
        <f aca="false">IF(B484="","",IFERROR(INDEX(Applications!$B$5:$B$600,MATCH(B484,Applications!$A$5:$A$600,0)),"Application ID not found"))</f>
        <v>Cardiff Seed Library</v>
      </c>
      <c r="D484" s="35" t="s">
        <v>88</v>
      </c>
      <c r="E484" s="35" t="s">
        <v>80</v>
      </c>
      <c r="F484" s="36" t="n">
        <v>45945</v>
      </c>
      <c r="G484" s="35" t="n">
        <v>3</v>
      </c>
      <c r="H484" s="35" t="n">
        <v>3</v>
      </c>
      <c r="I484" s="35" t="n">
        <v>3</v>
      </c>
      <c r="J484" s="35" t="n">
        <v>3</v>
      </c>
      <c r="K484" s="35" t="n">
        <v>3</v>
      </c>
      <c r="L484" s="35" t="n">
        <v>3</v>
      </c>
      <c r="M484" s="50" t="n">
        <f aca="false">IF(COUNT(G484:L484)&lt;6,"",ROUND((G484*Rubric!$D$5+H484*Rubric!$D$6+I484*Rubric!$D$7+J484*Rubric!$D$8+K484*Rubric!$D$9+L484*Rubric!$D$10)/5*100,1))</f>
        <v>60</v>
      </c>
      <c r="N484" s="37" t="str">
        <f aca="false">IF(OR(B484="",D484=""),"",IFERROR(IF(IF(E484="Primary",INDEX(Applications!$I$5:$I$600,MATCH(B484,Applications!$A$5:$A$600,0)),IF(E484="Secondary",INDEX(Applications!$J$5:$J$600,MATCH(B484,Applications!$A$5:$A$600,0)),INDEX(Applications!$K$5:$K$600,MATCH(B484,Applications!$A$5:$A$600,0))))=D484,"OK","Not assigned"),"Check ID"))</f>
        <v>OK</v>
      </c>
      <c r="O484" s="7"/>
    </row>
    <row r="485" customFormat="false" ht="15" hidden="false" customHeight="false" outlineLevel="0" collapsed="false">
      <c r="A485" s="35" t="s">
        <v>1882</v>
      </c>
      <c r="B485" s="35" t="s">
        <v>1151</v>
      </c>
      <c r="C485" s="37" t="str">
        <f aca="false">IF(B485="","",IFERROR(INDEX(Applications!$B$5:$B$600,MATCH(B485,Applications!$A$5:$A$600,0)),"Application ID not found"))</f>
        <v>Ironwood Meals Project</v>
      </c>
      <c r="D485" s="35" t="s">
        <v>88</v>
      </c>
      <c r="E485" s="35" t="s">
        <v>83</v>
      </c>
      <c r="F485" s="36" t="n">
        <v>45945</v>
      </c>
      <c r="G485" s="35" t="n">
        <v>3</v>
      </c>
      <c r="H485" s="35" t="n">
        <v>3</v>
      </c>
      <c r="I485" s="35" t="n">
        <v>2</v>
      </c>
      <c r="J485" s="35" t="n">
        <v>2</v>
      </c>
      <c r="K485" s="35" t="n">
        <v>3</v>
      </c>
      <c r="L485" s="35" t="n">
        <v>2</v>
      </c>
      <c r="M485" s="50" t="n">
        <f aca="false">IF(COUNT(G485:L485)&lt;6,"",ROUND((G485*Rubric!$D$5+H485*Rubric!$D$6+I485*Rubric!$D$7+J485*Rubric!$D$8+K485*Rubric!$D$9+L485*Rubric!$D$10)/5*100,1))</f>
        <v>51</v>
      </c>
      <c r="N485" s="37" t="str">
        <f aca="false">IF(OR(B485="",D485=""),"",IFERROR(IF(IF(E485="Primary",INDEX(Applications!$I$5:$I$600,MATCH(B485,Applications!$A$5:$A$600,0)),IF(E485="Secondary",INDEX(Applications!$J$5:$J$600,MATCH(B485,Applications!$A$5:$A$600,0)),INDEX(Applications!$K$5:$K$600,MATCH(B485,Applications!$A$5:$A$600,0))))=D485,"OK","Not assigned"),"Check ID"))</f>
        <v>OK</v>
      </c>
      <c r="O485" s="7" t="s">
        <v>1426</v>
      </c>
    </row>
    <row r="486" customFormat="false" ht="15" hidden="false" customHeight="false" outlineLevel="0" collapsed="false">
      <c r="A486" s="35" t="s">
        <v>1883</v>
      </c>
      <c r="B486" s="35" t="s">
        <v>1051</v>
      </c>
      <c r="C486" s="37" t="str">
        <f aca="false">IF(B486="","",IFERROR(INDEX(Applications!$B$5:$B$600,MATCH(B486,Applications!$A$5:$A$600,0)),"Application ID not found"))</f>
        <v>Durban Farm Collective</v>
      </c>
      <c r="D486" s="35" t="s">
        <v>88</v>
      </c>
      <c r="E486" s="35" t="s">
        <v>83</v>
      </c>
      <c r="F486" s="36" t="n">
        <v>45945</v>
      </c>
      <c r="G486" s="35" t="n">
        <v>5</v>
      </c>
      <c r="H486" s="35" t="n">
        <v>4</v>
      </c>
      <c r="I486" s="35" t="n">
        <v>4</v>
      </c>
      <c r="J486" s="35" t="n">
        <v>4</v>
      </c>
      <c r="K486" s="35" t="n">
        <v>4</v>
      </c>
      <c r="L486" s="35" t="n">
        <v>5</v>
      </c>
      <c r="M486" s="50" t="n">
        <f aca="false">IF(COUNT(G486:L486)&lt;6,"",ROUND((G486*Rubric!$D$5+H486*Rubric!$D$6+I486*Rubric!$D$7+J486*Rubric!$D$8+K486*Rubric!$D$9+L486*Rubric!$D$10)/5*100,1))</f>
        <v>87</v>
      </c>
      <c r="N486" s="37" t="str">
        <f aca="false">IF(OR(B486="",D486=""),"",IFERROR(IF(IF(E486="Primary",INDEX(Applications!$I$5:$I$600,MATCH(B486,Applications!$A$5:$A$600,0)),IF(E486="Secondary",INDEX(Applications!$J$5:$J$600,MATCH(B486,Applications!$A$5:$A$600,0)),INDEX(Applications!$K$5:$K$600,MATCH(B486,Applications!$A$5:$A$600,0))))=D486,"OK","Not assigned"),"Check ID"))</f>
        <v>OK</v>
      </c>
      <c r="O486" s="7"/>
    </row>
    <row r="487" customFormat="false" ht="15" hidden="false" customHeight="false" outlineLevel="0" collapsed="false">
      <c r="A487" s="35" t="s">
        <v>1884</v>
      </c>
      <c r="B487" s="35" t="s">
        <v>557</v>
      </c>
      <c r="C487" s="37" t="str">
        <f aca="false">IF(B487="","",IFERROR(INDEX(Applications!$B$5:$B$600,MATCH(B487,Applications!$A$5:$A$600,0)),"Application ID not found"))</f>
        <v>Detroit Farm School</v>
      </c>
      <c r="D487" s="35" t="s">
        <v>88</v>
      </c>
      <c r="E487" s="35" t="s">
        <v>80</v>
      </c>
      <c r="F487" s="36" t="n">
        <v>45945</v>
      </c>
      <c r="G487" s="35" t="n">
        <v>4</v>
      </c>
      <c r="H487" s="35" t="n">
        <v>4</v>
      </c>
      <c r="I487" s="35" t="n">
        <v>4</v>
      </c>
      <c r="J487" s="35" t="n">
        <v>4</v>
      </c>
      <c r="K487" s="35" t="n">
        <v>5</v>
      </c>
      <c r="L487" s="35" t="n">
        <v>4</v>
      </c>
      <c r="M487" s="50" t="n">
        <f aca="false">IF(COUNT(G487:L487)&lt;6,"",ROUND((G487*Rubric!$D$5+H487*Rubric!$D$6+I487*Rubric!$D$7+J487*Rubric!$D$8+K487*Rubric!$D$9+L487*Rubric!$D$10)/5*100,1))</f>
        <v>82</v>
      </c>
      <c r="N487" s="37" t="str">
        <f aca="false">IF(OR(B487="",D487=""),"",IFERROR(IF(IF(E487="Primary",INDEX(Applications!$I$5:$I$600,MATCH(B487,Applications!$A$5:$A$600,0)),IF(E487="Secondary",INDEX(Applications!$J$5:$J$600,MATCH(B487,Applications!$A$5:$A$600,0)),INDEX(Applications!$K$5:$K$600,MATCH(B487,Applications!$A$5:$A$600,0))))=D487,"OK","Not assigned"),"Check ID"))</f>
        <v>OK</v>
      </c>
      <c r="O487" s="7"/>
    </row>
    <row r="488" customFormat="false" ht="15" hidden="false" customHeight="false" outlineLevel="0" collapsed="false">
      <c r="A488" s="35" t="s">
        <v>1885</v>
      </c>
      <c r="B488" s="35" t="s">
        <v>1045</v>
      </c>
      <c r="C488" s="37" t="str">
        <f aca="false">IF(B488="","",IFERROR(INDEX(Applications!$B$5:$B$600,MATCH(B488,Applications!$A$5:$A$600,0)),"Application ID not found"))</f>
        <v>Cork Cafe Training Program</v>
      </c>
      <c r="D488" s="35" t="s">
        <v>88</v>
      </c>
      <c r="E488" s="35" t="s">
        <v>80</v>
      </c>
      <c r="F488" s="36" t="n">
        <v>45945</v>
      </c>
      <c r="G488" s="35" t="n">
        <v>3</v>
      </c>
      <c r="H488" s="35" t="n">
        <v>4</v>
      </c>
      <c r="I488" s="35" t="n">
        <v>4</v>
      </c>
      <c r="J488" s="35" t="n">
        <v>3</v>
      </c>
      <c r="K488" s="35" t="n">
        <v>3</v>
      </c>
      <c r="L488" s="35" t="n">
        <v>3</v>
      </c>
      <c r="M488" s="50" t="n">
        <f aca="false">IF(COUNT(G488:L488)&lt;6,"",ROUND((G488*Rubric!$D$5+H488*Rubric!$D$6+I488*Rubric!$D$7+J488*Rubric!$D$8+K488*Rubric!$D$9+L488*Rubric!$D$10)/5*100,1))</f>
        <v>68</v>
      </c>
      <c r="N488" s="37" t="str">
        <f aca="false">IF(OR(B488="",D488=""),"",IFERROR(IF(IF(E488="Primary",INDEX(Applications!$I$5:$I$600,MATCH(B488,Applications!$A$5:$A$600,0)),IF(E488="Secondary",INDEX(Applications!$J$5:$J$600,MATCH(B488,Applications!$A$5:$A$600,0)),INDEX(Applications!$K$5:$K$600,MATCH(B488,Applications!$A$5:$A$600,0))))=D488,"OK","Not assigned"),"Check ID"))</f>
        <v>OK</v>
      </c>
      <c r="O488" s="7"/>
    </row>
    <row r="489" customFormat="false" ht="15" hidden="false" customHeight="false" outlineLevel="0" collapsed="false">
      <c r="A489" s="35" t="s">
        <v>1886</v>
      </c>
      <c r="B489" s="35" t="s">
        <v>444</v>
      </c>
      <c r="C489" s="37" t="str">
        <f aca="false">IF(B489="","",IFERROR(INDEX(Applications!$B$5:$B$600,MATCH(B489,Applications!$A$5:$A$600,0)),"Application ID not found"))</f>
        <v>Milwaukee Community Pantry</v>
      </c>
      <c r="D489" s="35" t="s">
        <v>88</v>
      </c>
      <c r="E489" s="35" t="s">
        <v>83</v>
      </c>
      <c r="F489" s="36" t="n">
        <v>45945</v>
      </c>
      <c r="G489" s="35" t="n">
        <v>5</v>
      </c>
      <c r="H489" s="35" t="n">
        <v>5</v>
      </c>
      <c r="I489" s="35" t="n">
        <v>5</v>
      </c>
      <c r="J489" s="35" t="n">
        <v>5</v>
      </c>
      <c r="K489" s="35" t="n">
        <v>5</v>
      </c>
      <c r="L489" s="35" t="n">
        <v>5</v>
      </c>
      <c r="M489" s="50" t="n">
        <f aca="false">IF(COUNT(G489:L489)&lt;6,"",ROUND((G489*Rubric!$D$5+H489*Rubric!$D$6+I489*Rubric!$D$7+J489*Rubric!$D$8+K489*Rubric!$D$9+L489*Rubric!$D$10)/5*100,1))</f>
        <v>100</v>
      </c>
      <c r="N489" s="37" t="str">
        <f aca="false">IF(OR(B489="",D489=""),"",IFERROR(IF(IF(E489="Primary",INDEX(Applications!$I$5:$I$600,MATCH(B489,Applications!$A$5:$A$600,0)),IF(E489="Secondary",INDEX(Applications!$J$5:$J$600,MATCH(B489,Applications!$A$5:$A$600,0)),INDEX(Applications!$K$5:$K$600,MATCH(B489,Applications!$A$5:$A$600,0))))=D489,"OK","Not assigned"),"Check ID"))</f>
        <v>OK</v>
      </c>
      <c r="O489" s="7"/>
    </row>
    <row r="490" customFormat="false" ht="15" hidden="false" customHeight="false" outlineLevel="0" collapsed="false">
      <c r="A490" s="35" t="s">
        <v>1887</v>
      </c>
      <c r="B490" s="35" t="s">
        <v>1167</v>
      </c>
      <c r="C490" s="37" t="str">
        <f aca="false">IF(B490="","",IFERROR(INDEX(Applications!$B$5:$B$600,MATCH(B490,Applications!$A$5:$A$600,0)),"Application ID not found"))</f>
        <v>Medellín Culinary Works</v>
      </c>
      <c r="D490" s="35" t="s">
        <v>88</v>
      </c>
      <c r="E490" s="35" t="s">
        <v>80</v>
      </c>
      <c r="F490" s="36" t="n">
        <v>45945</v>
      </c>
      <c r="G490" s="35" t="n">
        <v>4</v>
      </c>
      <c r="H490" s="35" t="n">
        <v>3</v>
      </c>
      <c r="I490" s="35" t="n">
        <v>3</v>
      </c>
      <c r="J490" s="35" t="n">
        <v>4</v>
      </c>
      <c r="K490" s="35" t="n">
        <v>4</v>
      </c>
      <c r="L490" s="35" t="n">
        <v>3</v>
      </c>
      <c r="M490" s="50" t="n">
        <f aca="false">IF(COUNT(G490:L490)&lt;6,"",ROUND((G490*Rubric!$D$5+H490*Rubric!$D$6+I490*Rubric!$D$7+J490*Rubric!$D$8+K490*Rubric!$D$9+L490*Rubric!$D$10)/5*100,1))</f>
        <v>70</v>
      </c>
      <c r="N490" s="37" t="str">
        <f aca="false">IF(OR(B490="",D490=""),"",IFERROR(IF(IF(E490="Primary",INDEX(Applications!$I$5:$I$600,MATCH(B490,Applications!$A$5:$A$600,0)),IF(E490="Secondary",INDEX(Applications!$J$5:$J$600,MATCH(B490,Applications!$A$5:$A$600,0)),INDEX(Applications!$K$5:$K$600,MATCH(B490,Applications!$A$5:$A$600,0))))=D490,"OK","Not assigned"),"Check ID"))</f>
        <v>OK</v>
      </c>
      <c r="O490" s="7"/>
    </row>
    <row r="491" customFormat="false" ht="15" hidden="false" customHeight="false" outlineLevel="0" collapsed="false">
      <c r="A491" s="35" t="s">
        <v>1888</v>
      </c>
      <c r="B491" s="35" t="s">
        <v>1027</v>
      </c>
      <c r="C491" s="37" t="str">
        <f aca="false">IF(B491="","",IFERROR(INDEX(Applications!$B$5:$B$600,MATCH(B491,Applications!$A$5:$A$600,0)),"Application ID not found"))</f>
        <v>Hamilton Growers Cooperative</v>
      </c>
      <c r="D491" s="35" t="s">
        <v>88</v>
      </c>
      <c r="E491" s="35" t="s">
        <v>80</v>
      </c>
      <c r="F491" s="36" t="n">
        <v>45945</v>
      </c>
      <c r="G491" s="35" t="n">
        <v>2</v>
      </c>
      <c r="H491" s="35" t="n">
        <v>2</v>
      </c>
      <c r="I491" s="35" t="n">
        <v>2</v>
      </c>
      <c r="J491" s="35" t="n">
        <v>3</v>
      </c>
      <c r="K491" s="35" t="n">
        <v>2</v>
      </c>
      <c r="L491" s="35" t="n">
        <v>2</v>
      </c>
      <c r="M491" s="50" t="n">
        <f aca="false">IF(COUNT(G491:L491)&lt;6,"",ROUND((G491*Rubric!$D$5+H491*Rubric!$D$6+I491*Rubric!$D$7+J491*Rubric!$D$8+K491*Rubric!$D$9+L491*Rubric!$D$10)/5*100,1))</f>
        <v>43</v>
      </c>
      <c r="N491" s="37" t="str">
        <f aca="false">IF(OR(B491="",D491=""),"",IFERROR(IF(IF(E491="Primary",INDEX(Applications!$I$5:$I$600,MATCH(B491,Applications!$A$5:$A$600,0)),IF(E491="Secondary",INDEX(Applications!$J$5:$J$600,MATCH(B491,Applications!$A$5:$A$600,0)),INDEX(Applications!$K$5:$K$600,MATCH(B491,Applications!$A$5:$A$600,0))))=D491,"OK","Not assigned"),"Check ID"))</f>
        <v>OK</v>
      </c>
      <c r="O491" s="7"/>
    </row>
    <row r="492" customFormat="false" ht="15" hidden="false" customHeight="false" outlineLevel="0" collapsed="false">
      <c r="A492" s="35" t="s">
        <v>1889</v>
      </c>
      <c r="B492" s="35" t="s">
        <v>1059</v>
      </c>
      <c r="C492" s="37" t="str">
        <f aca="false">IF(B492="","",IFERROR(INDEX(Applications!$B$5:$B$600,MATCH(B492,Applications!$A$5:$A$600,0)),"Application ID not found"))</f>
        <v>Leipzig Food Bank</v>
      </c>
      <c r="D492" s="35" t="s">
        <v>88</v>
      </c>
      <c r="E492" s="35" t="s">
        <v>83</v>
      </c>
      <c r="F492" s="36" t="n">
        <v>45945</v>
      </c>
      <c r="G492" s="35" t="n">
        <v>4</v>
      </c>
      <c r="H492" s="35" t="n">
        <v>4</v>
      </c>
      <c r="I492" s="35" t="n">
        <v>3</v>
      </c>
      <c r="J492" s="35" t="n">
        <v>4</v>
      </c>
      <c r="K492" s="35" t="n">
        <v>4</v>
      </c>
      <c r="L492" s="35" t="n">
        <v>3</v>
      </c>
      <c r="M492" s="50" t="n">
        <f aca="false">IF(COUNT(G492:L492)&lt;6,"",ROUND((G492*Rubric!$D$5+H492*Rubric!$D$6+I492*Rubric!$D$7+J492*Rubric!$D$8+K492*Rubric!$D$9+L492*Rubric!$D$10)/5*100,1))</f>
        <v>74</v>
      </c>
      <c r="N492" s="37" t="str">
        <f aca="false">IF(OR(B492="",D492=""),"",IFERROR(IF(IF(E492="Primary",INDEX(Applications!$I$5:$I$600,MATCH(B492,Applications!$A$5:$A$600,0)),IF(E492="Secondary",INDEX(Applications!$J$5:$J$600,MATCH(B492,Applications!$A$5:$A$600,0)),INDEX(Applications!$K$5:$K$600,MATCH(B492,Applications!$A$5:$A$600,0))))=D492,"OK","Not assigned"),"Check ID"))</f>
        <v>OK</v>
      </c>
      <c r="O492" s="7"/>
    </row>
    <row r="493" customFormat="false" ht="15" hidden="false" customHeight="false" outlineLevel="0" collapsed="false">
      <c r="A493" s="35" t="s">
        <v>1890</v>
      </c>
      <c r="B493" s="35" t="s">
        <v>949</v>
      </c>
      <c r="C493" s="37" t="str">
        <f aca="false">IF(B493="","",IFERROR(INDEX(Applications!$B$5:$B$600,MATCH(B493,Applications!$A$5:$A$600,0)),"Application ID not found"))</f>
        <v>Chennai Bakery Collective</v>
      </c>
      <c r="D493" s="35" t="s">
        <v>88</v>
      </c>
      <c r="E493" s="35" t="s">
        <v>80</v>
      </c>
      <c r="F493" s="36" t="n">
        <v>45945</v>
      </c>
      <c r="G493" s="35" t="n">
        <v>1</v>
      </c>
      <c r="H493" s="35" t="n">
        <v>1</v>
      </c>
      <c r="I493" s="35" t="n">
        <v>2</v>
      </c>
      <c r="J493" s="35" t="n">
        <v>1</v>
      </c>
      <c r="K493" s="35" t="n">
        <v>1</v>
      </c>
      <c r="L493" s="35" t="n">
        <v>2</v>
      </c>
      <c r="M493" s="50" t="n">
        <f aca="false">IF(COUNT(G493:L493)&lt;6,"",ROUND((G493*Rubric!$D$5+H493*Rubric!$D$6+I493*Rubric!$D$7+J493*Rubric!$D$8+K493*Rubric!$D$9+L493*Rubric!$D$10)/5*100,1))</f>
        <v>26</v>
      </c>
      <c r="N493" s="37" t="str">
        <f aca="false">IF(OR(B493="",D493=""),"",IFERROR(IF(IF(E493="Primary",INDEX(Applications!$I$5:$I$600,MATCH(B493,Applications!$A$5:$A$600,0)),IF(E493="Secondary",INDEX(Applications!$J$5:$J$600,MATCH(B493,Applications!$A$5:$A$600,0)),INDEX(Applications!$K$5:$K$600,MATCH(B493,Applications!$A$5:$A$600,0))))=D493,"OK","Not assigned"),"Check ID"))</f>
        <v>OK</v>
      </c>
      <c r="O493" s="7" t="s">
        <v>1428</v>
      </c>
    </row>
    <row r="494" customFormat="false" ht="15" hidden="false" customHeight="false" outlineLevel="0" collapsed="false">
      <c r="A494" s="35" t="s">
        <v>1891</v>
      </c>
      <c r="B494" s="35" t="s">
        <v>219</v>
      </c>
      <c r="C494" s="37" t="str">
        <f aca="false">IF(B494="","",IFERROR(INDEX(Applications!$B$5:$B$600,MATCH(B494,Applications!$A$5:$A$600,0)),"Application ID not found"))</f>
        <v>Fairmount Cafe Training Program</v>
      </c>
      <c r="D494" s="35" t="s">
        <v>88</v>
      </c>
      <c r="E494" s="35" t="s">
        <v>83</v>
      </c>
      <c r="F494" s="36" t="n">
        <v>45945</v>
      </c>
      <c r="G494" s="35" t="n">
        <v>4</v>
      </c>
      <c r="H494" s="35" t="n">
        <v>4</v>
      </c>
      <c r="I494" s="35" t="n">
        <v>4</v>
      </c>
      <c r="J494" s="35" t="n">
        <v>4</v>
      </c>
      <c r="K494" s="35" t="n">
        <v>4</v>
      </c>
      <c r="L494" s="35" t="n">
        <v>4</v>
      </c>
      <c r="M494" s="50" t="n">
        <f aca="false">IF(COUNT(G494:L494)&lt;6,"",ROUND((G494*Rubric!$D$5+H494*Rubric!$D$6+I494*Rubric!$D$7+J494*Rubric!$D$8+K494*Rubric!$D$9+L494*Rubric!$D$10)/5*100,1))</f>
        <v>80</v>
      </c>
      <c r="N494" s="37" t="str">
        <f aca="false">IF(OR(B494="",D494=""),"",IFERROR(IF(IF(E494="Primary",INDEX(Applications!$I$5:$I$600,MATCH(B494,Applications!$A$5:$A$600,0)),IF(E494="Secondary",INDEX(Applications!$J$5:$J$600,MATCH(B494,Applications!$A$5:$A$600,0)),INDEX(Applications!$K$5:$K$600,MATCH(B494,Applications!$A$5:$A$600,0))))=D494,"OK","Not assigned"),"Check ID"))</f>
        <v>OK</v>
      </c>
      <c r="O494" s="7"/>
    </row>
    <row r="495" customFormat="false" ht="15" hidden="false" customHeight="false" outlineLevel="0" collapsed="false">
      <c r="A495" s="35" t="s">
        <v>1892</v>
      </c>
      <c r="B495" s="35" t="s">
        <v>440</v>
      </c>
      <c r="C495" s="37" t="str">
        <f aca="false">IF(B495="","",IFERROR(INDEX(Applications!$B$5:$B$600,MATCH(B495,Applications!$A$5:$A$600,0)),"Application ID not found"))</f>
        <v>Old Town Mobile Market</v>
      </c>
      <c r="D495" s="35" t="s">
        <v>91</v>
      </c>
      <c r="E495" s="35" t="s">
        <v>83</v>
      </c>
      <c r="F495" s="36" t="n">
        <v>45945</v>
      </c>
      <c r="G495" s="35" t="n">
        <v>3</v>
      </c>
      <c r="H495" s="35" t="n">
        <v>2</v>
      </c>
      <c r="I495" s="35" t="n">
        <v>3</v>
      </c>
      <c r="J495" s="35" t="n">
        <v>3</v>
      </c>
      <c r="K495" s="35" t="n">
        <v>3</v>
      </c>
      <c r="L495" s="35" t="n">
        <v>2</v>
      </c>
      <c r="M495" s="50" t="n">
        <f aca="false">IF(COUNT(G495:L495)&lt;6,"",ROUND((G495*Rubric!$D$5+H495*Rubric!$D$6+I495*Rubric!$D$7+J495*Rubric!$D$8+K495*Rubric!$D$9+L495*Rubric!$D$10)/5*100,1))</f>
        <v>54</v>
      </c>
      <c r="N495" s="37" t="str">
        <f aca="false">IF(OR(B495="",D495=""),"",IFERROR(IF(IF(E495="Primary",INDEX(Applications!$I$5:$I$600,MATCH(B495,Applications!$A$5:$A$600,0)),IF(E495="Secondary",INDEX(Applications!$J$5:$J$600,MATCH(B495,Applications!$A$5:$A$600,0)),INDEX(Applications!$K$5:$K$600,MATCH(B495,Applications!$A$5:$A$600,0))))=D495,"OK","Not assigned"),"Check ID"))</f>
        <v>OK</v>
      </c>
      <c r="O495" s="7"/>
    </row>
    <row r="496" customFormat="false" ht="15" hidden="false" customHeight="false" outlineLevel="0" collapsed="false">
      <c r="A496" s="35" t="s">
        <v>1893</v>
      </c>
      <c r="B496" s="35" t="s">
        <v>595</v>
      </c>
      <c r="C496" s="37" t="str">
        <f aca="false">IF(B496="","",IFERROR(INDEX(Applications!$B$5:$B$600,MATCH(B496,Applications!$A$5:$A$600,0)),"Application ID not found"))</f>
        <v>Toronto Bakery Collective</v>
      </c>
      <c r="D496" s="35" t="s">
        <v>91</v>
      </c>
      <c r="E496" s="35" t="s">
        <v>80</v>
      </c>
      <c r="F496" s="36" t="n">
        <v>45945</v>
      </c>
      <c r="G496" s="35" t="n">
        <v>4</v>
      </c>
      <c r="H496" s="35" t="n">
        <v>5</v>
      </c>
      <c r="I496" s="35" t="n">
        <v>5</v>
      </c>
      <c r="J496" s="35" t="n">
        <v>5</v>
      </c>
      <c r="K496" s="35" t="n">
        <v>4</v>
      </c>
      <c r="L496" s="35" t="n">
        <v>4</v>
      </c>
      <c r="M496" s="50" t="n">
        <f aca="false">IF(COUNT(G496:L496)&lt;6,"",ROUND((G496*Rubric!$D$5+H496*Rubric!$D$6+I496*Rubric!$D$7+J496*Rubric!$D$8+K496*Rubric!$D$9+L496*Rubric!$D$10)/5*100,1))</f>
        <v>91</v>
      </c>
      <c r="N496" s="37" t="str">
        <f aca="false">IF(OR(B496="",D496=""),"",IFERROR(IF(IF(E496="Primary",INDEX(Applications!$I$5:$I$600,MATCH(B496,Applications!$A$5:$A$600,0)),IF(E496="Secondary",INDEX(Applications!$J$5:$J$600,MATCH(B496,Applications!$A$5:$A$600,0)),INDEX(Applications!$K$5:$K$600,MATCH(B496,Applications!$A$5:$A$600,0))))=D496,"OK","Not assigned"),"Check ID"))</f>
        <v>OK</v>
      </c>
      <c r="O496" s="7"/>
    </row>
    <row r="497" customFormat="false" ht="15" hidden="false" customHeight="false" outlineLevel="0" collapsed="false">
      <c r="A497" s="35" t="s">
        <v>1894</v>
      </c>
      <c r="B497" s="35" t="s">
        <v>1361</v>
      </c>
      <c r="C497" s="37" t="str">
        <f aca="false">IF(B497="","",IFERROR(INDEX(Applications!$B$5:$B$600,MATCH(B497,Applications!$A$5:$A$600,0)),"Application ID not found"))</f>
        <v>Chennai Community Kitchen</v>
      </c>
      <c r="D497" s="35" t="s">
        <v>91</v>
      </c>
      <c r="E497" s="35" t="s">
        <v>80</v>
      </c>
      <c r="F497" s="36" t="n">
        <v>45945</v>
      </c>
      <c r="G497" s="35" t="n">
        <v>3</v>
      </c>
      <c r="H497" s="35" t="n">
        <v>3</v>
      </c>
      <c r="I497" s="35" t="n">
        <v>3</v>
      </c>
      <c r="J497" s="35" t="n">
        <v>3</v>
      </c>
      <c r="K497" s="35" t="n">
        <v>3</v>
      </c>
      <c r="L497" s="35" t="n">
        <v>2</v>
      </c>
      <c r="M497" s="50" t="n">
        <f aca="false">IF(COUNT(G497:L497)&lt;6,"",ROUND((G497*Rubric!$D$5+H497*Rubric!$D$6+I497*Rubric!$D$7+J497*Rubric!$D$8+K497*Rubric!$D$9+L497*Rubric!$D$10)/5*100,1))</f>
        <v>58</v>
      </c>
      <c r="N497" s="37" t="str">
        <f aca="false">IF(OR(B497="",D497=""),"",IFERROR(IF(IF(E497="Primary",INDEX(Applications!$I$5:$I$600,MATCH(B497,Applications!$A$5:$A$600,0)),IF(E497="Secondary",INDEX(Applications!$J$5:$J$600,MATCH(B497,Applications!$A$5:$A$600,0)),INDEX(Applications!$K$5:$K$600,MATCH(B497,Applications!$A$5:$A$600,0))))=D497,"OK","Not assigned"),"Check ID"))</f>
        <v>OK</v>
      </c>
      <c r="O497" s="7"/>
    </row>
    <row r="498" customFormat="false" ht="15" hidden="false" customHeight="false" outlineLevel="0" collapsed="false">
      <c r="A498" s="35" t="s">
        <v>1895</v>
      </c>
      <c r="B498" s="35" t="s">
        <v>309</v>
      </c>
      <c r="C498" s="37" t="str">
        <f aca="false">IF(B498="","",IFERROR(INDEX(Applications!$B$5:$B$600,MATCH(B498,Applications!$A$5:$A$600,0)),"Application ID not found"))</f>
        <v>Copper Hill Food Shelf</v>
      </c>
      <c r="D498" s="35" t="s">
        <v>91</v>
      </c>
      <c r="E498" s="35" t="s">
        <v>80</v>
      </c>
      <c r="F498" s="36" t="n">
        <v>45945</v>
      </c>
      <c r="G498" s="35" t="n">
        <v>5</v>
      </c>
      <c r="H498" s="35" t="n">
        <v>5</v>
      </c>
      <c r="I498" s="35" t="n">
        <v>5</v>
      </c>
      <c r="J498" s="35" t="n">
        <v>5</v>
      </c>
      <c r="K498" s="35" t="n">
        <v>5</v>
      </c>
      <c r="L498" s="35" t="n">
        <v>5</v>
      </c>
      <c r="M498" s="50" t="n">
        <f aca="false">IF(COUNT(G498:L498)&lt;6,"",ROUND((G498*Rubric!$D$5+H498*Rubric!$D$6+I498*Rubric!$D$7+J498*Rubric!$D$8+K498*Rubric!$D$9+L498*Rubric!$D$10)/5*100,1))</f>
        <v>100</v>
      </c>
      <c r="N498" s="37" t="str">
        <f aca="false">IF(OR(B498="",D498=""),"",IFERROR(IF(IF(E498="Primary",INDEX(Applications!$I$5:$I$600,MATCH(B498,Applications!$A$5:$A$600,0)),IF(E498="Secondary",INDEX(Applications!$J$5:$J$600,MATCH(B498,Applications!$A$5:$A$600,0)),INDEX(Applications!$K$5:$K$600,MATCH(B498,Applications!$A$5:$A$600,0))))=D498,"OK","Not assigned"),"Check ID"))</f>
        <v>OK</v>
      </c>
      <c r="O498" s="7"/>
    </row>
    <row r="499" customFormat="false" ht="15" hidden="false" customHeight="false" outlineLevel="0" collapsed="false">
      <c r="A499" s="35" t="s">
        <v>1896</v>
      </c>
      <c r="B499" s="35" t="s">
        <v>1309</v>
      </c>
      <c r="C499" s="37" t="str">
        <f aca="false">IF(B499="","",IFERROR(INDEX(Applications!$B$5:$B$600,MATCH(B499,Applications!$A$5:$A$600,0)),"Application ID not found"))</f>
        <v>Hamburg Mobile Market</v>
      </c>
      <c r="D499" s="35" t="s">
        <v>91</v>
      </c>
      <c r="E499" s="35" t="s">
        <v>80</v>
      </c>
      <c r="F499" s="36" t="n">
        <v>45945</v>
      </c>
      <c r="G499" s="35" t="n">
        <v>4</v>
      </c>
      <c r="H499" s="35" t="n">
        <v>4</v>
      </c>
      <c r="I499" s="35" t="n">
        <v>4</v>
      </c>
      <c r="J499" s="35" t="n">
        <v>3</v>
      </c>
      <c r="K499" s="35" t="n">
        <v>3</v>
      </c>
      <c r="L499" s="35" t="n">
        <v>3</v>
      </c>
      <c r="M499" s="50" t="n">
        <f aca="false">IF(COUNT(G499:L499)&lt;6,"",ROUND((G499*Rubric!$D$5+H499*Rubric!$D$6+I499*Rubric!$D$7+J499*Rubric!$D$8+K499*Rubric!$D$9+L499*Rubric!$D$10)/5*100,1))</f>
        <v>73</v>
      </c>
      <c r="N499" s="37" t="str">
        <f aca="false">IF(OR(B499="",D499=""),"",IFERROR(IF(IF(E499="Primary",INDEX(Applications!$I$5:$I$600,MATCH(B499,Applications!$A$5:$A$600,0)),IF(E499="Secondary",INDEX(Applications!$J$5:$J$600,MATCH(B499,Applications!$A$5:$A$600,0)),INDEX(Applications!$K$5:$K$600,MATCH(B499,Applications!$A$5:$A$600,0))))=D499,"OK","Not assigned"),"Check ID"))</f>
        <v>OK</v>
      </c>
      <c r="O499" s="7"/>
    </row>
    <row r="500" customFormat="false" ht="15" hidden="false" customHeight="false" outlineLevel="0" collapsed="false">
      <c r="A500" s="35" t="s">
        <v>1897</v>
      </c>
      <c r="B500" s="35" t="s">
        <v>1335</v>
      </c>
      <c r="C500" s="37" t="str">
        <f aca="false">IF(B500="","",IFERROR(INDEX(Applications!$B$5:$B$600,MATCH(B500,Applications!$A$5:$A$600,0)),"Application ID not found"))</f>
        <v>Fairmount Community Pantry</v>
      </c>
      <c r="D500" s="35" t="s">
        <v>91</v>
      </c>
      <c r="E500" s="35" t="s">
        <v>83</v>
      </c>
      <c r="F500" s="36" t="n">
        <v>45945</v>
      </c>
      <c r="G500" s="35" t="n">
        <v>2</v>
      </c>
      <c r="H500" s="35" t="n">
        <v>2</v>
      </c>
      <c r="I500" s="35" t="n">
        <v>2</v>
      </c>
      <c r="J500" s="35" t="n">
        <v>2</v>
      </c>
      <c r="K500" s="35" t="n">
        <v>2</v>
      </c>
      <c r="L500" s="35" t="n">
        <v>2</v>
      </c>
      <c r="M500" s="50" t="n">
        <f aca="false">IF(COUNT(G500:L500)&lt;6,"",ROUND((G500*Rubric!$D$5+H500*Rubric!$D$6+I500*Rubric!$D$7+J500*Rubric!$D$8+K500*Rubric!$D$9+L500*Rubric!$D$10)/5*100,1))</f>
        <v>40</v>
      </c>
      <c r="N500" s="37" t="str">
        <f aca="false">IF(OR(B500="",D500=""),"",IFERROR(IF(IF(E500="Primary",INDEX(Applications!$I$5:$I$600,MATCH(B500,Applications!$A$5:$A$600,0)),IF(E500="Secondary",INDEX(Applications!$J$5:$J$600,MATCH(B500,Applications!$A$5:$A$600,0)),INDEX(Applications!$K$5:$K$600,MATCH(B500,Applications!$A$5:$A$600,0))))=D500,"OK","Not assigned"),"Check ID"))</f>
        <v>OK</v>
      </c>
      <c r="O500" s="7"/>
    </row>
    <row r="501" customFormat="false" ht="15" hidden="false" customHeight="false" outlineLevel="0" collapsed="false">
      <c r="A501" s="35" t="s">
        <v>1898</v>
      </c>
      <c r="B501" s="35" t="s">
        <v>713</v>
      </c>
      <c r="C501" s="37" t="str">
        <f aca="false">IF(B501="","",IFERROR(INDEX(Applications!$B$5:$B$600,MATCH(B501,Applications!$A$5:$A$600,0)),"Application ID not found"))</f>
        <v>Regina Farm School</v>
      </c>
      <c r="D501" s="35" t="s">
        <v>91</v>
      </c>
      <c r="E501" s="35" t="s">
        <v>80</v>
      </c>
      <c r="F501" s="36" t="n">
        <v>45945</v>
      </c>
      <c r="G501" s="35" t="n">
        <v>4</v>
      </c>
      <c r="H501" s="35" t="n">
        <v>5</v>
      </c>
      <c r="I501" s="35" t="n">
        <v>4</v>
      </c>
      <c r="J501" s="35" t="n">
        <v>4</v>
      </c>
      <c r="K501" s="35" t="n">
        <v>4</v>
      </c>
      <c r="L501" s="35" t="n">
        <v>4</v>
      </c>
      <c r="M501" s="50" t="n">
        <f aca="false">IF(COUNT(G501:L501)&lt;6,"",ROUND((G501*Rubric!$D$5+H501*Rubric!$D$6+I501*Rubric!$D$7+J501*Rubric!$D$8+K501*Rubric!$D$9+L501*Rubric!$D$10)/5*100,1))</f>
        <v>84</v>
      </c>
      <c r="N501" s="37" t="str">
        <f aca="false">IF(OR(B501="",D501=""),"",IFERROR(IF(IF(E501="Primary",INDEX(Applications!$I$5:$I$600,MATCH(B501,Applications!$A$5:$A$600,0)),IF(E501="Secondary",INDEX(Applications!$J$5:$J$600,MATCH(B501,Applications!$A$5:$A$600,0)),INDEX(Applications!$K$5:$K$600,MATCH(B501,Applications!$A$5:$A$600,0))))=D501,"OK","Not assigned"),"Check ID"))</f>
        <v>OK</v>
      </c>
      <c r="O501" s="7"/>
    </row>
    <row r="502" customFormat="false" ht="15" hidden="false" customHeight="false" outlineLevel="0" collapsed="false">
      <c r="A502" s="35" t="s">
        <v>1899</v>
      </c>
      <c r="B502" s="35" t="s">
        <v>807</v>
      </c>
      <c r="C502" s="37" t="str">
        <f aca="false">IF(B502="","",IFERROR(INDEX(Applications!$B$5:$B$600,MATCH(B502,Applications!$A$5:$A$600,0)),"Application ID not found"))</f>
        <v>Leipzig Cafe Training Program</v>
      </c>
      <c r="D502" s="35" t="s">
        <v>91</v>
      </c>
      <c r="E502" s="35" t="s">
        <v>83</v>
      </c>
      <c r="F502" s="36" t="n">
        <v>45945</v>
      </c>
      <c r="G502" s="35" t="n">
        <v>4</v>
      </c>
      <c r="H502" s="35" t="n">
        <v>5</v>
      </c>
      <c r="I502" s="35" t="n">
        <v>5</v>
      </c>
      <c r="J502" s="35" t="n">
        <v>5</v>
      </c>
      <c r="K502" s="35" t="n">
        <v>4</v>
      </c>
      <c r="L502" s="35" t="n">
        <v>5</v>
      </c>
      <c r="M502" s="50" t="n">
        <f aca="false">IF(COUNT(G502:L502)&lt;6,"",ROUND((G502*Rubric!$D$5+H502*Rubric!$D$6+I502*Rubric!$D$7+J502*Rubric!$D$8+K502*Rubric!$D$9+L502*Rubric!$D$10)/5*100,1))</f>
        <v>93</v>
      </c>
      <c r="N502" s="37" t="str">
        <f aca="false">IF(OR(B502="",D502=""),"",IFERROR(IF(IF(E502="Primary",INDEX(Applications!$I$5:$I$600,MATCH(B502,Applications!$A$5:$A$600,0)),IF(E502="Secondary",INDEX(Applications!$J$5:$J$600,MATCH(B502,Applications!$A$5:$A$600,0)),INDEX(Applications!$K$5:$K$600,MATCH(B502,Applications!$A$5:$A$600,0))))=D502,"OK","Not assigned"),"Check ID"))</f>
        <v>OK</v>
      </c>
      <c r="O502" s="7"/>
    </row>
    <row r="503" customFormat="false" ht="15" hidden="false" customHeight="false" outlineLevel="0" collapsed="false">
      <c r="A503" s="35" t="s">
        <v>1900</v>
      </c>
      <c r="B503" s="35" t="s">
        <v>446</v>
      </c>
      <c r="C503" s="37" t="str">
        <f aca="false">IF(B503="","",IFERROR(INDEX(Applications!$B$5:$B$600,MATCH(B503,Applications!$A$5:$A$600,0)),"Application ID not found"))</f>
        <v>Tulsa Bakery Collective</v>
      </c>
      <c r="D503" s="35" t="s">
        <v>91</v>
      </c>
      <c r="E503" s="35" t="s">
        <v>83</v>
      </c>
      <c r="F503" s="36" t="n">
        <v>45945</v>
      </c>
      <c r="G503" s="35" t="n">
        <v>4</v>
      </c>
      <c r="H503" s="35" t="n">
        <v>4</v>
      </c>
      <c r="I503" s="35" t="n">
        <v>4</v>
      </c>
      <c r="J503" s="35" t="n">
        <v>4</v>
      </c>
      <c r="K503" s="35" t="n">
        <v>3</v>
      </c>
      <c r="L503" s="35" t="n">
        <v>3</v>
      </c>
      <c r="M503" s="50" t="n">
        <f aca="false">IF(COUNT(G503:L503)&lt;6,"",ROUND((G503*Rubric!$D$5+H503*Rubric!$D$6+I503*Rubric!$D$7+J503*Rubric!$D$8+K503*Rubric!$D$9+L503*Rubric!$D$10)/5*100,1))</f>
        <v>76</v>
      </c>
      <c r="N503" s="37" t="str">
        <f aca="false">IF(OR(B503="",D503=""),"",IFERROR(IF(IF(E503="Primary",INDEX(Applications!$I$5:$I$600,MATCH(B503,Applications!$A$5:$A$600,0)),IF(E503="Secondary",INDEX(Applications!$J$5:$J$600,MATCH(B503,Applications!$A$5:$A$600,0)),INDEX(Applications!$K$5:$K$600,MATCH(B503,Applications!$A$5:$A$600,0))))=D503,"OK","Not assigned"),"Check ID"))</f>
        <v>OK</v>
      </c>
      <c r="O503" s="7"/>
    </row>
    <row r="504" customFormat="false" ht="15" hidden="false" customHeight="false" outlineLevel="0" collapsed="false">
      <c r="A504" s="35" t="s">
        <v>1901</v>
      </c>
      <c r="B504" s="35" t="s">
        <v>404</v>
      </c>
      <c r="C504" s="37" t="str">
        <f aca="false">IF(B504="","",IFERROR(INDEX(Applications!$B$5:$B$600,MATCH(B504,Applications!$A$5:$A$600,0)),"Application ID not found"))</f>
        <v>Jaipur Kitchen Project</v>
      </c>
      <c r="D504" s="35" t="s">
        <v>91</v>
      </c>
      <c r="E504" s="35" t="s">
        <v>83</v>
      </c>
      <c r="F504" s="36" t="n">
        <v>45945</v>
      </c>
      <c r="G504" s="35" t="n">
        <v>3</v>
      </c>
      <c r="H504" s="35" t="n">
        <v>3</v>
      </c>
      <c r="I504" s="35" t="n">
        <v>4</v>
      </c>
      <c r="J504" s="35" t="n">
        <v>4</v>
      </c>
      <c r="K504" s="35" t="n">
        <v>3</v>
      </c>
      <c r="L504" s="35" t="n">
        <v>4</v>
      </c>
      <c r="M504" s="50" t="n">
        <f aca="false">IF(COUNT(G504:L504)&lt;6,"",ROUND((G504*Rubric!$D$5+H504*Rubric!$D$6+I504*Rubric!$D$7+J504*Rubric!$D$8+K504*Rubric!$D$9+L504*Rubric!$D$10)/5*100,1))</f>
        <v>69</v>
      </c>
      <c r="N504" s="37" t="str">
        <f aca="false">IF(OR(B504="",D504=""),"",IFERROR(IF(IF(E504="Primary",INDEX(Applications!$I$5:$I$600,MATCH(B504,Applications!$A$5:$A$600,0)),IF(E504="Secondary",INDEX(Applications!$J$5:$J$600,MATCH(B504,Applications!$A$5:$A$600,0)),INDEX(Applications!$K$5:$K$600,MATCH(B504,Applications!$A$5:$A$600,0))))=D504,"OK","Not assigned"),"Check ID"))</f>
        <v>OK</v>
      </c>
      <c r="O504" s="7"/>
    </row>
    <row r="505" customFormat="false" ht="15" hidden="false" customHeight="false" outlineLevel="0" collapsed="false">
      <c r="A505" s="35" t="s">
        <v>1902</v>
      </c>
      <c r="B505" s="35" t="s">
        <v>1281</v>
      </c>
      <c r="C505" s="37" t="str">
        <f aca="false">IF(B505="","",IFERROR(INDEX(Applications!$B$5:$B$600,MATCH(B505,Applications!$A$5:$A$600,0)),"Application ID not found"))</f>
        <v>Lakeshore Food Shelf</v>
      </c>
      <c r="D505" s="35" t="s">
        <v>91</v>
      </c>
      <c r="E505" s="35" t="s">
        <v>80</v>
      </c>
      <c r="F505" s="36" t="n">
        <v>45945</v>
      </c>
      <c r="G505" s="35" t="n">
        <v>4</v>
      </c>
      <c r="H505" s="35" t="n">
        <v>4</v>
      </c>
      <c r="I505" s="35" t="n">
        <v>3</v>
      </c>
      <c r="J505" s="35" t="n">
        <v>4</v>
      </c>
      <c r="K505" s="35" t="n">
        <v>3</v>
      </c>
      <c r="L505" s="35" t="n">
        <v>3</v>
      </c>
      <c r="M505" s="50" t="n">
        <f aca="false">IF(COUNT(G505:L505)&lt;6,"",ROUND((G505*Rubric!$D$5+H505*Rubric!$D$6+I505*Rubric!$D$7+J505*Rubric!$D$8+K505*Rubric!$D$9+L505*Rubric!$D$10)/5*100,1))</f>
        <v>72</v>
      </c>
      <c r="N505" s="37" t="str">
        <f aca="false">IF(OR(B505="",D505=""),"",IFERROR(IF(IF(E505="Primary",INDEX(Applications!$I$5:$I$600,MATCH(B505,Applications!$A$5:$A$600,0)),IF(E505="Secondary",INDEX(Applications!$J$5:$J$600,MATCH(B505,Applications!$A$5:$A$600,0)),INDEX(Applications!$K$5:$K$600,MATCH(B505,Applications!$A$5:$A$600,0))))=D505,"OK","Not assigned"),"Check ID"))</f>
        <v>OK</v>
      </c>
      <c r="O505" s="7" t="s">
        <v>1428</v>
      </c>
    </row>
    <row r="506" customFormat="false" ht="15" hidden="false" customHeight="false" outlineLevel="0" collapsed="false">
      <c r="A506" s="35" t="s">
        <v>1903</v>
      </c>
      <c r="B506" s="35" t="s">
        <v>677</v>
      </c>
      <c r="C506" s="37" t="str">
        <f aca="false">IF(B506="","",IFERROR(INDEX(Applications!$B$5:$B$600,MATCH(B506,Applications!$A$5:$A$600,0)),"Application ID not found"))</f>
        <v>Thistle Community Kitchen</v>
      </c>
      <c r="D506" s="35" t="s">
        <v>91</v>
      </c>
      <c r="E506" s="35" t="s">
        <v>83</v>
      </c>
      <c r="F506" s="36" t="n">
        <v>45945</v>
      </c>
      <c r="G506" s="35" t="n">
        <v>5</v>
      </c>
      <c r="H506" s="35" t="n">
        <v>5</v>
      </c>
      <c r="I506" s="35" t="n">
        <v>4</v>
      </c>
      <c r="J506" s="35" t="n">
        <v>4</v>
      </c>
      <c r="K506" s="35" t="n">
        <v>4</v>
      </c>
      <c r="L506" s="35" t="n">
        <v>3</v>
      </c>
      <c r="M506" s="50" t="n">
        <f aca="false">IF(COUNT(G506:L506)&lt;6,"",ROUND((G506*Rubric!$D$5+H506*Rubric!$D$6+I506*Rubric!$D$7+J506*Rubric!$D$8+K506*Rubric!$D$9+L506*Rubric!$D$10)/5*100,1))</f>
        <v>87</v>
      </c>
      <c r="N506" s="37" t="str">
        <f aca="false">IF(OR(B506="",D506=""),"",IFERROR(IF(IF(E506="Primary",INDEX(Applications!$I$5:$I$600,MATCH(B506,Applications!$A$5:$A$600,0)),IF(E506="Secondary",INDEX(Applications!$J$5:$J$600,MATCH(B506,Applications!$A$5:$A$600,0)),INDEX(Applications!$K$5:$K$600,MATCH(B506,Applications!$A$5:$A$600,0))))=D506,"OK","Not assigned"),"Check ID"))</f>
        <v>OK</v>
      </c>
      <c r="O506" s="7"/>
    </row>
    <row r="507" customFormat="false" ht="15" hidden="false" customHeight="false" outlineLevel="0" collapsed="false">
      <c r="A507" s="35" t="s">
        <v>1904</v>
      </c>
      <c r="B507" s="35" t="s">
        <v>484</v>
      </c>
      <c r="C507" s="37" t="str">
        <f aca="false">IF(B507="","",IFERROR(INDEX(Applications!$B$5:$B$600,MATCH(B507,Applications!$A$5:$A$600,0)),"Application ID not found"))</f>
        <v>Kestrel Bakery Collective</v>
      </c>
      <c r="D507" s="35" t="s">
        <v>91</v>
      </c>
      <c r="E507" s="35" t="s">
        <v>80</v>
      </c>
      <c r="F507" s="36" t="n">
        <v>45945</v>
      </c>
      <c r="G507" s="35" t="n">
        <v>4</v>
      </c>
      <c r="H507" s="35" t="n">
        <v>3</v>
      </c>
      <c r="I507" s="35" t="n">
        <v>3</v>
      </c>
      <c r="J507" s="35" t="n">
        <v>4</v>
      </c>
      <c r="K507" s="35" t="n">
        <v>3</v>
      </c>
      <c r="L507" s="35" t="n">
        <v>3</v>
      </c>
      <c r="M507" s="50" t="n">
        <f aca="false">IF(COUNT(G507:L507)&lt;6,"",ROUND((G507*Rubric!$D$5+H507*Rubric!$D$6+I507*Rubric!$D$7+J507*Rubric!$D$8+K507*Rubric!$D$9+L507*Rubric!$D$10)/5*100,1))</f>
        <v>68</v>
      </c>
      <c r="N507" s="37" t="str">
        <f aca="false">IF(OR(B507="",D507=""),"",IFERROR(IF(IF(E507="Primary",INDEX(Applications!$I$5:$I$600,MATCH(B507,Applications!$A$5:$A$600,0)),IF(E507="Secondary",INDEX(Applications!$J$5:$J$600,MATCH(B507,Applications!$A$5:$A$600,0)),INDEX(Applications!$K$5:$K$600,MATCH(B507,Applications!$A$5:$A$600,0))))=D507,"OK","Not assigned"),"Check ID"))</f>
        <v>OK</v>
      </c>
      <c r="O507" s="7"/>
    </row>
    <row r="508" customFormat="false" ht="15" hidden="false" customHeight="false" outlineLevel="0" collapsed="false">
      <c r="A508" s="35" t="s">
        <v>1905</v>
      </c>
      <c r="B508" s="35" t="s">
        <v>795</v>
      </c>
      <c r="C508" s="37" t="str">
        <f aca="false">IF(B508="","",IFERROR(INDEX(Applications!$B$5:$B$600,MATCH(B508,Applications!$A$5:$A$600,0)),"Application ID not found"))</f>
        <v>Linden Mobile Market</v>
      </c>
      <c r="D508" s="35" t="s">
        <v>91</v>
      </c>
      <c r="E508" s="35" t="s">
        <v>80</v>
      </c>
      <c r="F508" s="36" t="n">
        <v>45945</v>
      </c>
      <c r="G508" s="35" t="n">
        <v>3</v>
      </c>
      <c r="H508" s="35" t="n">
        <v>3</v>
      </c>
      <c r="I508" s="35" t="n">
        <v>4</v>
      </c>
      <c r="J508" s="35" t="n">
        <v>4</v>
      </c>
      <c r="K508" s="35" t="n">
        <v>4</v>
      </c>
      <c r="L508" s="35" t="n">
        <v>4</v>
      </c>
      <c r="M508" s="50" t="n">
        <f aca="false">IF(COUNT(G508:L508)&lt;6,"",ROUND((G508*Rubric!$D$5+H508*Rubric!$D$6+I508*Rubric!$D$7+J508*Rubric!$D$8+K508*Rubric!$D$9+L508*Rubric!$D$10)/5*100,1))</f>
        <v>71</v>
      </c>
      <c r="N508" s="37" t="str">
        <f aca="false">IF(OR(B508="",D508=""),"",IFERROR(IF(IF(E508="Primary",INDEX(Applications!$I$5:$I$600,MATCH(B508,Applications!$A$5:$A$600,0)),IF(E508="Secondary",INDEX(Applications!$J$5:$J$600,MATCH(B508,Applications!$A$5:$A$600,0)),INDEX(Applications!$K$5:$K$600,MATCH(B508,Applications!$A$5:$A$600,0))))=D508,"OK","Not assigned"),"Check ID"))</f>
        <v>OK</v>
      </c>
      <c r="O508" s="7" t="s">
        <v>1398</v>
      </c>
    </row>
    <row r="509" customFormat="false" ht="15" hidden="false" customHeight="false" outlineLevel="0" collapsed="false">
      <c r="A509" s="35" t="s">
        <v>1906</v>
      </c>
      <c r="B509" s="35" t="s">
        <v>779</v>
      </c>
      <c r="C509" s="37" t="str">
        <f aca="false">IF(B509="","",IFERROR(INDEX(Applications!$B$5:$B$600,MATCH(B509,Applications!$A$5:$A$600,0)),"Application ID not found"))</f>
        <v>Memphis Pantry Network</v>
      </c>
      <c r="D509" s="35" t="s">
        <v>94</v>
      </c>
      <c r="E509" s="35" t="s">
        <v>80</v>
      </c>
      <c r="F509" s="36" t="n">
        <v>45945</v>
      </c>
      <c r="G509" s="35" t="n">
        <v>3</v>
      </c>
      <c r="H509" s="35" t="n">
        <v>4</v>
      </c>
      <c r="I509" s="35" t="n">
        <v>3</v>
      </c>
      <c r="J509" s="35" t="n">
        <v>3</v>
      </c>
      <c r="K509" s="35" t="n">
        <v>3</v>
      </c>
      <c r="L509" s="35" t="n">
        <v>3</v>
      </c>
      <c r="M509" s="50" t="n">
        <f aca="false">IF(COUNT(G509:L509)&lt;6,"",ROUND((G509*Rubric!$D$5+H509*Rubric!$D$6+I509*Rubric!$D$7+J509*Rubric!$D$8+K509*Rubric!$D$9+L509*Rubric!$D$10)/5*100,1))</f>
        <v>64</v>
      </c>
      <c r="N509" s="37" t="str">
        <f aca="false">IF(OR(B509="",D509=""),"",IFERROR(IF(IF(E509="Primary",INDEX(Applications!$I$5:$I$600,MATCH(B509,Applications!$A$5:$A$600,0)),IF(E509="Secondary",INDEX(Applications!$J$5:$J$600,MATCH(B509,Applications!$A$5:$A$600,0)),INDEX(Applications!$K$5:$K$600,MATCH(B509,Applications!$A$5:$A$600,0))))=D509,"OK","Not assigned"),"Check ID"))</f>
        <v>OK</v>
      </c>
      <c r="O509" s="7"/>
    </row>
    <row r="510" customFormat="false" ht="15" hidden="false" customHeight="false" outlineLevel="0" collapsed="false">
      <c r="A510" s="35" t="s">
        <v>1907</v>
      </c>
      <c r="B510" s="35" t="s">
        <v>1221</v>
      </c>
      <c r="C510" s="37" t="str">
        <f aca="false">IF(B510="","",IFERROR(INDEX(Applications!$B$5:$B$600,MATCH(B510,Applications!$A$5:$A$600,0)),"Application ID not found"))</f>
        <v>Cork Schools Nutrition Fund</v>
      </c>
      <c r="D510" s="35" t="s">
        <v>94</v>
      </c>
      <c r="E510" s="35" t="s">
        <v>80</v>
      </c>
      <c r="F510" s="36" t="n">
        <v>45945</v>
      </c>
      <c r="G510" s="35" t="n">
        <v>3</v>
      </c>
      <c r="H510" s="35" t="n">
        <v>4</v>
      </c>
      <c r="I510" s="35" t="n">
        <v>4</v>
      </c>
      <c r="J510" s="35" t="n">
        <v>4</v>
      </c>
      <c r="K510" s="35" t="n">
        <v>4</v>
      </c>
      <c r="L510" s="35" t="n">
        <v>4</v>
      </c>
      <c r="M510" s="50" t="n">
        <f aca="false">IF(COUNT(G510:L510)&lt;6,"",ROUND((G510*Rubric!$D$5+H510*Rubric!$D$6+I510*Rubric!$D$7+J510*Rubric!$D$8+K510*Rubric!$D$9+L510*Rubric!$D$10)/5*100,1))</f>
        <v>75</v>
      </c>
      <c r="N510" s="37" t="str">
        <f aca="false">IF(OR(B510="",D510=""),"",IFERROR(IF(IF(E510="Primary",INDEX(Applications!$I$5:$I$600,MATCH(B510,Applications!$A$5:$A$600,0)),IF(E510="Secondary",INDEX(Applications!$J$5:$J$600,MATCH(B510,Applications!$A$5:$A$600,0)),INDEX(Applications!$K$5:$K$600,MATCH(B510,Applications!$A$5:$A$600,0))))=D510,"OK","Not assigned"),"Check ID"))</f>
        <v>OK</v>
      </c>
      <c r="O510" s="7"/>
    </row>
    <row r="511" customFormat="false" ht="15" hidden="false" customHeight="false" outlineLevel="0" collapsed="false">
      <c r="A511" s="35" t="s">
        <v>1908</v>
      </c>
      <c r="B511" s="35" t="s">
        <v>675</v>
      </c>
      <c r="C511" s="37" t="str">
        <f aca="false">IF(B511="","",IFERROR(INDEX(Applications!$B$5:$B$600,MATCH(B511,Applications!$A$5:$A$600,0)),"Application ID not found"))</f>
        <v>Cedar Community Pantry</v>
      </c>
      <c r="D511" s="35" t="s">
        <v>94</v>
      </c>
      <c r="E511" s="35" t="s">
        <v>83</v>
      </c>
      <c r="F511" s="36" t="n">
        <v>45945</v>
      </c>
      <c r="G511" s="35" t="n">
        <v>3</v>
      </c>
      <c r="H511" s="35" t="n">
        <v>3</v>
      </c>
      <c r="I511" s="35" t="n">
        <v>3</v>
      </c>
      <c r="J511" s="35" t="n">
        <v>3</v>
      </c>
      <c r="K511" s="35" t="n">
        <v>3</v>
      </c>
      <c r="L511" s="35" t="n">
        <v>3</v>
      </c>
      <c r="M511" s="50" t="n">
        <f aca="false">IF(COUNT(G511:L511)&lt;6,"",ROUND((G511*Rubric!$D$5+H511*Rubric!$D$6+I511*Rubric!$D$7+J511*Rubric!$D$8+K511*Rubric!$D$9+L511*Rubric!$D$10)/5*100,1))</f>
        <v>60</v>
      </c>
      <c r="N511" s="37" t="str">
        <f aca="false">IF(OR(B511="",D511=""),"",IFERROR(IF(IF(E511="Primary",INDEX(Applications!$I$5:$I$600,MATCH(B511,Applications!$A$5:$A$600,0)),IF(E511="Secondary",INDEX(Applications!$J$5:$J$600,MATCH(B511,Applications!$A$5:$A$600,0)),INDEX(Applications!$K$5:$K$600,MATCH(B511,Applications!$A$5:$A$600,0))))=D511,"OK","Not assigned"),"Check ID"))</f>
        <v>OK</v>
      </c>
      <c r="O511" s="7"/>
    </row>
    <row r="512" customFormat="false" ht="15" hidden="false" customHeight="false" outlineLevel="0" collapsed="false">
      <c r="A512" s="35" t="s">
        <v>1909</v>
      </c>
      <c r="B512" s="35" t="s">
        <v>394</v>
      </c>
      <c r="C512" s="37" t="str">
        <f aca="false">IF(B512="","",IFERROR(INDEX(Applications!$B$5:$B$600,MATCH(B512,Applications!$A$5:$A$600,0)),"Application ID not found"))</f>
        <v>Memphis Community Kitchen</v>
      </c>
      <c r="D512" s="35" t="s">
        <v>94</v>
      </c>
      <c r="E512" s="35" t="s">
        <v>83</v>
      </c>
      <c r="F512" s="36" t="n">
        <v>45945</v>
      </c>
      <c r="G512" s="35" t="n">
        <v>2</v>
      </c>
      <c r="H512" s="35" t="n">
        <v>2</v>
      </c>
      <c r="I512" s="35" t="n">
        <v>2</v>
      </c>
      <c r="J512" s="35" t="n">
        <v>2</v>
      </c>
      <c r="K512" s="35" t="n">
        <v>2</v>
      </c>
      <c r="L512" s="35" t="n">
        <v>2</v>
      </c>
      <c r="M512" s="50" t="n">
        <f aca="false">IF(COUNT(G512:L512)&lt;6,"",ROUND((G512*Rubric!$D$5+H512*Rubric!$D$6+I512*Rubric!$D$7+J512*Rubric!$D$8+K512*Rubric!$D$9+L512*Rubric!$D$10)/5*100,1))</f>
        <v>40</v>
      </c>
      <c r="N512" s="37" t="str">
        <f aca="false">IF(OR(B512="",D512=""),"",IFERROR(IF(IF(E512="Primary",INDEX(Applications!$I$5:$I$600,MATCH(B512,Applications!$A$5:$A$600,0)),IF(E512="Secondary",INDEX(Applications!$J$5:$J$600,MATCH(B512,Applications!$A$5:$A$600,0)),INDEX(Applications!$K$5:$K$600,MATCH(B512,Applications!$A$5:$A$600,0))))=D512,"OK","Not assigned"),"Check ID"))</f>
        <v>OK</v>
      </c>
      <c r="O512" s="7"/>
    </row>
    <row r="513" customFormat="false" ht="15" hidden="false" customHeight="false" outlineLevel="0" collapsed="false">
      <c r="A513" s="35" t="s">
        <v>1910</v>
      </c>
      <c r="B513" s="35" t="s">
        <v>351</v>
      </c>
      <c r="C513" s="37" t="str">
        <f aca="false">IF(B513="","",IFERROR(INDEX(Applications!$B$5:$B$600,MATCH(B513,Applications!$A$5:$A$600,0)),"Application ID not found"))</f>
        <v>Dayton Youth Food Lab</v>
      </c>
      <c r="D513" s="35" t="s">
        <v>94</v>
      </c>
      <c r="E513" s="35" t="s">
        <v>80</v>
      </c>
      <c r="F513" s="36" t="n">
        <v>45945</v>
      </c>
      <c r="G513" s="35" t="n">
        <v>4</v>
      </c>
      <c r="H513" s="35" t="n">
        <v>5</v>
      </c>
      <c r="I513" s="35" t="n">
        <v>5</v>
      </c>
      <c r="J513" s="35" t="n">
        <v>4</v>
      </c>
      <c r="K513" s="35" t="n">
        <v>5</v>
      </c>
      <c r="L513" s="35" t="n">
        <v>4</v>
      </c>
      <c r="M513" s="50" t="n">
        <f aca="false">IF(COUNT(G513:L513)&lt;6,"",ROUND((G513*Rubric!$D$5+H513*Rubric!$D$6+I513*Rubric!$D$7+J513*Rubric!$D$8+K513*Rubric!$D$9+L513*Rubric!$D$10)/5*100,1))</f>
        <v>90</v>
      </c>
      <c r="N513" s="37" t="str">
        <f aca="false">IF(OR(B513="",D513=""),"",IFERROR(IF(IF(E513="Primary",INDEX(Applications!$I$5:$I$600,MATCH(B513,Applications!$A$5:$A$600,0)),IF(E513="Secondary",INDEX(Applications!$J$5:$J$600,MATCH(B513,Applications!$A$5:$A$600,0)),INDEX(Applications!$K$5:$K$600,MATCH(B513,Applications!$A$5:$A$600,0))))=D513,"OK","Not assigned"),"Check ID"))</f>
        <v>OK</v>
      </c>
      <c r="O513" s="7"/>
    </row>
    <row r="514" customFormat="false" ht="15" hidden="false" customHeight="false" outlineLevel="0" collapsed="false">
      <c r="A514" s="35" t="s">
        <v>1911</v>
      </c>
      <c r="B514" s="35" t="s">
        <v>1147</v>
      </c>
      <c r="C514" s="37" t="str">
        <f aca="false">IF(B514="","",IFERROR(INDEX(Applications!$B$5:$B$600,MATCH(B514,Applications!$A$5:$A$600,0)),"Application ID not found"))</f>
        <v>Canal Street Meals Project</v>
      </c>
      <c r="D514" s="35" t="s">
        <v>94</v>
      </c>
      <c r="E514" s="35" t="s">
        <v>80</v>
      </c>
      <c r="F514" s="36" t="n">
        <v>45945</v>
      </c>
      <c r="G514" s="35" t="n">
        <v>3</v>
      </c>
      <c r="H514" s="35" t="n">
        <v>3</v>
      </c>
      <c r="I514" s="35" t="n">
        <v>3</v>
      </c>
      <c r="J514" s="35" t="n">
        <v>3</v>
      </c>
      <c r="K514" s="35" t="n">
        <v>2</v>
      </c>
      <c r="L514" s="35" t="n">
        <v>3</v>
      </c>
      <c r="M514" s="50" t="n">
        <f aca="false">IF(COUNT(G514:L514)&lt;6,"",ROUND((G514*Rubric!$D$5+H514*Rubric!$D$6+I514*Rubric!$D$7+J514*Rubric!$D$8+K514*Rubric!$D$9+L514*Rubric!$D$10)/5*100,1))</f>
        <v>58</v>
      </c>
      <c r="N514" s="37" t="str">
        <f aca="false">IF(OR(B514="",D514=""),"",IFERROR(IF(IF(E514="Primary",INDEX(Applications!$I$5:$I$600,MATCH(B514,Applications!$A$5:$A$600,0)),IF(E514="Secondary",INDEX(Applications!$J$5:$J$600,MATCH(B514,Applications!$A$5:$A$600,0)),INDEX(Applications!$K$5:$K$600,MATCH(B514,Applications!$A$5:$A$600,0))))=D514,"OK","Not assigned"),"Check ID"))</f>
        <v>OK</v>
      </c>
      <c r="O514" s="7"/>
    </row>
    <row r="515" customFormat="false" ht="15" hidden="false" customHeight="false" outlineLevel="0" collapsed="false">
      <c r="A515" s="35" t="s">
        <v>1912</v>
      </c>
      <c r="B515" s="35" t="s">
        <v>773</v>
      </c>
      <c r="C515" s="37" t="str">
        <f aca="false">IF(B515="","",IFERROR(INDEX(Applications!$B$5:$B$600,MATCH(B515,Applications!$A$5:$A$600,0)),"Application ID not found"))</f>
        <v>Juniper Culinary Works</v>
      </c>
      <c r="D515" s="35" t="s">
        <v>94</v>
      </c>
      <c r="E515" s="35" t="s">
        <v>80</v>
      </c>
      <c r="F515" s="36" t="n">
        <v>45945</v>
      </c>
      <c r="G515" s="35" t="n">
        <v>3</v>
      </c>
      <c r="H515" s="35" t="n">
        <v>4</v>
      </c>
      <c r="I515" s="35" t="n">
        <v>4</v>
      </c>
      <c r="J515" s="35" t="n">
        <v>4</v>
      </c>
      <c r="K515" s="35" t="n">
        <v>4</v>
      </c>
      <c r="L515" s="35" t="n">
        <v>3</v>
      </c>
      <c r="M515" s="50" t="n">
        <f aca="false">IF(COUNT(G515:L515)&lt;6,"",ROUND((G515*Rubric!$D$5+H515*Rubric!$D$6+I515*Rubric!$D$7+J515*Rubric!$D$8+K515*Rubric!$D$9+L515*Rubric!$D$10)/5*100,1))</f>
        <v>73</v>
      </c>
      <c r="N515" s="37" t="str">
        <f aca="false">IF(OR(B515="",D515=""),"",IFERROR(IF(IF(E515="Primary",INDEX(Applications!$I$5:$I$600,MATCH(B515,Applications!$A$5:$A$600,0)),IF(E515="Secondary",INDEX(Applications!$J$5:$J$600,MATCH(B515,Applications!$A$5:$A$600,0)),INDEX(Applications!$K$5:$K$600,MATCH(B515,Applications!$A$5:$A$600,0))))=D515,"OK","Not assigned"),"Check ID"))</f>
        <v>OK</v>
      </c>
      <c r="O515" s="7"/>
    </row>
    <row r="516" customFormat="false" ht="15" hidden="false" customHeight="false" outlineLevel="0" collapsed="false">
      <c r="A516" s="35" t="s">
        <v>1913</v>
      </c>
      <c r="B516" s="35" t="s">
        <v>1277</v>
      </c>
      <c r="C516" s="37" t="str">
        <f aca="false">IF(B516="","",IFERROR(INDEX(Applications!$B$5:$B$600,MATCH(B516,Applications!$A$5:$A$600,0)),"Application ID not found"))</f>
        <v>Ironwood Seed Library</v>
      </c>
      <c r="D516" s="35" t="s">
        <v>94</v>
      </c>
      <c r="E516" s="35" t="s">
        <v>80</v>
      </c>
      <c r="F516" s="36" t="n">
        <v>45945</v>
      </c>
      <c r="G516" s="35" t="n">
        <v>2</v>
      </c>
      <c r="H516" s="35" t="n">
        <v>1</v>
      </c>
      <c r="I516" s="35" t="n">
        <v>2</v>
      </c>
      <c r="J516" s="35" t="n">
        <v>2</v>
      </c>
      <c r="K516" s="35" t="n">
        <v>3</v>
      </c>
      <c r="L516" s="35" t="n">
        <v>2</v>
      </c>
      <c r="M516" s="50" t="n">
        <f aca="false">IF(COUNT(G516:L516)&lt;6,"",ROUND((G516*Rubric!$D$5+H516*Rubric!$D$6+I516*Rubric!$D$7+J516*Rubric!$D$8+K516*Rubric!$D$9+L516*Rubric!$D$10)/5*100,1))</f>
        <v>38</v>
      </c>
      <c r="N516" s="37" t="str">
        <f aca="false">IF(OR(B516="",D516=""),"",IFERROR(IF(IF(E516="Primary",INDEX(Applications!$I$5:$I$600,MATCH(B516,Applications!$A$5:$A$600,0)),IF(E516="Secondary",INDEX(Applications!$J$5:$J$600,MATCH(B516,Applications!$A$5:$A$600,0)),INDEX(Applications!$K$5:$K$600,MATCH(B516,Applications!$A$5:$A$600,0))))=D516,"OK","Not assigned"),"Check ID"))</f>
        <v>OK</v>
      </c>
      <c r="O516" s="7" t="s">
        <v>1402</v>
      </c>
    </row>
    <row r="517" customFormat="false" ht="15" hidden="false" customHeight="false" outlineLevel="0" collapsed="false">
      <c r="A517" s="35" t="s">
        <v>1914</v>
      </c>
      <c r="B517" s="35" t="s">
        <v>801</v>
      </c>
      <c r="C517" s="37" t="str">
        <f aca="false">IF(B517="","",IFERROR(INDEX(Applications!$B$5:$B$600,MATCH(B517,Applications!$A$5:$A$600,0)),"Application ID not found"))</f>
        <v>Linden Kitchen Project</v>
      </c>
      <c r="D517" s="35" t="s">
        <v>94</v>
      </c>
      <c r="E517" s="35" t="s">
        <v>83</v>
      </c>
      <c r="F517" s="36" t="n">
        <v>45945</v>
      </c>
      <c r="G517" s="35" t="n">
        <v>2</v>
      </c>
      <c r="H517" s="35" t="n">
        <v>3</v>
      </c>
      <c r="I517" s="35" t="n">
        <v>2</v>
      </c>
      <c r="J517" s="35" t="n">
        <v>2</v>
      </c>
      <c r="K517" s="35" t="n">
        <v>2</v>
      </c>
      <c r="L517" s="35" t="n">
        <v>3</v>
      </c>
      <c r="M517" s="50" t="n">
        <f aca="false">IF(COUNT(G517:L517)&lt;6,"",ROUND((G517*Rubric!$D$5+H517*Rubric!$D$6+I517*Rubric!$D$7+J517*Rubric!$D$8+K517*Rubric!$D$9+L517*Rubric!$D$10)/5*100,1))</f>
        <v>46</v>
      </c>
      <c r="N517" s="37" t="str">
        <f aca="false">IF(OR(B517="",D517=""),"",IFERROR(IF(IF(E517="Primary",INDEX(Applications!$I$5:$I$600,MATCH(B517,Applications!$A$5:$A$600,0)),IF(E517="Secondary",INDEX(Applications!$J$5:$J$600,MATCH(B517,Applications!$A$5:$A$600,0)),INDEX(Applications!$K$5:$K$600,MATCH(B517,Applications!$A$5:$A$600,0))))=D517,"OK","Not assigned"),"Check ID"))</f>
        <v>OK</v>
      </c>
      <c r="O517" s="7"/>
    </row>
    <row r="518" customFormat="false" ht="15" hidden="false" customHeight="false" outlineLevel="0" collapsed="false">
      <c r="A518" s="35" t="s">
        <v>1915</v>
      </c>
      <c r="B518" s="35" t="s">
        <v>875</v>
      </c>
      <c r="C518" s="37" t="str">
        <f aca="false">IF(B518="","",IFERROR(INDEX(Applications!$B$5:$B$600,MATCH(B518,Applications!$A$5:$A$600,0)),"Application ID not found"))</f>
        <v>Maple Street Family Center</v>
      </c>
      <c r="D518" s="35" t="s">
        <v>94</v>
      </c>
      <c r="E518" s="35" t="s">
        <v>83</v>
      </c>
      <c r="F518" s="36" t="n">
        <v>45945</v>
      </c>
      <c r="G518" s="35" t="n">
        <v>4</v>
      </c>
      <c r="H518" s="35" t="n">
        <v>5</v>
      </c>
      <c r="I518" s="35" t="n">
        <v>5</v>
      </c>
      <c r="J518" s="35" t="n">
        <v>4</v>
      </c>
      <c r="K518" s="35" t="n">
        <v>5</v>
      </c>
      <c r="L518" s="35" t="n">
        <v>5</v>
      </c>
      <c r="M518" s="50" t="n">
        <f aca="false">IF(COUNT(G518:L518)&lt;6,"",ROUND((G518*Rubric!$D$5+H518*Rubric!$D$6+I518*Rubric!$D$7+J518*Rubric!$D$8+K518*Rubric!$D$9+L518*Rubric!$D$10)/5*100,1))</f>
        <v>92</v>
      </c>
      <c r="N518" s="37" t="str">
        <f aca="false">IF(OR(B518="",D518=""),"",IFERROR(IF(IF(E518="Primary",INDEX(Applications!$I$5:$I$600,MATCH(B518,Applications!$A$5:$A$600,0)),IF(E518="Secondary",INDEX(Applications!$J$5:$J$600,MATCH(B518,Applications!$A$5:$A$600,0)),INDEX(Applications!$K$5:$K$600,MATCH(B518,Applications!$A$5:$A$600,0))))=D518,"OK","Not assigned"),"Check ID"))</f>
        <v>OK</v>
      </c>
      <c r="O518" s="7"/>
    </row>
    <row r="519" customFormat="false" ht="15" hidden="false" customHeight="false" outlineLevel="0" collapsed="false">
      <c r="A519" s="35" t="s">
        <v>1916</v>
      </c>
      <c r="B519" s="35" t="s">
        <v>325</v>
      </c>
      <c r="C519" s="37" t="str">
        <f aca="false">IF(B519="","",IFERROR(INDEX(Applications!$B$5:$B$600,MATCH(B519,Applications!$A$5:$A$600,0)),"Application ID not found"))</f>
        <v>Willow Run Community Kitchen</v>
      </c>
      <c r="D519" s="35" t="s">
        <v>94</v>
      </c>
      <c r="E519" s="35" t="s">
        <v>83</v>
      </c>
      <c r="F519" s="36" t="n">
        <v>45945</v>
      </c>
      <c r="G519" s="35" t="n">
        <v>3</v>
      </c>
      <c r="H519" s="35" t="n">
        <v>4</v>
      </c>
      <c r="I519" s="35" t="n">
        <v>4</v>
      </c>
      <c r="J519" s="35" t="n">
        <v>4</v>
      </c>
      <c r="K519" s="35" t="n">
        <v>4</v>
      </c>
      <c r="L519" s="35" t="n">
        <v>3</v>
      </c>
      <c r="M519" s="50" t="n">
        <f aca="false">IF(COUNT(G519:L519)&lt;6,"",ROUND((G519*Rubric!$D$5+H519*Rubric!$D$6+I519*Rubric!$D$7+J519*Rubric!$D$8+K519*Rubric!$D$9+L519*Rubric!$D$10)/5*100,1))</f>
        <v>73</v>
      </c>
      <c r="N519" s="37" t="str">
        <f aca="false">IF(OR(B519="",D519=""),"",IFERROR(IF(IF(E519="Primary",INDEX(Applications!$I$5:$I$600,MATCH(B519,Applications!$A$5:$A$600,0)),IF(E519="Secondary",INDEX(Applications!$J$5:$J$600,MATCH(B519,Applications!$A$5:$A$600,0)),INDEX(Applications!$K$5:$K$600,MATCH(B519,Applications!$A$5:$A$600,0))))=D519,"OK","Not assigned"),"Check ID"))</f>
        <v>OK</v>
      </c>
      <c r="O519" s="7"/>
    </row>
    <row r="520" customFormat="false" ht="15" hidden="false" customHeight="false" outlineLevel="0" collapsed="false">
      <c r="A520" s="35" t="s">
        <v>1917</v>
      </c>
      <c r="B520" s="35" t="s">
        <v>597</v>
      </c>
      <c r="C520" s="37" t="str">
        <f aca="false">IF(B520="","",IFERROR(INDEX(Applications!$B$5:$B$600,MATCH(B520,Applications!$A$5:$A$600,0)),"Application ID not found"))</f>
        <v>Open Door Schools Nutrition Fund</v>
      </c>
      <c r="D520" s="35" t="s">
        <v>94</v>
      </c>
      <c r="E520" s="35" t="s">
        <v>80</v>
      </c>
      <c r="F520" s="36" t="n">
        <v>45945</v>
      </c>
      <c r="G520" s="35" t="n">
        <v>4</v>
      </c>
      <c r="H520" s="35" t="n">
        <v>3</v>
      </c>
      <c r="I520" s="35" t="n">
        <v>4</v>
      </c>
      <c r="J520" s="35" t="n">
        <v>4</v>
      </c>
      <c r="K520" s="35" t="n">
        <v>4</v>
      </c>
      <c r="L520" s="35" t="n">
        <v>5</v>
      </c>
      <c r="M520" s="50" t="n">
        <f aca="false">IF(COUNT(G520:L520)&lt;6,"",ROUND((G520*Rubric!$D$5+H520*Rubric!$D$6+I520*Rubric!$D$7+J520*Rubric!$D$8+K520*Rubric!$D$9+L520*Rubric!$D$10)/5*100,1))</f>
        <v>78</v>
      </c>
      <c r="N520" s="37" t="str">
        <f aca="false">IF(OR(B520="",D520=""),"",IFERROR(IF(IF(E520="Primary",INDEX(Applications!$I$5:$I$600,MATCH(B520,Applications!$A$5:$A$600,0)),IF(E520="Secondary",INDEX(Applications!$J$5:$J$600,MATCH(B520,Applications!$A$5:$A$600,0)),INDEX(Applications!$K$5:$K$600,MATCH(B520,Applications!$A$5:$A$600,0))))=D520,"OK","Not assigned"),"Check ID"))</f>
        <v>OK</v>
      </c>
      <c r="O520" s="7"/>
    </row>
    <row r="521" customFormat="false" ht="15" hidden="false" customHeight="false" outlineLevel="0" collapsed="false">
      <c r="A521" s="35" t="s">
        <v>1918</v>
      </c>
      <c r="B521" s="35" t="s">
        <v>341</v>
      </c>
      <c r="C521" s="37" t="str">
        <f aca="false">IF(B521="","",IFERROR(INDEX(Applications!$B$5:$B$600,MATCH(B521,Applications!$A$5:$A$600,0)),"Application ID not found"))</f>
        <v>Quezon City Meals Project</v>
      </c>
      <c r="D521" s="35" t="s">
        <v>94</v>
      </c>
      <c r="E521" s="35" t="s">
        <v>80</v>
      </c>
      <c r="F521" s="36" t="n">
        <v>45945</v>
      </c>
      <c r="G521" s="35" t="n">
        <v>2</v>
      </c>
      <c r="H521" s="35" t="n">
        <v>2</v>
      </c>
      <c r="I521" s="35" t="n">
        <v>3</v>
      </c>
      <c r="J521" s="35" t="n">
        <v>2</v>
      </c>
      <c r="K521" s="35" t="n">
        <v>2</v>
      </c>
      <c r="L521" s="35" t="n">
        <v>3</v>
      </c>
      <c r="M521" s="50" t="n">
        <f aca="false">IF(COUNT(G521:L521)&lt;6,"",ROUND((G521*Rubric!$D$5+H521*Rubric!$D$6+I521*Rubric!$D$7+J521*Rubric!$D$8+K521*Rubric!$D$9+L521*Rubric!$D$10)/5*100,1))</f>
        <v>46</v>
      </c>
      <c r="N521" s="37" t="str">
        <f aca="false">IF(OR(B521="",D521=""),"",IFERROR(IF(IF(E521="Primary",INDEX(Applications!$I$5:$I$600,MATCH(B521,Applications!$A$5:$A$600,0)),IF(E521="Secondary",INDEX(Applications!$J$5:$J$600,MATCH(B521,Applications!$A$5:$A$600,0)),INDEX(Applications!$K$5:$K$600,MATCH(B521,Applications!$A$5:$A$600,0))))=D521,"OK","Not assigned"),"Check ID"))</f>
        <v>OK</v>
      </c>
      <c r="O521" s="7"/>
    </row>
    <row r="522" customFormat="false" ht="15" hidden="false" customHeight="false" outlineLevel="0" collapsed="false">
      <c r="A522" s="35" t="s">
        <v>1919</v>
      </c>
      <c r="B522" s="35" t="s">
        <v>925</v>
      </c>
      <c r="C522" s="37" t="str">
        <f aca="false">IF(B522="","",IFERROR(INDEX(Applications!$B$5:$B$600,MATCH(B522,Applications!$A$5:$A$600,0)),"Application ID not found"))</f>
        <v>Albany Cafe Training Program</v>
      </c>
      <c r="D522" s="35" t="s">
        <v>85</v>
      </c>
      <c r="E522" s="35" t="s">
        <v>83</v>
      </c>
      <c r="F522" s="36" t="n">
        <v>45945</v>
      </c>
      <c r="G522" s="35" t="n">
        <v>5</v>
      </c>
      <c r="H522" s="35" t="n">
        <v>5</v>
      </c>
      <c r="I522" s="35" t="n">
        <v>4</v>
      </c>
      <c r="J522" s="35" t="n">
        <v>4</v>
      </c>
      <c r="K522" s="35" t="n">
        <v>5</v>
      </c>
      <c r="L522" s="35" t="n">
        <v>4</v>
      </c>
      <c r="M522" s="50" t="n">
        <f aca="false">IF(COUNT(G522:L522)&lt;6,"",ROUND((G522*Rubric!$D$5+H522*Rubric!$D$6+I522*Rubric!$D$7+J522*Rubric!$D$8+K522*Rubric!$D$9+L522*Rubric!$D$10)/5*100,1))</f>
        <v>91</v>
      </c>
      <c r="N522" s="37" t="str">
        <f aca="false">IF(OR(B522="",D522=""),"",IFERROR(IF(IF(E522="Primary",INDEX(Applications!$I$5:$I$600,MATCH(B522,Applications!$A$5:$A$600,0)),IF(E522="Secondary",INDEX(Applications!$J$5:$J$600,MATCH(B522,Applications!$A$5:$A$600,0)),INDEX(Applications!$K$5:$K$600,MATCH(B522,Applications!$A$5:$A$600,0))))=D522,"OK","Not assigned"),"Check ID"))</f>
        <v>OK</v>
      </c>
      <c r="O522" s="7" t="s">
        <v>1428</v>
      </c>
    </row>
    <row r="523" customFormat="false" ht="15" hidden="false" customHeight="false" outlineLevel="0" collapsed="false">
      <c r="A523" s="35" t="s">
        <v>1920</v>
      </c>
      <c r="B523" s="35" t="s">
        <v>991</v>
      </c>
      <c r="C523" s="37" t="str">
        <f aca="false">IF(B523="","",IFERROR(INDEX(Applications!$B$5:$B$600,MATCH(B523,Applications!$A$5:$A$600,0)),"Application ID not found"))</f>
        <v>Two Rivers Mobile Market</v>
      </c>
      <c r="D523" s="35" t="s">
        <v>85</v>
      </c>
      <c r="E523" s="35" t="s">
        <v>80</v>
      </c>
      <c r="F523" s="36" t="n">
        <v>45945</v>
      </c>
      <c r="G523" s="35" t="n">
        <v>5</v>
      </c>
      <c r="H523" s="35" t="n">
        <v>4</v>
      </c>
      <c r="I523" s="35" t="n">
        <v>4</v>
      </c>
      <c r="J523" s="35" t="n">
        <v>4</v>
      </c>
      <c r="K523" s="35" t="n">
        <v>4</v>
      </c>
      <c r="L523" s="35" t="n">
        <v>4</v>
      </c>
      <c r="M523" s="50" t="n">
        <f aca="false">IF(COUNT(G523:L523)&lt;6,"",ROUND((G523*Rubric!$D$5+H523*Rubric!$D$6+I523*Rubric!$D$7+J523*Rubric!$D$8+K523*Rubric!$D$9+L523*Rubric!$D$10)/5*100,1))</f>
        <v>85</v>
      </c>
      <c r="N523" s="37" t="str">
        <f aca="false">IF(OR(B523="",D523=""),"",IFERROR(IF(IF(E523="Primary",INDEX(Applications!$I$5:$I$600,MATCH(B523,Applications!$A$5:$A$600,0)),IF(E523="Secondary",INDEX(Applications!$J$5:$J$600,MATCH(B523,Applications!$A$5:$A$600,0)),INDEX(Applications!$K$5:$K$600,MATCH(B523,Applications!$A$5:$A$600,0))))=D523,"OK","Not assigned"),"Check ID"))</f>
        <v>OK</v>
      </c>
      <c r="O523" s="7"/>
    </row>
    <row r="524" customFormat="false" ht="15" hidden="false" customHeight="false" outlineLevel="0" collapsed="false">
      <c r="A524" s="35" t="s">
        <v>1921</v>
      </c>
      <c r="B524" s="35" t="s">
        <v>1245</v>
      </c>
      <c r="C524" s="37" t="str">
        <f aca="false">IF(B524="","",IFERROR(INDEX(Applications!$B$5:$B$600,MATCH(B524,Applications!$A$5:$A$600,0)),"Application ID not found"))</f>
        <v>Oak Hollow Pantry Network</v>
      </c>
      <c r="D524" s="35" t="s">
        <v>85</v>
      </c>
      <c r="E524" s="35" t="s">
        <v>80</v>
      </c>
      <c r="F524" s="36" t="n">
        <v>45945</v>
      </c>
      <c r="G524" s="35" t="n">
        <v>3</v>
      </c>
      <c r="H524" s="35" t="n">
        <v>3</v>
      </c>
      <c r="I524" s="35" t="n">
        <v>3</v>
      </c>
      <c r="J524" s="35" t="n">
        <v>3</v>
      </c>
      <c r="K524" s="35" t="n">
        <v>3</v>
      </c>
      <c r="L524" s="35" t="n">
        <v>3</v>
      </c>
      <c r="M524" s="50" t="n">
        <f aca="false">IF(COUNT(G524:L524)&lt;6,"",ROUND((G524*Rubric!$D$5+H524*Rubric!$D$6+I524*Rubric!$D$7+J524*Rubric!$D$8+K524*Rubric!$D$9+L524*Rubric!$D$10)/5*100,1))</f>
        <v>60</v>
      </c>
      <c r="N524" s="37" t="str">
        <f aca="false">IF(OR(B524="",D524=""),"",IFERROR(IF(IF(E524="Primary",INDEX(Applications!$I$5:$I$600,MATCH(B524,Applications!$A$5:$A$600,0)),IF(E524="Secondary",INDEX(Applications!$J$5:$J$600,MATCH(B524,Applications!$A$5:$A$600,0)),INDEX(Applications!$K$5:$K$600,MATCH(B524,Applications!$A$5:$A$600,0))))=D524,"OK","Not assigned"),"Check ID"))</f>
        <v>OK</v>
      </c>
      <c r="O524" s="7"/>
    </row>
    <row r="525" customFormat="false" ht="15" hidden="false" customHeight="false" outlineLevel="0" collapsed="false">
      <c r="A525" s="35" t="s">
        <v>1922</v>
      </c>
      <c r="B525" s="35" t="s">
        <v>374</v>
      </c>
      <c r="C525" s="37" t="str">
        <f aca="false">IF(B525="","",IFERROR(INDEX(Applications!$B$5:$B$600,MATCH(B525,Applications!$A$5:$A$600,0)),"Application ID not found"))</f>
        <v>Memphis Kitchen Project</v>
      </c>
      <c r="D525" s="35" t="s">
        <v>85</v>
      </c>
      <c r="E525" s="35" t="s">
        <v>83</v>
      </c>
      <c r="F525" s="36" t="n">
        <v>45945</v>
      </c>
      <c r="G525" s="35" t="n">
        <v>3</v>
      </c>
      <c r="H525" s="35" t="n">
        <v>2</v>
      </c>
      <c r="I525" s="35" t="n">
        <v>3</v>
      </c>
      <c r="J525" s="35" t="n">
        <v>2</v>
      </c>
      <c r="K525" s="35" t="n">
        <v>2</v>
      </c>
      <c r="L525" s="35" t="n">
        <v>2</v>
      </c>
      <c r="M525" s="50" t="n">
        <f aca="false">IF(COUNT(G525:L525)&lt;6,"",ROUND((G525*Rubric!$D$5+H525*Rubric!$D$6+I525*Rubric!$D$7+J525*Rubric!$D$8+K525*Rubric!$D$9+L525*Rubric!$D$10)/5*100,1))</f>
        <v>49</v>
      </c>
      <c r="N525" s="37" t="str">
        <f aca="false">IF(OR(B525="",D525=""),"",IFERROR(IF(IF(E525="Primary",INDEX(Applications!$I$5:$I$600,MATCH(B525,Applications!$A$5:$A$600,0)),IF(E525="Secondary",INDEX(Applications!$J$5:$J$600,MATCH(B525,Applications!$A$5:$A$600,0)),INDEX(Applications!$K$5:$K$600,MATCH(B525,Applications!$A$5:$A$600,0))))=D525,"OK","Not assigned"),"Check ID"))</f>
        <v>OK</v>
      </c>
      <c r="O525" s="7"/>
    </row>
    <row r="526" customFormat="false" ht="15" hidden="false" customHeight="false" outlineLevel="0" collapsed="false">
      <c r="A526" s="35" t="s">
        <v>1923</v>
      </c>
      <c r="B526" s="35" t="s">
        <v>723</v>
      </c>
      <c r="C526" s="37" t="str">
        <f aca="false">IF(B526="","",IFERROR(INDEX(Applications!$B$5:$B$600,MATCH(B526,Applications!$A$5:$A$600,0)),"Application ID not found"))</f>
        <v>Hamilton Kitchen Project</v>
      </c>
      <c r="D526" s="35" t="s">
        <v>85</v>
      </c>
      <c r="E526" s="35" t="s">
        <v>80</v>
      </c>
      <c r="F526" s="36" t="n">
        <v>45945</v>
      </c>
      <c r="G526" s="35" t="n">
        <v>4</v>
      </c>
      <c r="H526" s="35" t="n">
        <v>4</v>
      </c>
      <c r="I526" s="35" t="n">
        <v>3</v>
      </c>
      <c r="J526" s="35" t="n">
        <v>3</v>
      </c>
      <c r="K526" s="35" t="n">
        <v>4</v>
      </c>
      <c r="L526" s="35" t="n">
        <v>3</v>
      </c>
      <c r="M526" s="50" t="n">
        <f aca="false">IF(COUNT(G526:L526)&lt;6,"",ROUND((G526*Rubric!$D$5+H526*Rubric!$D$6+I526*Rubric!$D$7+J526*Rubric!$D$8+K526*Rubric!$D$9+L526*Rubric!$D$10)/5*100,1))</f>
        <v>71</v>
      </c>
      <c r="N526" s="37" t="str">
        <f aca="false">IF(OR(B526="",D526=""),"",IFERROR(IF(IF(E526="Primary",INDEX(Applications!$I$5:$I$600,MATCH(B526,Applications!$A$5:$A$600,0)),IF(E526="Secondary",INDEX(Applications!$J$5:$J$600,MATCH(B526,Applications!$A$5:$A$600,0)),INDEX(Applications!$K$5:$K$600,MATCH(B526,Applications!$A$5:$A$600,0))))=D526,"OK","Not assigned"),"Check ID"))</f>
        <v>OK</v>
      </c>
      <c r="O526" s="7"/>
    </row>
    <row r="527" customFormat="false" ht="15" hidden="false" customHeight="false" outlineLevel="0" collapsed="false">
      <c r="A527" s="35" t="s">
        <v>1924</v>
      </c>
      <c r="B527" s="35" t="s">
        <v>585</v>
      </c>
      <c r="C527" s="37" t="str">
        <f aca="false">IF(B527="","",IFERROR(INDEX(Applications!$B$5:$B$600,MATCH(B527,Applications!$A$5:$A$600,0)),"Application ID not found"))</f>
        <v>Peoria Seed Library</v>
      </c>
      <c r="D527" s="35" t="s">
        <v>85</v>
      </c>
      <c r="E527" s="35" t="s">
        <v>80</v>
      </c>
      <c r="F527" s="36" t="n">
        <v>45945</v>
      </c>
      <c r="G527" s="35" t="n">
        <v>2</v>
      </c>
      <c r="H527" s="35" t="n">
        <v>2</v>
      </c>
      <c r="I527" s="35" t="n">
        <v>2</v>
      </c>
      <c r="J527" s="35" t="n">
        <v>3</v>
      </c>
      <c r="K527" s="35" t="n">
        <v>3</v>
      </c>
      <c r="L527" s="35" t="n">
        <v>3</v>
      </c>
      <c r="M527" s="50" t="n">
        <f aca="false">IF(COUNT(G527:L527)&lt;6,"",ROUND((G527*Rubric!$D$5+H527*Rubric!$D$6+I527*Rubric!$D$7+J527*Rubric!$D$8+K527*Rubric!$D$9+L527*Rubric!$D$10)/5*100,1))</f>
        <v>47</v>
      </c>
      <c r="N527" s="37" t="str">
        <f aca="false">IF(OR(B527="",D527=""),"",IFERROR(IF(IF(E527="Primary",INDEX(Applications!$I$5:$I$600,MATCH(B527,Applications!$A$5:$A$600,0)),IF(E527="Secondary",INDEX(Applications!$J$5:$J$600,MATCH(B527,Applications!$A$5:$A$600,0)),INDEX(Applications!$K$5:$K$600,MATCH(B527,Applications!$A$5:$A$600,0))))=D527,"OK","Not assigned"),"Check ID"))</f>
        <v>OK</v>
      </c>
      <c r="O527" s="7"/>
    </row>
    <row r="528" customFormat="false" ht="15" hidden="false" customHeight="false" outlineLevel="0" collapsed="false">
      <c r="A528" s="35" t="s">
        <v>1925</v>
      </c>
      <c r="B528" s="35" t="s">
        <v>1183</v>
      </c>
      <c r="C528" s="37" t="str">
        <f aca="false">IF(B528="","",IFERROR(INDEX(Applications!$B$5:$B$600,MATCH(B528,Applications!$A$5:$A$600,0)),"Application ID not found"))</f>
        <v>Lakeshore Community Pantry</v>
      </c>
      <c r="D528" s="35" t="s">
        <v>85</v>
      </c>
      <c r="E528" s="35" t="s">
        <v>80</v>
      </c>
      <c r="F528" s="36" t="n">
        <v>45945</v>
      </c>
      <c r="G528" s="35" t="n">
        <v>3</v>
      </c>
      <c r="H528" s="35" t="n">
        <v>4</v>
      </c>
      <c r="I528" s="35" t="n">
        <v>4</v>
      </c>
      <c r="J528" s="35" t="n">
        <v>4</v>
      </c>
      <c r="K528" s="35" t="n">
        <v>4</v>
      </c>
      <c r="L528" s="35" t="n">
        <v>4</v>
      </c>
      <c r="M528" s="50" t="n">
        <f aca="false">IF(COUNT(G528:L528)&lt;6,"",ROUND((G528*Rubric!$D$5+H528*Rubric!$D$6+I528*Rubric!$D$7+J528*Rubric!$D$8+K528*Rubric!$D$9+L528*Rubric!$D$10)/5*100,1))</f>
        <v>75</v>
      </c>
      <c r="N528" s="37" t="str">
        <f aca="false">IF(OR(B528="",D528=""),"",IFERROR(IF(IF(E528="Primary",INDEX(Applications!$I$5:$I$600,MATCH(B528,Applications!$A$5:$A$600,0)),IF(E528="Secondary",INDEX(Applications!$J$5:$J$600,MATCH(B528,Applications!$A$5:$A$600,0)),INDEX(Applications!$K$5:$K$600,MATCH(B528,Applications!$A$5:$A$600,0))))=D528,"OK","Not assigned"),"Check ID"))</f>
        <v>OK</v>
      </c>
      <c r="O528" s="7"/>
    </row>
    <row r="529" customFormat="false" ht="15" hidden="false" customHeight="false" outlineLevel="0" collapsed="false">
      <c r="A529" s="35" t="s">
        <v>1926</v>
      </c>
      <c r="B529" s="35" t="s">
        <v>1355</v>
      </c>
      <c r="C529" s="37" t="str">
        <f aca="false">IF(B529="","",IFERROR(INDEX(Applications!$B$5:$B$600,MATCH(B529,Applications!$A$5:$A$600,0)),"Application ID not found"))</f>
        <v>Quezon City Food Bank</v>
      </c>
      <c r="D529" s="35" t="s">
        <v>85</v>
      </c>
      <c r="E529" s="35" t="s">
        <v>80</v>
      </c>
      <c r="F529" s="36" t="n">
        <v>45945</v>
      </c>
      <c r="G529" s="35" t="n">
        <v>3</v>
      </c>
      <c r="H529" s="35" t="n">
        <v>3</v>
      </c>
      <c r="I529" s="35" t="n">
        <v>3</v>
      </c>
      <c r="J529" s="35" t="n">
        <v>3</v>
      </c>
      <c r="K529" s="35" t="n">
        <v>4</v>
      </c>
      <c r="L529" s="35" t="n">
        <v>3</v>
      </c>
      <c r="M529" s="50" t="n">
        <f aca="false">IF(COUNT(G529:L529)&lt;6,"",ROUND((G529*Rubric!$D$5+H529*Rubric!$D$6+I529*Rubric!$D$7+J529*Rubric!$D$8+K529*Rubric!$D$9+L529*Rubric!$D$10)/5*100,1))</f>
        <v>62</v>
      </c>
      <c r="N529" s="37" t="str">
        <f aca="false">IF(OR(B529="",D529=""),"",IFERROR(IF(IF(E529="Primary",INDEX(Applications!$I$5:$I$600,MATCH(B529,Applications!$A$5:$A$600,0)),IF(E529="Secondary",INDEX(Applications!$J$5:$J$600,MATCH(B529,Applications!$A$5:$A$600,0)),INDEX(Applications!$K$5:$K$600,MATCH(B529,Applications!$A$5:$A$600,0))))=D529,"OK","Not assigned"),"Check ID"))</f>
        <v>OK</v>
      </c>
      <c r="O529" s="7"/>
    </row>
    <row r="530" customFormat="false" ht="15" hidden="false" customHeight="false" outlineLevel="0" collapsed="false">
      <c r="A530" s="35" t="s">
        <v>1927</v>
      </c>
      <c r="B530" s="35" t="s">
        <v>765</v>
      </c>
      <c r="C530" s="37" t="str">
        <f aca="false">IF(B530="","",IFERROR(INDEX(Applications!$B$5:$B$600,MATCH(B530,Applications!$A$5:$A$600,0)),"Application ID not found"))</f>
        <v>Parkside Bakery Collective</v>
      </c>
      <c r="D530" s="35" t="s">
        <v>85</v>
      </c>
      <c r="E530" s="35" t="s">
        <v>83</v>
      </c>
      <c r="F530" s="36" t="n">
        <v>45945</v>
      </c>
      <c r="G530" s="35" t="n">
        <v>1</v>
      </c>
      <c r="H530" s="35" t="n">
        <v>2</v>
      </c>
      <c r="I530" s="35" t="n">
        <v>2</v>
      </c>
      <c r="J530" s="35" t="n">
        <v>2</v>
      </c>
      <c r="K530" s="35" t="n">
        <v>2</v>
      </c>
      <c r="L530" s="35" t="n">
        <v>2</v>
      </c>
      <c r="M530" s="50" t="n">
        <f aca="false">IF(COUNT(G530:L530)&lt;6,"",ROUND((G530*Rubric!$D$5+H530*Rubric!$D$6+I530*Rubric!$D$7+J530*Rubric!$D$8+K530*Rubric!$D$9+L530*Rubric!$D$10)/5*100,1))</f>
        <v>35</v>
      </c>
      <c r="N530" s="37" t="str">
        <f aca="false">IF(OR(B530="",D530=""),"",IFERROR(IF(IF(E530="Primary",INDEX(Applications!$I$5:$I$600,MATCH(B530,Applications!$A$5:$A$600,0)),IF(E530="Secondary",INDEX(Applications!$J$5:$J$600,MATCH(B530,Applications!$A$5:$A$600,0)),INDEX(Applications!$K$5:$K$600,MATCH(B530,Applications!$A$5:$A$600,0))))=D530,"OK","Not assigned"),"Check ID"))</f>
        <v>OK</v>
      </c>
      <c r="O530" s="7"/>
    </row>
    <row r="531" customFormat="false" ht="15" hidden="false" customHeight="false" outlineLevel="0" collapsed="false">
      <c r="A531" s="35" t="s">
        <v>1928</v>
      </c>
      <c r="B531" s="35" t="s">
        <v>645</v>
      </c>
      <c r="C531" s="37" t="str">
        <f aca="false">IF(B531="","",IFERROR(INDEX(Applications!$B$5:$B$600,MATCH(B531,Applications!$A$5:$A$600,0)),"Application ID not found"))</f>
        <v>Louisville Market Gardens</v>
      </c>
      <c r="D531" s="35" t="s">
        <v>85</v>
      </c>
      <c r="E531" s="35" t="s">
        <v>83</v>
      </c>
      <c r="F531" s="36" t="n">
        <v>45945</v>
      </c>
      <c r="G531" s="35" t="n">
        <v>4</v>
      </c>
      <c r="H531" s="35" t="n">
        <v>2</v>
      </c>
      <c r="I531" s="35" t="n">
        <v>2</v>
      </c>
      <c r="J531" s="35" t="n">
        <v>3</v>
      </c>
      <c r="K531" s="35" t="n">
        <v>3</v>
      </c>
      <c r="L531" s="35" t="n">
        <v>3</v>
      </c>
      <c r="M531" s="50" t="n">
        <f aca="false">IF(COUNT(G531:L531)&lt;6,"",ROUND((G531*Rubric!$D$5+H531*Rubric!$D$6+I531*Rubric!$D$7+J531*Rubric!$D$8+K531*Rubric!$D$9+L531*Rubric!$D$10)/5*100,1))</f>
        <v>57</v>
      </c>
      <c r="N531" s="37" t="str">
        <f aca="false">IF(OR(B531="",D531=""),"",IFERROR(IF(IF(E531="Primary",INDEX(Applications!$I$5:$I$600,MATCH(B531,Applications!$A$5:$A$600,0)),IF(E531="Secondary",INDEX(Applications!$J$5:$J$600,MATCH(B531,Applications!$A$5:$A$600,0)),INDEX(Applications!$K$5:$K$600,MATCH(B531,Applications!$A$5:$A$600,0))))=D531,"OK","Not assigned"),"Check ID"))</f>
        <v>OK</v>
      </c>
      <c r="O531" s="7"/>
    </row>
    <row r="532" customFormat="false" ht="15" hidden="false" customHeight="false" outlineLevel="0" collapsed="false">
      <c r="A532" s="35" t="s">
        <v>1929</v>
      </c>
      <c r="B532" s="35" t="s">
        <v>937</v>
      </c>
      <c r="C532" s="37" t="str">
        <f aca="false">IF(B532="","",IFERROR(INDEX(Applications!$B$5:$B$600,MATCH(B532,Applications!$A$5:$A$600,0)),"Application ID not found"))</f>
        <v>Atlanta Food Bank</v>
      </c>
      <c r="D532" s="35" t="s">
        <v>85</v>
      </c>
      <c r="E532" s="35" t="s">
        <v>80</v>
      </c>
      <c r="F532" s="36" t="n">
        <v>45945</v>
      </c>
      <c r="G532" s="35" t="n">
        <v>5</v>
      </c>
      <c r="H532" s="35" t="n">
        <v>5</v>
      </c>
      <c r="I532" s="35" t="n">
        <v>5</v>
      </c>
      <c r="J532" s="35" t="n">
        <v>5</v>
      </c>
      <c r="K532" s="35" t="n">
        <v>5</v>
      </c>
      <c r="L532" s="35" t="n">
        <v>5</v>
      </c>
      <c r="M532" s="50" t="n">
        <f aca="false">IF(COUNT(G532:L532)&lt;6,"",ROUND((G532*Rubric!$D$5+H532*Rubric!$D$6+I532*Rubric!$D$7+J532*Rubric!$D$8+K532*Rubric!$D$9+L532*Rubric!$D$10)/5*100,1))</f>
        <v>100</v>
      </c>
      <c r="N532" s="37" t="str">
        <f aca="false">IF(OR(B532="",D532=""),"",IFERROR(IF(IF(E532="Primary",INDEX(Applications!$I$5:$I$600,MATCH(B532,Applications!$A$5:$A$600,0)),IF(E532="Secondary",INDEX(Applications!$J$5:$J$600,MATCH(B532,Applications!$A$5:$A$600,0)),INDEX(Applications!$K$5:$K$600,MATCH(B532,Applications!$A$5:$A$600,0))))=D532,"OK","Not assigned"),"Check ID"))</f>
        <v>OK</v>
      </c>
      <c r="O532" s="7"/>
    </row>
    <row r="533" customFormat="false" ht="15" hidden="false" customHeight="false" outlineLevel="0" collapsed="false">
      <c r="A533" s="35" t="s">
        <v>1930</v>
      </c>
      <c r="B533" s="35" t="s">
        <v>1101</v>
      </c>
      <c r="C533" s="37" t="str">
        <f aca="false">IF(B533="","",IFERROR(INDEX(Applications!$B$5:$B$600,MATCH(B533,Applications!$A$5:$A$600,0)),"Application ID not found"))</f>
        <v>Riverbend Farm Collective</v>
      </c>
      <c r="D533" s="35" t="s">
        <v>85</v>
      </c>
      <c r="E533" s="35" t="s">
        <v>80</v>
      </c>
      <c r="F533" s="36" t="n">
        <v>45945</v>
      </c>
      <c r="G533" s="35" t="n">
        <v>3</v>
      </c>
      <c r="H533" s="35" t="n">
        <v>3</v>
      </c>
      <c r="I533" s="35" t="n">
        <v>2</v>
      </c>
      <c r="J533" s="35" t="n">
        <v>2</v>
      </c>
      <c r="K533" s="35" t="n">
        <v>3</v>
      </c>
      <c r="L533" s="35" t="n">
        <v>2</v>
      </c>
      <c r="M533" s="50" t="n">
        <f aca="false">IF(COUNT(G533:L533)&lt;6,"",ROUND((G533*Rubric!$D$5+H533*Rubric!$D$6+I533*Rubric!$D$7+J533*Rubric!$D$8+K533*Rubric!$D$9+L533*Rubric!$D$10)/5*100,1))</f>
        <v>51</v>
      </c>
      <c r="N533" s="37" t="str">
        <f aca="false">IF(OR(B533="",D533=""),"",IFERROR(IF(IF(E533="Primary",INDEX(Applications!$I$5:$I$600,MATCH(B533,Applications!$A$5:$A$600,0)),IF(E533="Secondary",INDEX(Applications!$J$5:$J$600,MATCH(B533,Applications!$A$5:$A$600,0)),INDEX(Applications!$K$5:$K$600,MATCH(B533,Applications!$A$5:$A$600,0))))=D533,"OK","Not assigned"),"Check ID"))</f>
        <v>OK</v>
      </c>
      <c r="O533" s="7"/>
    </row>
    <row r="534" customFormat="false" ht="15" hidden="false" customHeight="false" outlineLevel="0" collapsed="false">
      <c r="A534" s="35" t="s">
        <v>1931</v>
      </c>
      <c r="B534" s="35" t="s">
        <v>1117</v>
      </c>
      <c r="C534" s="37" t="str">
        <f aca="false">IF(B534="","",IFERROR(INDEX(Applications!$B$5:$B$600,MATCH(B534,Applications!$A$5:$A$600,0)),"Application ID not found"))</f>
        <v>Willow Run Farm Collective</v>
      </c>
      <c r="D534" s="35" t="s">
        <v>85</v>
      </c>
      <c r="E534" s="35" t="s">
        <v>83</v>
      </c>
      <c r="F534" s="36" t="n">
        <v>45945</v>
      </c>
      <c r="G534" s="35" t="n">
        <v>3</v>
      </c>
      <c r="H534" s="35" t="n">
        <v>4</v>
      </c>
      <c r="I534" s="35" t="n">
        <v>3</v>
      </c>
      <c r="J534" s="35" t="n">
        <v>3</v>
      </c>
      <c r="K534" s="35" t="n">
        <v>3</v>
      </c>
      <c r="L534" s="35" t="n">
        <v>3</v>
      </c>
      <c r="M534" s="50" t="n">
        <f aca="false">IF(COUNT(G534:L534)&lt;6,"",ROUND((G534*Rubric!$D$5+H534*Rubric!$D$6+I534*Rubric!$D$7+J534*Rubric!$D$8+K534*Rubric!$D$9+L534*Rubric!$D$10)/5*100,1))</f>
        <v>64</v>
      </c>
      <c r="N534" s="37" t="str">
        <f aca="false">IF(OR(B534="",D534=""),"",IFERROR(IF(IF(E534="Primary",INDEX(Applications!$I$5:$I$600,MATCH(B534,Applications!$A$5:$A$600,0)),IF(E534="Secondary",INDEX(Applications!$J$5:$J$600,MATCH(B534,Applications!$A$5:$A$600,0)),INDEX(Applications!$K$5:$K$600,MATCH(B534,Applications!$A$5:$A$600,0))))=D534,"OK","Not assigned"),"Check ID"))</f>
        <v>OK</v>
      </c>
      <c r="O534" s="7"/>
    </row>
    <row r="535" customFormat="false" ht="15" hidden="false" customHeight="false" outlineLevel="0" collapsed="false">
      <c r="A535" s="35" t="s">
        <v>1932</v>
      </c>
      <c r="B535" s="35" t="s">
        <v>885</v>
      </c>
      <c r="C535" s="37" t="str">
        <f aca="false">IF(B535="","",IFERROR(INDEX(Applications!$B$5:$B$600,MATCH(B535,Applications!$A$5:$A$600,0)),"Application ID not found"))</f>
        <v>Two Rivers Community Pantry</v>
      </c>
      <c r="D535" s="35" t="s">
        <v>85</v>
      </c>
      <c r="E535" s="35" t="s">
        <v>80</v>
      </c>
      <c r="F535" s="36" t="n">
        <v>45945</v>
      </c>
      <c r="G535" s="35" t="n">
        <v>2</v>
      </c>
      <c r="H535" s="35" t="n">
        <v>3</v>
      </c>
      <c r="I535" s="35" t="n">
        <v>3</v>
      </c>
      <c r="J535" s="35" t="n">
        <v>3</v>
      </c>
      <c r="K535" s="35" t="n">
        <v>3</v>
      </c>
      <c r="L535" s="35" t="n">
        <v>3</v>
      </c>
      <c r="M535" s="50" t="n">
        <f aca="false">IF(COUNT(G535:L535)&lt;6,"",ROUND((G535*Rubric!$D$5+H535*Rubric!$D$6+I535*Rubric!$D$7+J535*Rubric!$D$8+K535*Rubric!$D$9+L535*Rubric!$D$10)/5*100,1))</f>
        <v>55</v>
      </c>
      <c r="N535" s="37" t="str">
        <f aca="false">IF(OR(B535="",D535=""),"",IFERROR(IF(IF(E535="Primary",INDEX(Applications!$I$5:$I$600,MATCH(B535,Applications!$A$5:$A$600,0)),IF(E535="Secondary",INDEX(Applications!$J$5:$J$600,MATCH(B535,Applications!$A$5:$A$600,0)),INDEX(Applications!$K$5:$K$600,MATCH(B535,Applications!$A$5:$A$600,0))))=D535,"OK","Not assigned"),"Check ID"))</f>
        <v>OK</v>
      </c>
      <c r="O535" s="7"/>
    </row>
    <row r="536" customFormat="false" ht="15" hidden="false" customHeight="false" outlineLevel="0" collapsed="false">
      <c r="A536" s="35" t="s">
        <v>1933</v>
      </c>
      <c r="B536" s="35" t="s">
        <v>438</v>
      </c>
      <c r="C536" s="37" t="str">
        <f aca="false">IF(B536="","",IFERROR(INDEX(Applications!$B$5:$B$600,MATCH(B536,Applications!$A$5:$A$600,0)),"Application ID not found"))</f>
        <v>Bogotá Food Bank</v>
      </c>
      <c r="D536" s="35" t="s">
        <v>85</v>
      </c>
      <c r="E536" s="35" t="s">
        <v>80</v>
      </c>
      <c r="F536" s="36" t="n">
        <v>45945</v>
      </c>
      <c r="G536" s="35" t="n">
        <v>4</v>
      </c>
      <c r="H536" s="35" t="n">
        <v>4</v>
      </c>
      <c r="I536" s="35" t="n">
        <v>3</v>
      </c>
      <c r="J536" s="35" t="n">
        <v>5</v>
      </c>
      <c r="K536" s="35" t="n">
        <v>4</v>
      </c>
      <c r="L536" s="35" t="n">
        <v>4</v>
      </c>
      <c r="M536" s="50" t="n">
        <f aca="false">IF(COUNT(G536:L536)&lt;6,"",ROUND((G536*Rubric!$D$5+H536*Rubric!$D$6+I536*Rubric!$D$7+J536*Rubric!$D$8+K536*Rubric!$D$9+L536*Rubric!$D$10)/5*100,1))</f>
        <v>79</v>
      </c>
      <c r="N536" s="37" t="str">
        <f aca="false">IF(OR(B536="",D536=""),"",IFERROR(IF(IF(E536="Primary",INDEX(Applications!$I$5:$I$600,MATCH(B536,Applications!$A$5:$A$600,0)),IF(E536="Secondary",INDEX(Applications!$J$5:$J$600,MATCH(B536,Applications!$A$5:$A$600,0)),INDEX(Applications!$K$5:$K$600,MATCH(B536,Applications!$A$5:$A$600,0))))=D536,"OK","Not assigned"),"Check ID"))</f>
        <v>OK</v>
      </c>
      <c r="O536" s="7" t="s">
        <v>1428</v>
      </c>
    </row>
    <row r="537" customFormat="false" ht="15" hidden="false" customHeight="false" outlineLevel="0" collapsed="false">
      <c r="A537" s="35" t="s">
        <v>1934</v>
      </c>
      <c r="B537" s="35" t="s">
        <v>669</v>
      </c>
      <c r="C537" s="37" t="str">
        <f aca="false">IF(B537="","",IFERROR(INDEX(Applications!$B$5:$B$600,MATCH(B537,Applications!$A$5:$A$600,0)),"Application ID not found"))</f>
        <v>Ironwood Food Shelf</v>
      </c>
      <c r="D537" s="35" t="s">
        <v>85</v>
      </c>
      <c r="E537" s="35" t="s">
        <v>83</v>
      </c>
      <c r="F537" s="36" t="n">
        <v>45945</v>
      </c>
      <c r="G537" s="35" t="n">
        <v>4</v>
      </c>
      <c r="H537" s="35" t="n">
        <v>3</v>
      </c>
      <c r="I537" s="35" t="n">
        <v>3</v>
      </c>
      <c r="J537" s="35" t="n">
        <v>4</v>
      </c>
      <c r="K537" s="35" t="n">
        <v>4</v>
      </c>
      <c r="L537" s="35" t="n">
        <v>3</v>
      </c>
      <c r="M537" s="50" t="n">
        <f aca="false">IF(COUNT(G537:L537)&lt;6,"",ROUND((G537*Rubric!$D$5+H537*Rubric!$D$6+I537*Rubric!$D$7+J537*Rubric!$D$8+K537*Rubric!$D$9+L537*Rubric!$D$10)/5*100,1))</f>
        <v>70</v>
      </c>
      <c r="N537" s="37" t="str">
        <f aca="false">IF(OR(B537="",D537=""),"",IFERROR(IF(IF(E537="Primary",INDEX(Applications!$I$5:$I$600,MATCH(B537,Applications!$A$5:$A$600,0)),IF(E537="Secondary",INDEX(Applications!$J$5:$J$600,MATCH(B537,Applications!$A$5:$A$600,0)),INDEX(Applications!$K$5:$K$600,MATCH(B537,Applications!$A$5:$A$600,0))))=D537,"OK","Not assigned"),"Check ID"))</f>
        <v>OK</v>
      </c>
      <c r="O537" s="7"/>
    </row>
    <row r="538" customFormat="false" ht="15" hidden="false" customHeight="false" outlineLevel="0" collapsed="false">
      <c r="A538" s="35" t="s">
        <v>1935</v>
      </c>
      <c r="B538" s="35" t="s">
        <v>1149</v>
      </c>
      <c r="C538" s="37" t="str">
        <f aca="false">IF(B538="","",IFERROR(INDEX(Applications!$B$5:$B$600,MATCH(B538,Applications!$A$5:$A$600,0)),"Application ID not found"))</f>
        <v>Hamburg Culinary Works</v>
      </c>
      <c r="D538" s="35" t="s">
        <v>78</v>
      </c>
      <c r="E538" s="35" t="s">
        <v>83</v>
      </c>
      <c r="F538" s="36" t="n">
        <v>45946</v>
      </c>
      <c r="G538" s="35" t="n">
        <v>4</v>
      </c>
      <c r="H538" s="35" t="n">
        <v>4</v>
      </c>
      <c r="I538" s="35" t="n">
        <v>4</v>
      </c>
      <c r="J538" s="35" t="n">
        <v>5</v>
      </c>
      <c r="K538" s="35" t="n">
        <v>5</v>
      </c>
      <c r="L538" s="35" t="n">
        <v>5</v>
      </c>
      <c r="M538" s="50" t="n">
        <f aca="false">IF(COUNT(G538:L538)&lt;6,"",ROUND((G538*Rubric!$D$5+H538*Rubric!$D$6+I538*Rubric!$D$7+J538*Rubric!$D$8+K538*Rubric!$D$9+L538*Rubric!$D$10)/5*100,1))</f>
        <v>87</v>
      </c>
      <c r="N538" s="37" t="str">
        <f aca="false">IF(OR(B538="",D538=""),"",IFERROR(IF(IF(E538="Primary",INDEX(Applications!$I$5:$I$600,MATCH(B538,Applications!$A$5:$A$600,0)),IF(E538="Secondary",INDEX(Applications!$J$5:$J$600,MATCH(B538,Applications!$A$5:$A$600,0)),INDEX(Applications!$K$5:$K$600,MATCH(B538,Applications!$A$5:$A$600,0))))=D538,"OK","Not assigned"),"Check ID"))</f>
        <v>OK</v>
      </c>
      <c r="O538" s="7"/>
    </row>
    <row r="539" customFormat="false" ht="15" hidden="false" customHeight="false" outlineLevel="0" collapsed="false">
      <c r="A539" s="35" t="s">
        <v>1936</v>
      </c>
      <c r="B539" s="35" t="s">
        <v>935</v>
      </c>
      <c r="C539" s="37" t="str">
        <f aca="false">IF(B539="","",IFERROR(INDEX(Applications!$B$5:$B$600,MATCH(B539,Applications!$A$5:$A$600,0)),"Application ID not found"))</f>
        <v>Dublin Mobile Market</v>
      </c>
      <c r="D539" s="35" t="s">
        <v>78</v>
      </c>
      <c r="E539" s="35" t="s">
        <v>80</v>
      </c>
      <c r="F539" s="36" t="n">
        <v>45946</v>
      </c>
      <c r="G539" s="35" t="n">
        <v>3</v>
      </c>
      <c r="H539" s="35" t="n">
        <v>3</v>
      </c>
      <c r="I539" s="35" t="n">
        <v>2</v>
      </c>
      <c r="J539" s="35" t="n">
        <v>3</v>
      </c>
      <c r="K539" s="35" t="n">
        <v>3</v>
      </c>
      <c r="L539" s="35" t="n">
        <v>3</v>
      </c>
      <c r="M539" s="50" t="n">
        <f aca="false">IF(COUNT(G539:L539)&lt;6,"",ROUND((G539*Rubric!$D$5+H539*Rubric!$D$6+I539*Rubric!$D$7+J539*Rubric!$D$8+K539*Rubric!$D$9+L539*Rubric!$D$10)/5*100,1))</f>
        <v>56</v>
      </c>
      <c r="N539" s="37" t="str">
        <f aca="false">IF(OR(B539="",D539=""),"",IFERROR(IF(IF(E539="Primary",INDEX(Applications!$I$5:$I$600,MATCH(B539,Applications!$A$5:$A$600,0)),IF(E539="Secondary",INDEX(Applications!$J$5:$J$600,MATCH(B539,Applications!$A$5:$A$600,0)),INDEX(Applications!$K$5:$K$600,MATCH(B539,Applications!$A$5:$A$600,0))))=D539,"OK","Not assigned"),"Check ID"))</f>
        <v>OK</v>
      </c>
      <c r="O539" s="7" t="s">
        <v>1402</v>
      </c>
    </row>
    <row r="540" customFormat="false" ht="15" hidden="false" customHeight="false" outlineLevel="0" collapsed="false">
      <c r="A540" s="35" t="s">
        <v>1937</v>
      </c>
      <c r="B540" s="35" t="s">
        <v>961</v>
      </c>
      <c r="C540" s="37" t="str">
        <f aca="false">IF(B540="","",IFERROR(INDEX(Applications!$B$5:$B$600,MATCH(B540,Applications!$A$5:$A$600,0)),"Application ID not found"))</f>
        <v>Utrecht Community Kitchen</v>
      </c>
      <c r="D540" s="35" t="s">
        <v>78</v>
      </c>
      <c r="E540" s="35" t="s">
        <v>80</v>
      </c>
      <c r="F540" s="36" t="n">
        <v>45946</v>
      </c>
      <c r="G540" s="35" t="n">
        <v>3</v>
      </c>
      <c r="H540" s="35" t="n">
        <v>3</v>
      </c>
      <c r="I540" s="35" t="n">
        <v>3</v>
      </c>
      <c r="J540" s="35" t="n">
        <v>3</v>
      </c>
      <c r="K540" s="35" t="n">
        <v>3</v>
      </c>
      <c r="L540" s="35" t="n">
        <v>4</v>
      </c>
      <c r="M540" s="50" t="n">
        <f aca="false">IF(COUNT(G540:L540)&lt;6,"",ROUND((G540*Rubric!$D$5+H540*Rubric!$D$6+I540*Rubric!$D$7+J540*Rubric!$D$8+K540*Rubric!$D$9+L540*Rubric!$D$10)/5*100,1))</f>
        <v>62</v>
      </c>
      <c r="N540" s="37" t="str">
        <f aca="false">IF(OR(B540="",D540=""),"",IFERROR(IF(IF(E540="Primary",INDEX(Applications!$I$5:$I$600,MATCH(B540,Applications!$A$5:$A$600,0)),IF(E540="Secondary",INDEX(Applications!$J$5:$J$600,MATCH(B540,Applications!$A$5:$A$600,0)),INDEX(Applications!$K$5:$K$600,MATCH(B540,Applications!$A$5:$A$600,0))))=D540,"OK","Not assigned"),"Check ID"))</f>
        <v>OK</v>
      </c>
      <c r="O540" s="7" t="s">
        <v>1402</v>
      </c>
    </row>
    <row r="541" customFormat="false" ht="15" hidden="false" customHeight="false" outlineLevel="0" collapsed="false">
      <c r="A541" s="35" t="s">
        <v>1938</v>
      </c>
      <c r="B541" s="35" t="s">
        <v>538</v>
      </c>
      <c r="C541" s="37" t="str">
        <f aca="false">IF(B541="","",IFERROR(INDEX(Applications!$B$5:$B$600,MATCH(B541,Applications!$A$5:$A$600,0)),"Application ID not found"))</f>
        <v>Pittsburgh Schools Nutrition Fund</v>
      </c>
      <c r="D541" s="35" t="s">
        <v>78</v>
      </c>
      <c r="E541" s="35" t="s">
        <v>80</v>
      </c>
      <c r="F541" s="36" t="n">
        <v>45946</v>
      </c>
      <c r="G541" s="35" t="n">
        <v>4</v>
      </c>
      <c r="H541" s="35" t="n">
        <v>4</v>
      </c>
      <c r="I541" s="35" t="n">
        <v>3</v>
      </c>
      <c r="J541" s="35" t="n">
        <v>3</v>
      </c>
      <c r="K541" s="35" t="n">
        <v>3</v>
      </c>
      <c r="L541" s="35" t="n">
        <v>3</v>
      </c>
      <c r="M541" s="50" t="n">
        <f aca="false">IF(COUNT(G541:L541)&lt;6,"",ROUND((G541*Rubric!$D$5+H541*Rubric!$D$6+I541*Rubric!$D$7+J541*Rubric!$D$8+K541*Rubric!$D$9+L541*Rubric!$D$10)/5*100,1))</f>
        <v>69</v>
      </c>
      <c r="N541" s="37" t="str">
        <f aca="false">IF(OR(B541="",D541=""),"",IFERROR(IF(IF(E541="Primary",INDEX(Applications!$I$5:$I$600,MATCH(B541,Applications!$A$5:$A$600,0)),IF(E541="Secondary",INDEX(Applications!$J$5:$J$600,MATCH(B541,Applications!$A$5:$A$600,0)),INDEX(Applications!$K$5:$K$600,MATCH(B541,Applications!$A$5:$A$600,0))))=D541,"OK","Not assigned"),"Check ID"))</f>
        <v>OK</v>
      </c>
      <c r="O541" s="7"/>
    </row>
    <row r="542" customFormat="false" ht="15" hidden="false" customHeight="false" outlineLevel="0" collapsed="false">
      <c r="A542" s="35" t="s">
        <v>1939</v>
      </c>
      <c r="B542" s="35" t="s">
        <v>404</v>
      </c>
      <c r="C542" s="37" t="str">
        <f aca="false">IF(B542="","",IFERROR(INDEX(Applications!$B$5:$B$600,MATCH(B542,Applications!$A$5:$A$600,0)),"Application ID not found"))</f>
        <v>Jaipur Kitchen Project</v>
      </c>
      <c r="D542" s="35" t="s">
        <v>78</v>
      </c>
      <c r="E542" s="35" t="s">
        <v>80</v>
      </c>
      <c r="F542" s="36" t="n">
        <v>45946</v>
      </c>
      <c r="G542" s="35" t="n">
        <v>4</v>
      </c>
      <c r="H542" s="35" t="n">
        <v>3</v>
      </c>
      <c r="I542" s="35" t="n">
        <v>4</v>
      </c>
      <c r="J542" s="35" t="n">
        <v>3</v>
      </c>
      <c r="K542" s="35" t="n">
        <v>2</v>
      </c>
      <c r="L542" s="35" t="n">
        <v>3</v>
      </c>
      <c r="M542" s="50" t="n">
        <f aca="false">IF(COUNT(G542:L542)&lt;6,"",ROUND((G542*Rubric!$D$5+H542*Rubric!$D$6+I542*Rubric!$D$7+J542*Rubric!$D$8+K542*Rubric!$D$9+L542*Rubric!$D$10)/5*100,1))</f>
        <v>67</v>
      </c>
      <c r="N542" s="37" t="str">
        <f aca="false">IF(OR(B542="",D542=""),"",IFERROR(IF(IF(E542="Primary",INDEX(Applications!$I$5:$I$600,MATCH(B542,Applications!$A$5:$A$600,0)),IF(E542="Secondary",INDEX(Applications!$J$5:$J$600,MATCH(B542,Applications!$A$5:$A$600,0)),INDEX(Applications!$K$5:$K$600,MATCH(B542,Applications!$A$5:$A$600,0))))=D542,"OK","Not assigned"),"Check ID"))</f>
        <v>OK</v>
      </c>
      <c r="O542" s="7"/>
    </row>
    <row r="543" customFormat="false" ht="15" hidden="false" customHeight="false" outlineLevel="0" collapsed="false">
      <c r="A543" s="35" t="s">
        <v>1940</v>
      </c>
      <c r="B543" s="35" t="s">
        <v>1353</v>
      </c>
      <c r="C543" s="37" t="str">
        <f aca="false">IF(B543="","",IFERROR(INDEX(Applications!$B$5:$B$600,MATCH(B543,Applications!$A$5:$A$600,0)),"Application ID not found"))</f>
        <v>Cork Bakery Collective</v>
      </c>
      <c r="D543" s="35" t="s">
        <v>78</v>
      </c>
      <c r="E543" s="35" t="s">
        <v>83</v>
      </c>
      <c r="F543" s="36" t="n">
        <v>45946</v>
      </c>
      <c r="G543" s="35" t="n">
        <v>4</v>
      </c>
      <c r="H543" s="35" t="n">
        <v>3</v>
      </c>
      <c r="I543" s="35" t="n">
        <v>3</v>
      </c>
      <c r="J543" s="35" t="n">
        <v>3</v>
      </c>
      <c r="K543" s="35" t="n">
        <v>4</v>
      </c>
      <c r="L543" s="35" t="n">
        <v>3</v>
      </c>
      <c r="M543" s="50" t="n">
        <f aca="false">IF(COUNT(G543:L543)&lt;6,"",ROUND((G543*Rubric!$D$5+H543*Rubric!$D$6+I543*Rubric!$D$7+J543*Rubric!$D$8+K543*Rubric!$D$9+L543*Rubric!$D$10)/5*100,1))</f>
        <v>67</v>
      </c>
      <c r="N543" s="37" t="str">
        <f aca="false">IF(OR(B543="",D543=""),"",IFERROR(IF(IF(E543="Primary",INDEX(Applications!$I$5:$I$600,MATCH(B543,Applications!$A$5:$A$600,0)),IF(E543="Secondary",INDEX(Applications!$J$5:$J$600,MATCH(B543,Applications!$A$5:$A$600,0)),INDEX(Applications!$K$5:$K$600,MATCH(B543,Applications!$A$5:$A$600,0))))=D543,"OK","Not assigned"),"Check ID"))</f>
        <v>OK</v>
      </c>
      <c r="O543" s="7"/>
    </row>
    <row r="544" customFormat="false" ht="15" hidden="false" customHeight="false" outlineLevel="0" collapsed="false">
      <c r="A544" s="35" t="s">
        <v>1941</v>
      </c>
      <c r="B544" s="35" t="s">
        <v>323</v>
      </c>
      <c r="C544" s="37" t="str">
        <f aca="false">IF(B544="","",IFERROR(INDEX(Applications!$B$5:$B$600,MATCH(B544,Applications!$A$5:$A$600,0)),"Application ID not found"))</f>
        <v>Milwaukee Food Bank</v>
      </c>
      <c r="D544" s="35" t="s">
        <v>78</v>
      </c>
      <c r="E544" s="35" t="s">
        <v>83</v>
      </c>
      <c r="F544" s="36" t="n">
        <v>45946</v>
      </c>
      <c r="G544" s="35" t="n">
        <v>2</v>
      </c>
      <c r="H544" s="35" t="n">
        <v>4</v>
      </c>
      <c r="I544" s="35" t="n">
        <v>3</v>
      </c>
      <c r="J544" s="35" t="n">
        <v>3</v>
      </c>
      <c r="K544" s="35" t="n">
        <v>3</v>
      </c>
      <c r="L544" s="35" t="n">
        <v>3</v>
      </c>
      <c r="M544" s="50" t="n">
        <f aca="false">IF(COUNT(G544:L544)&lt;6,"",ROUND((G544*Rubric!$D$5+H544*Rubric!$D$6+I544*Rubric!$D$7+J544*Rubric!$D$8+K544*Rubric!$D$9+L544*Rubric!$D$10)/5*100,1))</f>
        <v>59</v>
      </c>
      <c r="N544" s="37" t="str">
        <f aca="false">IF(OR(B544="",D544=""),"",IFERROR(IF(IF(E544="Primary",INDEX(Applications!$I$5:$I$600,MATCH(B544,Applications!$A$5:$A$600,0)),IF(E544="Secondary",INDEX(Applications!$J$5:$J$600,MATCH(B544,Applications!$A$5:$A$600,0)),INDEX(Applications!$K$5:$K$600,MATCH(B544,Applications!$A$5:$A$600,0))))=D544,"OK","Not assigned"),"Check ID"))</f>
        <v>OK</v>
      </c>
      <c r="O544" s="7"/>
    </row>
    <row r="545" customFormat="false" ht="15" hidden="false" customHeight="false" outlineLevel="0" collapsed="false">
      <c r="A545" s="35" t="s">
        <v>1942</v>
      </c>
      <c r="B545" s="35" t="s">
        <v>456</v>
      </c>
      <c r="C545" s="37" t="str">
        <f aca="false">IF(B545="","",IFERROR(INDEX(Applications!$B$5:$B$600,MATCH(B545,Applications!$A$5:$A$600,0)),"Application ID not found"))</f>
        <v>Bridgeview Food Shelf</v>
      </c>
      <c r="D545" s="35" t="s">
        <v>78</v>
      </c>
      <c r="E545" s="35" t="s">
        <v>80</v>
      </c>
      <c r="F545" s="36" t="n">
        <v>45946</v>
      </c>
      <c r="G545" s="35" t="n">
        <v>3</v>
      </c>
      <c r="H545" s="35" t="n">
        <v>3</v>
      </c>
      <c r="I545" s="35" t="n">
        <v>3</v>
      </c>
      <c r="J545" s="35" t="n">
        <v>3</v>
      </c>
      <c r="K545" s="35" t="n">
        <v>3</v>
      </c>
      <c r="L545" s="35" t="n">
        <v>3</v>
      </c>
      <c r="M545" s="50" t="n">
        <f aca="false">IF(COUNT(G545:L545)&lt;6,"",ROUND((G545*Rubric!$D$5+H545*Rubric!$D$6+I545*Rubric!$D$7+J545*Rubric!$D$8+K545*Rubric!$D$9+L545*Rubric!$D$10)/5*100,1))</f>
        <v>60</v>
      </c>
      <c r="N545" s="37" t="str">
        <f aca="false">IF(OR(B545="",D545=""),"",IFERROR(IF(IF(E545="Primary",INDEX(Applications!$I$5:$I$600,MATCH(B545,Applications!$A$5:$A$600,0)),IF(E545="Secondary",INDEX(Applications!$J$5:$J$600,MATCH(B545,Applications!$A$5:$A$600,0)),INDEX(Applications!$K$5:$K$600,MATCH(B545,Applications!$A$5:$A$600,0))))=D545,"OK","Not assigned"),"Check ID"))</f>
        <v>OK</v>
      </c>
      <c r="O545" s="7"/>
    </row>
    <row r="546" customFormat="false" ht="15" hidden="false" customHeight="false" outlineLevel="0" collapsed="false">
      <c r="A546" s="35" t="s">
        <v>1943</v>
      </c>
      <c r="B546" s="35" t="s">
        <v>813</v>
      </c>
      <c r="C546" s="37" t="str">
        <f aca="false">IF(B546="","",IFERROR(INDEX(Applications!$B$5:$B$600,MATCH(B546,Applications!$A$5:$A$600,0)),"Application ID not found"))</f>
        <v>Monterrey Mobile Market</v>
      </c>
      <c r="D546" s="35" t="s">
        <v>78</v>
      </c>
      <c r="E546" s="35" t="s">
        <v>80</v>
      </c>
      <c r="F546" s="36" t="n">
        <v>45946</v>
      </c>
      <c r="G546" s="35" t="n">
        <v>3</v>
      </c>
      <c r="H546" s="35" t="n">
        <v>4</v>
      </c>
      <c r="I546" s="35" t="n">
        <v>3</v>
      </c>
      <c r="J546" s="35" t="n">
        <v>3</v>
      </c>
      <c r="K546" s="35" t="n">
        <v>3</v>
      </c>
      <c r="L546" s="35" t="n">
        <v>3</v>
      </c>
      <c r="M546" s="50" t="n">
        <f aca="false">IF(COUNT(G546:L546)&lt;6,"",ROUND((G546*Rubric!$D$5+H546*Rubric!$D$6+I546*Rubric!$D$7+J546*Rubric!$D$8+K546*Rubric!$D$9+L546*Rubric!$D$10)/5*100,1))</f>
        <v>64</v>
      </c>
      <c r="N546" s="37" t="str">
        <f aca="false">IF(OR(B546="",D546=""),"",IFERROR(IF(IF(E546="Primary",INDEX(Applications!$I$5:$I$600,MATCH(B546,Applications!$A$5:$A$600,0)),IF(E546="Secondary",INDEX(Applications!$J$5:$J$600,MATCH(B546,Applications!$A$5:$A$600,0)),INDEX(Applications!$K$5:$K$600,MATCH(B546,Applications!$A$5:$A$600,0))))=D546,"OK","Not assigned"),"Check ID"))</f>
        <v>OK</v>
      </c>
      <c r="O546" s="7"/>
    </row>
    <row r="547" customFormat="false" ht="15" hidden="false" customHeight="false" outlineLevel="0" collapsed="false">
      <c r="A547" s="35" t="s">
        <v>1944</v>
      </c>
      <c r="B547" s="35" t="s">
        <v>977</v>
      </c>
      <c r="C547" s="37" t="str">
        <f aca="false">IF(B547="","",IFERROR(INDEX(Applications!$B$5:$B$600,MATCH(B547,Applications!$A$5:$A$600,0)),"Application ID not found"))</f>
        <v>Akron Food Shelf</v>
      </c>
      <c r="D547" s="35" t="s">
        <v>78</v>
      </c>
      <c r="E547" s="35" t="s">
        <v>83</v>
      </c>
      <c r="F547" s="36" t="n">
        <v>45946</v>
      </c>
      <c r="G547" s="35" t="n">
        <v>3</v>
      </c>
      <c r="H547" s="35" t="n">
        <v>3</v>
      </c>
      <c r="I547" s="35" t="n">
        <v>4</v>
      </c>
      <c r="J547" s="35" t="n">
        <v>4</v>
      </c>
      <c r="K547" s="35" t="n">
        <v>4</v>
      </c>
      <c r="L547" s="35" t="n">
        <v>3</v>
      </c>
      <c r="M547" s="50" t="n">
        <f aca="false">IF(COUNT(G547:L547)&lt;6,"",ROUND((G547*Rubric!$D$5+H547*Rubric!$D$6+I547*Rubric!$D$7+J547*Rubric!$D$8+K547*Rubric!$D$9+L547*Rubric!$D$10)/5*100,1))</f>
        <v>69</v>
      </c>
      <c r="N547" s="37" t="str">
        <f aca="false">IF(OR(B547="",D547=""),"",IFERROR(IF(IF(E547="Primary",INDEX(Applications!$I$5:$I$600,MATCH(B547,Applications!$A$5:$A$600,0)),IF(E547="Secondary",INDEX(Applications!$J$5:$J$600,MATCH(B547,Applications!$A$5:$A$600,0)),INDEX(Applications!$K$5:$K$600,MATCH(B547,Applications!$A$5:$A$600,0))))=D547,"OK","Not assigned"),"Check ID"))</f>
        <v>OK</v>
      </c>
      <c r="O547" s="7"/>
    </row>
    <row r="548" customFormat="false" ht="15" hidden="false" customHeight="false" outlineLevel="0" collapsed="false">
      <c r="A548" s="35" t="s">
        <v>1945</v>
      </c>
      <c r="B548" s="35" t="s">
        <v>997</v>
      </c>
      <c r="C548" s="37" t="str">
        <f aca="false">IF(B548="","",IFERROR(INDEX(Applications!$B$5:$B$600,MATCH(B548,Applications!$A$5:$A$600,0)),"Application ID not found"))</f>
        <v>Northside Meals Project</v>
      </c>
      <c r="D548" s="35" t="s">
        <v>78</v>
      </c>
      <c r="E548" s="35" t="s">
        <v>83</v>
      </c>
      <c r="F548" s="36" t="n">
        <v>45946</v>
      </c>
      <c r="G548" s="35" t="n">
        <v>3</v>
      </c>
      <c r="H548" s="35" t="n">
        <v>3</v>
      </c>
      <c r="I548" s="35" t="n">
        <v>4</v>
      </c>
      <c r="J548" s="35" t="n">
        <v>3</v>
      </c>
      <c r="K548" s="35" t="n">
        <v>3</v>
      </c>
      <c r="L548" s="35" t="n">
        <v>4</v>
      </c>
      <c r="M548" s="50" t="n">
        <f aca="false">IF(COUNT(G548:L548)&lt;6,"",ROUND((G548*Rubric!$D$5+H548*Rubric!$D$6+I548*Rubric!$D$7+J548*Rubric!$D$8+K548*Rubric!$D$9+L548*Rubric!$D$10)/5*100,1))</f>
        <v>66</v>
      </c>
      <c r="N548" s="37" t="str">
        <f aca="false">IF(OR(B548="",D548=""),"",IFERROR(IF(IF(E548="Primary",INDEX(Applications!$I$5:$I$600,MATCH(B548,Applications!$A$5:$A$600,0)),IF(E548="Secondary",INDEX(Applications!$J$5:$J$600,MATCH(B548,Applications!$A$5:$A$600,0)),INDEX(Applications!$K$5:$K$600,MATCH(B548,Applications!$A$5:$A$600,0))))=D548,"OK","Not assigned"),"Check ID"))</f>
        <v>OK</v>
      </c>
      <c r="O548" s="7"/>
    </row>
    <row r="549" customFormat="false" ht="15" hidden="false" customHeight="false" outlineLevel="0" collapsed="false">
      <c r="A549" s="35" t="s">
        <v>1946</v>
      </c>
      <c r="B549" s="35" t="s">
        <v>1273</v>
      </c>
      <c r="C549" s="37" t="str">
        <f aca="false">IF(B549="","",IFERROR(INDEX(Applications!$B$5:$B$600,MATCH(B549,Applications!$A$5:$A$600,0)),"Application ID not found"))</f>
        <v>Open Door Youth Food Lab</v>
      </c>
      <c r="D549" s="35" t="s">
        <v>78</v>
      </c>
      <c r="E549" s="35" t="s">
        <v>83</v>
      </c>
      <c r="F549" s="36" t="n">
        <v>45946</v>
      </c>
      <c r="G549" s="35" t="n">
        <v>3</v>
      </c>
      <c r="H549" s="35" t="n">
        <v>4</v>
      </c>
      <c r="I549" s="35" t="n">
        <v>4</v>
      </c>
      <c r="J549" s="35" t="n">
        <v>4</v>
      </c>
      <c r="K549" s="35" t="n">
        <v>4</v>
      </c>
      <c r="L549" s="35" t="n">
        <v>3</v>
      </c>
      <c r="M549" s="50" t="n">
        <f aca="false">IF(COUNT(G549:L549)&lt;6,"",ROUND((G549*Rubric!$D$5+H549*Rubric!$D$6+I549*Rubric!$D$7+J549*Rubric!$D$8+K549*Rubric!$D$9+L549*Rubric!$D$10)/5*100,1))</f>
        <v>73</v>
      </c>
      <c r="N549" s="37" t="str">
        <f aca="false">IF(OR(B549="",D549=""),"",IFERROR(IF(IF(E549="Primary",INDEX(Applications!$I$5:$I$600,MATCH(B549,Applications!$A$5:$A$600,0)),IF(E549="Secondary",INDEX(Applications!$J$5:$J$600,MATCH(B549,Applications!$A$5:$A$600,0)),INDEX(Applications!$K$5:$K$600,MATCH(B549,Applications!$A$5:$A$600,0))))=D549,"OK","Not assigned"),"Check ID"))</f>
        <v>OK</v>
      </c>
      <c r="O549" s="7" t="s">
        <v>1418</v>
      </c>
    </row>
    <row r="550" customFormat="false" ht="15" hidden="false" customHeight="false" outlineLevel="0" collapsed="false">
      <c r="A550" s="35" t="s">
        <v>1947</v>
      </c>
      <c r="B550" s="35" t="s">
        <v>775</v>
      </c>
      <c r="C550" s="37" t="str">
        <f aca="false">IF(B550="","",IFERROR(INDEX(Applications!$B$5:$B$600,MATCH(B550,Applications!$A$5:$A$600,0)),"Application ID not found"))</f>
        <v>Buffalo Meals Project</v>
      </c>
      <c r="D550" s="35" t="s">
        <v>78</v>
      </c>
      <c r="E550" s="35" t="s">
        <v>80</v>
      </c>
      <c r="F550" s="36" t="n">
        <v>45946</v>
      </c>
      <c r="G550" s="35" t="n">
        <v>5</v>
      </c>
      <c r="H550" s="35" t="n">
        <v>5</v>
      </c>
      <c r="I550" s="35" t="n">
        <v>4</v>
      </c>
      <c r="J550" s="35" t="n">
        <v>4</v>
      </c>
      <c r="K550" s="35" t="n">
        <v>5</v>
      </c>
      <c r="L550" s="35" t="n">
        <v>4</v>
      </c>
      <c r="M550" s="50" t="n">
        <f aca="false">IF(COUNT(G550:L550)&lt;6,"",ROUND((G550*Rubric!$D$5+H550*Rubric!$D$6+I550*Rubric!$D$7+J550*Rubric!$D$8+K550*Rubric!$D$9+L550*Rubric!$D$10)/5*100,1))</f>
        <v>91</v>
      </c>
      <c r="N550" s="37" t="str">
        <f aca="false">IF(OR(B550="",D550=""),"",IFERROR(IF(IF(E550="Primary",INDEX(Applications!$I$5:$I$600,MATCH(B550,Applications!$A$5:$A$600,0)),IF(E550="Secondary",INDEX(Applications!$J$5:$J$600,MATCH(B550,Applications!$A$5:$A$600,0)),INDEX(Applications!$K$5:$K$600,MATCH(B550,Applications!$A$5:$A$600,0))))=D550,"OK","Not assigned"),"Check ID"))</f>
        <v>OK</v>
      </c>
      <c r="O550" s="7"/>
    </row>
    <row r="551" customFormat="false" ht="15" hidden="false" customHeight="false" outlineLevel="0" collapsed="false">
      <c r="A551" s="35" t="s">
        <v>1948</v>
      </c>
      <c r="B551" s="35" t="s">
        <v>889</v>
      </c>
      <c r="C551" s="37" t="str">
        <f aca="false">IF(B551="","",IFERROR(INDEX(Applications!$B$5:$B$600,MATCH(B551,Applications!$A$5:$A$600,0)),"Application ID not found"))</f>
        <v>Bluestem Food Bank</v>
      </c>
      <c r="D551" s="35" t="s">
        <v>78</v>
      </c>
      <c r="E551" s="35" t="s">
        <v>83</v>
      </c>
      <c r="F551" s="36" t="n">
        <v>45946</v>
      </c>
      <c r="G551" s="35" t="n">
        <v>4</v>
      </c>
      <c r="H551" s="35" t="n">
        <v>3</v>
      </c>
      <c r="I551" s="35" t="n">
        <v>4</v>
      </c>
      <c r="J551" s="35" t="n">
        <v>4</v>
      </c>
      <c r="K551" s="35" t="n">
        <v>3</v>
      </c>
      <c r="L551" s="35" t="n">
        <v>4</v>
      </c>
      <c r="M551" s="50" t="n">
        <f aca="false">IF(COUNT(G551:L551)&lt;6,"",ROUND((G551*Rubric!$D$5+H551*Rubric!$D$6+I551*Rubric!$D$7+J551*Rubric!$D$8+K551*Rubric!$D$9+L551*Rubric!$D$10)/5*100,1))</f>
        <v>74</v>
      </c>
      <c r="N551" s="37" t="str">
        <f aca="false">IF(OR(B551="",D551=""),"",IFERROR(IF(IF(E551="Primary",INDEX(Applications!$I$5:$I$600,MATCH(B551,Applications!$A$5:$A$600,0)),IF(E551="Secondary",INDEX(Applications!$J$5:$J$600,MATCH(B551,Applications!$A$5:$A$600,0)),INDEX(Applications!$K$5:$K$600,MATCH(B551,Applications!$A$5:$A$600,0))))=D551,"OK","Not assigned"),"Check ID"))</f>
        <v>OK</v>
      </c>
      <c r="O551" s="7"/>
    </row>
    <row r="552" customFormat="false" ht="15" hidden="false" customHeight="false" outlineLevel="0" collapsed="false">
      <c r="A552" s="35" t="s">
        <v>1949</v>
      </c>
      <c r="B552" s="35" t="s">
        <v>267</v>
      </c>
      <c r="C552" s="37" t="str">
        <f aca="false">IF(B552="","",IFERROR(INDEX(Applications!$B$5:$B$600,MATCH(B552,Applications!$A$5:$A$600,0)),"Application ID not found"))</f>
        <v>Commonground Farm Collective</v>
      </c>
      <c r="D552" s="35" t="s">
        <v>82</v>
      </c>
      <c r="E552" s="35" t="s">
        <v>83</v>
      </c>
      <c r="F552" s="36" t="n">
        <v>45946</v>
      </c>
      <c r="G552" s="35" t="n">
        <v>4</v>
      </c>
      <c r="H552" s="35" t="n">
        <v>4</v>
      </c>
      <c r="I552" s="35" t="n">
        <v>4</v>
      </c>
      <c r="J552" s="35" t="n">
        <v>5</v>
      </c>
      <c r="K552" s="35" t="n">
        <v>4</v>
      </c>
      <c r="L552" s="35" t="n">
        <v>4</v>
      </c>
      <c r="M552" s="50" t="n">
        <f aca="false">IF(COUNT(G552:L552)&lt;6,"",ROUND((G552*Rubric!$D$5+H552*Rubric!$D$6+I552*Rubric!$D$7+J552*Rubric!$D$8+K552*Rubric!$D$9+L552*Rubric!$D$10)/5*100,1))</f>
        <v>83</v>
      </c>
      <c r="N552" s="37" t="str">
        <f aca="false">IF(OR(B552="",D552=""),"",IFERROR(IF(IF(E552="Primary",INDEX(Applications!$I$5:$I$600,MATCH(B552,Applications!$A$5:$A$600,0)),IF(E552="Secondary",INDEX(Applications!$J$5:$J$600,MATCH(B552,Applications!$A$5:$A$600,0)),INDEX(Applications!$K$5:$K$600,MATCH(B552,Applications!$A$5:$A$600,0))))=D552,"OK","Not assigned"),"Check ID"))</f>
        <v>OK</v>
      </c>
      <c r="O552" s="7"/>
    </row>
    <row r="553" customFormat="false" ht="15" hidden="false" customHeight="false" outlineLevel="0" collapsed="false">
      <c r="A553" s="35" t="s">
        <v>1950</v>
      </c>
      <c r="B553" s="35" t="s">
        <v>853</v>
      </c>
      <c r="C553" s="37" t="str">
        <f aca="false">IF(B553="","",IFERROR(INDEX(Applications!$B$5:$B$600,MATCH(B553,Applications!$A$5:$A$600,0)),"Application ID not found"))</f>
        <v>Sunrise Farm Collective</v>
      </c>
      <c r="D553" s="35" t="s">
        <v>82</v>
      </c>
      <c r="E553" s="35" t="s">
        <v>83</v>
      </c>
      <c r="F553" s="36" t="n">
        <v>45946</v>
      </c>
      <c r="G553" s="35" t="n">
        <v>3</v>
      </c>
      <c r="H553" s="35" t="n">
        <v>3</v>
      </c>
      <c r="I553" s="35" t="n">
        <v>4</v>
      </c>
      <c r="J553" s="35" t="n">
        <v>2</v>
      </c>
      <c r="K553" s="35" t="n">
        <v>3</v>
      </c>
      <c r="L553" s="35" t="n">
        <v>3</v>
      </c>
      <c r="M553" s="50" t="n">
        <f aca="false">IF(COUNT(G553:L553)&lt;6,"",ROUND((G553*Rubric!$D$5+H553*Rubric!$D$6+I553*Rubric!$D$7+J553*Rubric!$D$8+K553*Rubric!$D$9+L553*Rubric!$D$10)/5*100,1))</f>
        <v>61</v>
      </c>
      <c r="N553" s="37" t="str">
        <f aca="false">IF(OR(B553="",D553=""),"",IFERROR(IF(IF(E553="Primary",INDEX(Applications!$I$5:$I$600,MATCH(B553,Applications!$A$5:$A$600,0)),IF(E553="Secondary",INDEX(Applications!$J$5:$J$600,MATCH(B553,Applications!$A$5:$A$600,0)),INDEX(Applications!$K$5:$K$600,MATCH(B553,Applications!$A$5:$A$600,0))))=D553,"OK","Not assigned"),"Check ID"))</f>
        <v>OK</v>
      </c>
      <c r="O553" s="7" t="s">
        <v>1437</v>
      </c>
    </row>
    <row r="554" customFormat="false" ht="15" hidden="false" customHeight="false" outlineLevel="0" collapsed="false">
      <c r="A554" s="35" t="s">
        <v>1951</v>
      </c>
      <c r="B554" s="35" t="s">
        <v>1217</v>
      </c>
      <c r="C554" s="37" t="str">
        <f aca="false">IF(B554="","",IFERROR(INDEX(Applications!$B$5:$B$600,MATCH(B554,Applications!$A$5:$A$600,0)),"Application ID not found"))</f>
        <v>Toledo Schools Nutrition Fund</v>
      </c>
      <c r="D554" s="35" t="s">
        <v>82</v>
      </c>
      <c r="E554" s="35" t="s">
        <v>80</v>
      </c>
      <c r="F554" s="36" t="n">
        <v>45946</v>
      </c>
      <c r="G554" s="35" t="n">
        <v>3</v>
      </c>
      <c r="H554" s="35" t="n">
        <v>4</v>
      </c>
      <c r="I554" s="35" t="n">
        <v>4</v>
      </c>
      <c r="J554" s="35" t="n">
        <v>4</v>
      </c>
      <c r="K554" s="35" t="n">
        <v>4</v>
      </c>
      <c r="L554" s="35" t="n">
        <v>4</v>
      </c>
      <c r="M554" s="50" t="n">
        <f aca="false">IF(COUNT(G554:L554)&lt;6,"",ROUND((G554*Rubric!$D$5+H554*Rubric!$D$6+I554*Rubric!$D$7+J554*Rubric!$D$8+K554*Rubric!$D$9+L554*Rubric!$D$10)/5*100,1))</f>
        <v>75</v>
      </c>
      <c r="N554" s="37" t="str">
        <f aca="false">IF(OR(B554="",D554=""),"",IFERROR(IF(IF(E554="Primary",INDEX(Applications!$I$5:$I$600,MATCH(B554,Applications!$A$5:$A$600,0)),IF(E554="Secondary",INDEX(Applications!$J$5:$J$600,MATCH(B554,Applications!$A$5:$A$600,0)),INDEX(Applications!$K$5:$K$600,MATCH(B554,Applications!$A$5:$A$600,0))))=D554,"OK","Not assigned"),"Check ID"))</f>
        <v>OK</v>
      </c>
      <c r="O554" s="7"/>
    </row>
    <row r="555" customFormat="false" ht="15" hidden="false" customHeight="false" outlineLevel="0" collapsed="false">
      <c r="A555" s="35" t="s">
        <v>1952</v>
      </c>
      <c r="B555" s="35" t="s">
        <v>522</v>
      </c>
      <c r="C555" s="37" t="str">
        <f aca="false">IF(B555="","",IFERROR(INDEX(Applications!$B$5:$B$600,MATCH(B555,Applications!$A$5:$A$600,0)),"Application ID not found"))</f>
        <v>Northside Farm Collective</v>
      </c>
      <c r="D555" s="35" t="s">
        <v>82</v>
      </c>
      <c r="E555" s="35" t="s">
        <v>80</v>
      </c>
      <c r="F555" s="36" t="n">
        <v>45946</v>
      </c>
      <c r="G555" s="35" t="n">
        <v>5</v>
      </c>
      <c r="H555" s="35" t="n">
        <v>4</v>
      </c>
      <c r="I555" s="35" t="n">
        <v>3</v>
      </c>
      <c r="J555" s="35" t="n">
        <v>4</v>
      </c>
      <c r="K555" s="35" t="n">
        <v>4</v>
      </c>
      <c r="L555" s="35" t="n">
        <v>4</v>
      </c>
      <c r="M555" s="50" t="n">
        <f aca="false">IF(COUNT(G555:L555)&lt;6,"",ROUND((G555*Rubric!$D$5+H555*Rubric!$D$6+I555*Rubric!$D$7+J555*Rubric!$D$8+K555*Rubric!$D$9+L555*Rubric!$D$10)/5*100,1))</f>
        <v>81</v>
      </c>
      <c r="N555" s="37" t="str">
        <f aca="false">IF(OR(B555="",D555=""),"",IFERROR(IF(IF(E555="Primary",INDEX(Applications!$I$5:$I$600,MATCH(B555,Applications!$A$5:$A$600,0)),IF(E555="Secondary",INDEX(Applications!$J$5:$J$600,MATCH(B555,Applications!$A$5:$A$600,0)),INDEX(Applications!$K$5:$K$600,MATCH(B555,Applications!$A$5:$A$600,0))))=D555,"OK","Not assigned"),"Check ID"))</f>
        <v>OK</v>
      </c>
      <c r="O555" s="7"/>
    </row>
    <row r="556" customFormat="false" ht="15" hidden="false" customHeight="false" outlineLevel="0" collapsed="false">
      <c r="A556" s="35" t="s">
        <v>1953</v>
      </c>
      <c r="B556" s="35" t="s">
        <v>333</v>
      </c>
      <c r="C556" s="37" t="str">
        <f aca="false">IF(B556="","",IFERROR(INDEX(Applications!$B$5:$B$600,MATCH(B556,Applications!$A$5:$A$600,0)),"Application ID not found"))</f>
        <v>Fresno Community Pantry</v>
      </c>
      <c r="D556" s="35" t="s">
        <v>82</v>
      </c>
      <c r="E556" s="35" t="s">
        <v>80</v>
      </c>
      <c r="F556" s="36" t="n">
        <v>45946</v>
      </c>
      <c r="G556" s="35" t="n">
        <v>4</v>
      </c>
      <c r="H556" s="35" t="n">
        <v>3</v>
      </c>
      <c r="I556" s="35" t="n">
        <v>3</v>
      </c>
      <c r="J556" s="35" t="n">
        <v>3</v>
      </c>
      <c r="K556" s="35" t="n">
        <v>3</v>
      </c>
      <c r="L556" s="35" t="n">
        <v>2</v>
      </c>
      <c r="M556" s="50" t="n">
        <f aca="false">IF(COUNT(G556:L556)&lt;6,"",ROUND((G556*Rubric!$D$5+H556*Rubric!$D$6+I556*Rubric!$D$7+J556*Rubric!$D$8+K556*Rubric!$D$9+L556*Rubric!$D$10)/5*100,1))</f>
        <v>63</v>
      </c>
      <c r="N556" s="37" t="str">
        <f aca="false">IF(OR(B556="",D556=""),"",IFERROR(IF(IF(E556="Primary",INDEX(Applications!$I$5:$I$600,MATCH(B556,Applications!$A$5:$A$600,0)),IF(E556="Secondary",INDEX(Applications!$J$5:$J$600,MATCH(B556,Applications!$A$5:$A$600,0)),INDEX(Applications!$K$5:$K$600,MATCH(B556,Applications!$A$5:$A$600,0))))=D556,"OK","Not assigned"),"Check ID"))</f>
        <v>OK</v>
      </c>
      <c r="O556" s="7" t="s">
        <v>1402</v>
      </c>
    </row>
    <row r="557" customFormat="false" ht="15" hidden="false" customHeight="false" outlineLevel="0" collapsed="false">
      <c r="A557" s="35" t="s">
        <v>1954</v>
      </c>
      <c r="B557" s="35" t="s">
        <v>386</v>
      </c>
      <c r="C557" s="37" t="str">
        <f aca="false">IF(B557="","",IFERROR(INDEX(Applications!$B$5:$B$600,MATCH(B557,Applications!$A$5:$A$600,0)),"Application ID not found"))</f>
        <v>Kestrel Youth Food Lab</v>
      </c>
      <c r="D557" s="35" t="s">
        <v>82</v>
      </c>
      <c r="E557" s="35" t="s">
        <v>83</v>
      </c>
      <c r="F557" s="36" t="n">
        <v>45946</v>
      </c>
      <c r="G557" s="35" t="n">
        <v>2</v>
      </c>
      <c r="H557" s="35" t="n">
        <v>3</v>
      </c>
      <c r="I557" s="35" t="n">
        <v>2</v>
      </c>
      <c r="J557" s="35" t="n">
        <v>3</v>
      </c>
      <c r="K557" s="35" t="n">
        <v>2</v>
      </c>
      <c r="L557" s="35" t="n">
        <v>2</v>
      </c>
      <c r="M557" s="50" t="n">
        <f aca="false">IF(COUNT(G557:L557)&lt;6,"",ROUND((G557*Rubric!$D$5+H557*Rubric!$D$6+I557*Rubric!$D$7+J557*Rubric!$D$8+K557*Rubric!$D$9+L557*Rubric!$D$10)/5*100,1))</f>
        <v>47</v>
      </c>
      <c r="N557" s="37" t="str">
        <f aca="false">IF(OR(B557="",D557=""),"",IFERROR(IF(IF(E557="Primary",INDEX(Applications!$I$5:$I$600,MATCH(B557,Applications!$A$5:$A$600,0)),IF(E557="Secondary",INDEX(Applications!$J$5:$J$600,MATCH(B557,Applications!$A$5:$A$600,0)),INDEX(Applications!$K$5:$K$600,MATCH(B557,Applications!$A$5:$A$600,0))))=D557,"OK","Not assigned"),"Check ID"))</f>
        <v>OK</v>
      </c>
      <c r="O557" s="7"/>
    </row>
    <row r="558" customFormat="false" ht="15" hidden="false" customHeight="false" outlineLevel="0" collapsed="false">
      <c r="A558" s="35" t="s">
        <v>1955</v>
      </c>
      <c r="B558" s="35" t="s">
        <v>795</v>
      </c>
      <c r="C558" s="37" t="str">
        <f aca="false">IF(B558="","",IFERROR(INDEX(Applications!$B$5:$B$600,MATCH(B558,Applications!$A$5:$A$600,0)),"Application ID not found"))</f>
        <v>Linden Mobile Market</v>
      </c>
      <c r="D558" s="35" t="s">
        <v>82</v>
      </c>
      <c r="E558" s="35" t="s">
        <v>83</v>
      </c>
      <c r="F558" s="36" t="n">
        <v>45946</v>
      </c>
      <c r="G558" s="35" t="n">
        <v>4</v>
      </c>
      <c r="H558" s="35" t="n">
        <v>3</v>
      </c>
      <c r="I558" s="35" t="n">
        <v>3</v>
      </c>
      <c r="J558" s="35" t="n">
        <v>3</v>
      </c>
      <c r="K558" s="35" t="n">
        <v>3</v>
      </c>
      <c r="L558" s="35" t="n">
        <v>3</v>
      </c>
      <c r="M558" s="50" t="n">
        <f aca="false">IF(COUNT(G558:L558)&lt;6,"",ROUND((G558*Rubric!$D$5+H558*Rubric!$D$6+I558*Rubric!$D$7+J558*Rubric!$D$8+K558*Rubric!$D$9+L558*Rubric!$D$10)/5*100,1))</f>
        <v>65</v>
      </c>
      <c r="N558" s="37" t="str">
        <f aca="false">IF(OR(B558="",D558=""),"",IFERROR(IF(IF(E558="Primary",INDEX(Applications!$I$5:$I$600,MATCH(B558,Applications!$A$5:$A$600,0)),IF(E558="Secondary",INDEX(Applications!$J$5:$J$600,MATCH(B558,Applications!$A$5:$A$600,0)),INDEX(Applications!$K$5:$K$600,MATCH(B558,Applications!$A$5:$A$600,0))))=D558,"OK","Not assigned"),"Check ID"))</f>
        <v>OK</v>
      </c>
      <c r="O558" s="7"/>
    </row>
    <row r="559" customFormat="false" ht="15" hidden="false" customHeight="false" outlineLevel="0" collapsed="false">
      <c r="A559" s="35" t="s">
        <v>1956</v>
      </c>
      <c r="B559" s="35" t="s">
        <v>783</v>
      </c>
      <c r="C559" s="37" t="str">
        <f aca="false">IF(B559="","",IFERROR(INDEX(Applications!$B$5:$B$600,MATCH(B559,Applications!$A$5:$A$600,0)),"Application ID not found"))</f>
        <v>Old Town Meals Project</v>
      </c>
      <c r="D559" s="35" t="s">
        <v>82</v>
      </c>
      <c r="E559" s="35" t="s">
        <v>83</v>
      </c>
      <c r="F559" s="36" t="n">
        <v>45946</v>
      </c>
      <c r="G559" s="35" t="n">
        <v>1</v>
      </c>
      <c r="H559" s="35" t="n">
        <v>1</v>
      </c>
      <c r="I559" s="35" t="n">
        <v>1</v>
      </c>
      <c r="J559" s="35" t="n">
        <v>1</v>
      </c>
      <c r="K559" s="35" t="n">
        <v>1</v>
      </c>
      <c r="L559" s="35" t="n">
        <v>1</v>
      </c>
      <c r="M559" s="50" t="n">
        <f aca="false">IF(COUNT(G559:L559)&lt;6,"",ROUND((G559*Rubric!$D$5+H559*Rubric!$D$6+I559*Rubric!$D$7+J559*Rubric!$D$8+K559*Rubric!$D$9+L559*Rubric!$D$10)/5*100,1))</f>
        <v>20</v>
      </c>
      <c r="N559" s="37" t="str">
        <f aca="false">IF(OR(B559="",D559=""),"",IFERROR(IF(IF(E559="Primary",INDEX(Applications!$I$5:$I$600,MATCH(B559,Applications!$A$5:$A$600,0)),IF(E559="Secondary",INDEX(Applications!$J$5:$J$600,MATCH(B559,Applications!$A$5:$A$600,0)),INDEX(Applications!$K$5:$K$600,MATCH(B559,Applications!$A$5:$A$600,0))))=D559,"OK","Not assigned"),"Check ID"))</f>
        <v>OK</v>
      </c>
      <c r="O559" s="7"/>
    </row>
    <row r="560" customFormat="false" ht="15" hidden="false" customHeight="false" outlineLevel="0" collapsed="false">
      <c r="A560" s="35" t="s">
        <v>1957</v>
      </c>
      <c r="B560" s="35" t="s">
        <v>985</v>
      </c>
      <c r="C560" s="37" t="str">
        <f aca="false">IF(B560="","",IFERROR(INDEX(Applications!$B$5:$B$600,MATCH(B560,Applications!$A$5:$A$600,0)),"Application ID not found"))</f>
        <v>Mill Creek Pantry Network</v>
      </c>
      <c r="D560" s="35" t="s">
        <v>82</v>
      </c>
      <c r="E560" s="35" t="s">
        <v>83</v>
      </c>
      <c r="F560" s="36" t="n">
        <v>45946</v>
      </c>
      <c r="G560" s="35" t="n">
        <v>2</v>
      </c>
      <c r="H560" s="35" t="n">
        <v>3</v>
      </c>
      <c r="I560" s="35" t="n">
        <v>2</v>
      </c>
      <c r="J560" s="35" t="n">
        <v>3</v>
      </c>
      <c r="K560" s="35" t="n">
        <v>3</v>
      </c>
      <c r="L560" s="35" t="n">
        <v>2</v>
      </c>
      <c r="M560" s="50" t="n">
        <f aca="false">IF(COUNT(G560:L560)&lt;6,"",ROUND((G560*Rubric!$D$5+H560*Rubric!$D$6+I560*Rubric!$D$7+J560*Rubric!$D$8+K560*Rubric!$D$9+L560*Rubric!$D$10)/5*100,1))</f>
        <v>49</v>
      </c>
      <c r="N560" s="37" t="str">
        <f aca="false">IF(OR(B560="",D560=""),"",IFERROR(IF(IF(E560="Primary",INDEX(Applications!$I$5:$I$600,MATCH(B560,Applications!$A$5:$A$600,0)),IF(E560="Secondary",INDEX(Applications!$J$5:$J$600,MATCH(B560,Applications!$A$5:$A$600,0)),INDEX(Applications!$K$5:$K$600,MATCH(B560,Applications!$A$5:$A$600,0))))=D560,"OK","Not assigned"),"Check ID"))</f>
        <v>OK</v>
      </c>
      <c r="O560" s="7"/>
    </row>
    <row r="561" customFormat="false" ht="15" hidden="false" customHeight="false" outlineLevel="0" collapsed="false">
      <c r="A561" s="35" t="s">
        <v>1958</v>
      </c>
      <c r="B561" s="35" t="s">
        <v>903</v>
      </c>
      <c r="C561" s="37" t="str">
        <f aca="false">IF(B561="","",IFERROR(INDEX(Applications!$B$5:$B$600,MATCH(B561,Applications!$A$5:$A$600,0)),"Application ID not found"))</f>
        <v>Mill Creek Food Shelf</v>
      </c>
      <c r="D561" s="35" t="s">
        <v>82</v>
      </c>
      <c r="E561" s="35" t="s">
        <v>80</v>
      </c>
      <c r="F561" s="36" t="n">
        <v>45946</v>
      </c>
      <c r="G561" s="35" t="n">
        <v>3</v>
      </c>
      <c r="H561" s="35" t="n">
        <v>3</v>
      </c>
      <c r="I561" s="35" t="n">
        <v>4</v>
      </c>
      <c r="J561" s="35" t="n">
        <v>4</v>
      </c>
      <c r="K561" s="35" t="n">
        <v>3</v>
      </c>
      <c r="L561" s="35" t="n">
        <v>4</v>
      </c>
      <c r="M561" s="50" t="n">
        <f aca="false">IF(COUNT(G561:L561)&lt;6,"",ROUND((G561*Rubric!$D$5+H561*Rubric!$D$6+I561*Rubric!$D$7+J561*Rubric!$D$8+K561*Rubric!$D$9+L561*Rubric!$D$10)/5*100,1))</f>
        <v>69</v>
      </c>
      <c r="N561" s="37" t="str">
        <f aca="false">IF(OR(B561="",D561=""),"",IFERROR(IF(IF(E561="Primary",INDEX(Applications!$I$5:$I$600,MATCH(B561,Applications!$A$5:$A$600,0)),IF(E561="Secondary",INDEX(Applications!$J$5:$J$600,MATCH(B561,Applications!$A$5:$A$600,0)),INDEX(Applications!$K$5:$K$600,MATCH(B561,Applications!$A$5:$A$600,0))))=D561,"OK","Not assigned"),"Check ID"))</f>
        <v>OK</v>
      </c>
      <c r="O561" s="7"/>
    </row>
    <row r="562" customFormat="false" ht="15" hidden="false" customHeight="false" outlineLevel="0" collapsed="false">
      <c r="A562" s="35" t="s">
        <v>1959</v>
      </c>
      <c r="B562" s="35" t="s">
        <v>202</v>
      </c>
      <c r="C562" s="37" t="str">
        <f aca="false">IF(B562="","",IFERROR(INDEX(Applications!$B$5:$B$600,MATCH(B562,Applications!$A$5:$A$600,0)),"Application ID not found"))</f>
        <v>Hillcrest Food Ventures</v>
      </c>
      <c r="D562" s="35" t="s">
        <v>82</v>
      </c>
      <c r="E562" s="35" t="s">
        <v>80</v>
      </c>
      <c r="F562" s="36" t="n">
        <v>45946</v>
      </c>
      <c r="G562" s="35" t="n">
        <v>3</v>
      </c>
      <c r="H562" s="35" t="n">
        <v>3</v>
      </c>
      <c r="I562" s="35" t="n">
        <v>3</v>
      </c>
      <c r="J562" s="35" t="n">
        <v>4</v>
      </c>
      <c r="K562" s="35" t="n">
        <v>3</v>
      </c>
      <c r="L562" s="35" t="n">
        <v>3</v>
      </c>
      <c r="M562" s="50" t="n">
        <f aca="false">IF(COUNT(G562:L562)&lt;6,"",ROUND((G562*Rubric!$D$5+H562*Rubric!$D$6+I562*Rubric!$D$7+J562*Rubric!$D$8+K562*Rubric!$D$9+L562*Rubric!$D$10)/5*100,1))</f>
        <v>63</v>
      </c>
      <c r="N562" s="37" t="str">
        <f aca="false">IF(OR(B562="",D562=""),"",IFERROR(IF(IF(E562="Primary",INDEX(Applications!$I$5:$I$600,MATCH(B562,Applications!$A$5:$A$600,0)),IF(E562="Secondary",INDEX(Applications!$J$5:$J$600,MATCH(B562,Applications!$A$5:$A$600,0)),INDEX(Applications!$K$5:$K$600,MATCH(B562,Applications!$A$5:$A$600,0))))=D562,"OK","Not assigned"),"Check ID"))</f>
        <v>OK</v>
      </c>
      <c r="O562" s="7"/>
    </row>
    <row r="563" customFormat="false" ht="15" hidden="false" customHeight="false" outlineLevel="0" collapsed="false">
      <c r="A563" s="35" t="s">
        <v>1960</v>
      </c>
      <c r="B563" s="35" t="s">
        <v>1181</v>
      </c>
      <c r="C563" s="37" t="str">
        <f aca="false">IF(B563="","",IFERROR(INDEX(Applications!$B$5:$B$600,MATCH(B563,Applications!$A$5:$A$600,0)),"Application ID not found"))</f>
        <v>Utrecht Mobile Market</v>
      </c>
      <c r="D563" s="35" t="s">
        <v>82</v>
      </c>
      <c r="E563" s="35" t="s">
        <v>83</v>
      </c>
      <c r="F563" s="36" t="n">
        <v>45946</v>
      </c>
      <c r="G563" s="35" t="n">
        <v>3</v>
      </c>
      <c r="H563" s="35" t="n">
        <v>3</v>
      </c>
      <c r="I563" s="35" t="n">
        <v>3</v>
      </c>
      <c r="J563" s="35" t="n">
        <v>3</v>
      </c>
      <c r="K563" s="35" t="n">
        <v>3</v>
      </c>
      <c r="L563" s="35" t="n">
        <v>3</v>
      </c>
      <c r="M563" s="50" t="n">
        <f aca="false">IF(COUNT(G563:L563)&lt;6,"",ROUND((G563*Rubric!$D$5+H563*Rubric!$D$6+I563*Rubric!$D$7+J563*Rubric!$D$8+K563*Rubric!$D$9+L563*Rubric!$D$10)/5*100,1))</f>
        <v>60</v>
      </c>
      <c r="N563" s="37" t="str">
        <f aca="false">IF(OR(B563="",D563=""),"",IFERROR(IF(IF(E563="Primary",INDEX(Applications!$I$5:$I$600,MATCH(B563,Applications!$A$5:$A$600,0)),IF(E563="Secondary",INDEX(Applications!$J$5:$J$600,MATCH(B563,Applications!$A$5:$A$600,0)),INDEX(Applications!$K$5:$K$600,MATCH(B563,Applications!$A$5:$A$600,0))))=D563,"OK","Not assigned"),"Check ID"))</f>
        <v>OK</v>
      </c>
      <c r="O563" s="7"/>
    </row>
    <row r="564" customFormat="false" ht="15" hidden="false" customHeight="false" outlineLevel="0" collapsed="false">
      <c r="A564" s="35" t="s">
        <v>1961</v>
      </c>
      <c r="B564" s="35" t="s">
        <v>253</v>
      </c>
      <c r="C564" s="37" t="str">
        <f aca="false">IF(B564="","",IFERROR(INDEX(Applications!$B$5:$B$600,MATCH(B564,Applications!$A$5:$A$600,0)),"Application ID not found"))</f>
        <v>Arequipa Food Bank</v>
      </c>
      <c r="D564" s="35" t="s">
        <v>88</v>
      </c>
      <c r="E564" s="35" t="s">
        <v>83</v>
      </c>
      <c r="F564" s="36" t="n">
        <v>45946</v>
      </c>
      <c r="G564" s="35" t="n">
        <v>2</v>
      </c>
      <c r="H564" s="35" t="n">
        <v>3</v>
      </c>
      <c r="I564" s="35" t="n">
        <v>3</v>
      </c>
      <c r="J564" s="35" t="n">
        <v>3</v>
      </c>
      <c r="K564" s="35" t="n">
        <v>3</v>
      </c>
      <c r="L564" s="35" t="n">
        <v>3</v>
      </c>
      <c r="M564" s="50" t="n">
        <f aca="false">IF(COUNT(G564:L564)&lt;6,"",ROUND((G564*Rubric!$D$5+H564*Rubric!$D$6+I564*Rubric!$D$7+J564*Rubric!$D$8+K564*Rubric!$D$9+L564*Rubric!$D$10)/5*100,1))</f>
        <v>55</v>
      </c>
      <c r="N564" s="37" t="str">
        <f aca="false">IF(OR(B564="",D564=""),"",IFERROR(IF(IF(E564="Primary",INDEX(Applications!$I$5:$I$600,MATCH(B564,Applications!$A$5:$A$600,0)),IF(E564="Secondary",INDEX(Applications!$J$5:$J$600,MATCH(B564,Applications!$A$5:$A$600,0)),INDEX(Applications!$K$5:$K$600,MATCH(B564,Applications!$A$5:$A$600,0))))=D564,"OK","Not assigned"),"Check ID"))</f>
        <v>OK</v>
      </c>
      <c r="O564" s="7"/>
    </row>
    <row r="565" customFormat="false" ht="15" hidden="false" customHeight="false" outlineLevel="0" collapsed="false">
      <c r="A565" s="35" t="s">
        <v>1962</v>
      </c>
      <c r="B565" s="35" t="s">
        <v>208</v>
      </c>
      <c r="C565" s="37" t="str">
        <f aca="false">IF(B565="","",IFERROR(INDEX(Applications!$B$5:$B$600,MATCH(B565,Applications!$A$5:$A$600,0)),"Application ID not found"))</f>
        <v>Sunrise Bakery Collective</v>
      </c>
      <c r="D565" s="35" t="s">
        <v>88</v>
      </c>
      <c r="E565" s="35" t="s">
        <v>83</v>
      </c>
      <c r="F565" s="36" t="n">
        <v>45946</v>
      </c>
      <c r="G565" s="35" t="n">
        <v>3</v>
      </c>
      <c r="H565" s="35" t="n">
        <v>4</v>
      </c>
      <c r="I565" s="35" t="n">
        <v>3</v>
      </c>
      <c r="J565" s="35" t="n">
        <v>4</v>
      </c>
      <c r="K565" s="35" t="n">
        <v>4</v>
      </c>
      <c r="L565" s="35" t="n">
        <v>4</v>
      </c>
      <c r="M565" s="50" t="n">
        <f aca="false">IF(COUNT(G565:L565)&lt;6,"",ROUND((G565*Rubric!$D$5+H565*Rubric!$D$6+I565*Rubric!$D$7+J565*Rubric!$D$8+K565*Rubric!$D$9+L565*Rubric!$D$10)/5*100,1))</f>
        <v>71</v>
      </c>
      <c r="N565" s="37" t="str">
        <f aca="false">IF(OR(B565="",D565=""),"",IFERROR(IF(IF(E565="Primary",INDEX(Applications!$I$5:$I$600,MATCH(B565,Applications!$A$5:$A$600,0)),IF(E565="Secondary",INDEX(Applications!$J$5:$J$600,MATCH(B565,Applications!$A$5:$A$600,0)),INDEX(Applications!$K$5:$K$600,MATCH(B565,Applications!$A$5:$A$600,0))))=D565,"OK","Not assigned"),"Check ID"))</f>
        <v>OK</v>
      </c>
      <c r="O565" s="7"/>
    </row>
    <row r="566" customFormat="false" ht="15" hidden="false" customHeight="false" outlineLevel="0" collapsed="false">
      <c r="A566" s="35" t="s">
        <v>1963</v>
      </c>
      <c r="B566" s="35" t="s">
        <v>1191</v>
      </c>
      <c r="C566" s="37" t="str">
        <f aca="false">IF(B566="","",IFERROR(INDEX(Applications!$B$5:$B$600,MATCH(B566,Applications!$A$5:$A$600,0)),"Application ID not found"))</f>
        <v>Toronto Community Pantry</v>
      </c>
      <c r="D566" s="35" t="s">
        <v>88</v>
      </c>
      <c r="E566" s="35" t="s">
        <v>83</v>
      </c>
      <c r="F566" s="36" t="n">
        <v>45946</v>
      </c>
      <c r="G566" s="35" t="n">
        <v>2</v>
      </c>
      <c r="H566" s="35" t="n">
        <v>3</v>
      </c>
      <c r="I566" s="35" t="n">
        <v>2</v>
      </c>
      <c r="J566" s="35" t="n">
        <v>3</v>
      </c>
      <c r="K566" s="35" t="n">
        <v>3</v>
      </c>
      <c r="L566" s="35" t="n">
        <v>3</v>
      </c>
      <c r="M566" s="50" t="n">
        <f aca="false">IF(COUNT(G566:L566)&lt;6,"",ROUND((G566*Rubric!$D$5+H566*Rubric!$D$6+I566*Rubric!$D$7+J566*Rubric!$D$8+K566*Rubric!$D$9+L566*Rubric!$D$10)/5*100,1))</f>
        <v>51</v>
      </c>
      <c r="N566" s="37" t="str">
        <f aca="false">IF(OR(B566="",D566=""),"",IFERROR(IF(IF(E566="Primary",INDEX(Applications!$I$5:$I$600,MATCH(B566,Applications!$A$5:$A$600,0)),IF(E566="Secondary",INDEX(Applications!$J$5:$J$600,MATCH(B566,Applications!$A$5:$A$600,0)),INDEX(Applications!$K$5:$K$600,MATCH(B566,Applications!$A$5:$A$600,0))))=D566,"OK","Not assigned"),"Check ID"))</f>
        <v>OK</v>
      </c>
      <c r="O566" s="7" t="s">
        <v>1493</v>
      </c>
    </row>
    <row r="567" customFormat="false" ht="15" hidden="false" customHeight="false" outlineLevel="0" collapsed="false">
      <c r="A567" s="35" t="s">
        <v>1964</v>
      </c>
      <c r="B567" s="35" t="s">
        <v>595</v>
      </c>
      <c r="C567" s="37" t="str">
        <f aca="false">IF(B567="","",IFERROR(INDEX(Applications!$B$5:$B$600,MATCH(B567,Applications!$A$5:$A$600,0)),"Application ID not found"))</f>
        <v>Toronto Bakery Collective</v>
      </c>
      <c r="D567" s="35" t="s">
        <v>88</v>
      </c>
      <c r="E567" s="35" t="s">
        <v>83</v>
      </c>
      <c r="F567" s="36" t="n">
        <v>45946</v>
      </c>
      <c r="G567" s="35" t="n">
        <v>5</v>
      </c>
      <c r="H567" s="35" t="n">
        <v>4</v>
      </c>
      <c r="I567" s="35" t="n">
        <v>5</v>
      </c>
      <c r="J567" s="35" t="n">
        <v>5</v>
      </c>
      <c r="K567" s="35" t="n">
        <v>4</v>
      </c>
      <c r="L567" s="35" t="n">
        <v>5</v>
      </c>
      <c r="M567" s="50" t="n">
        <f aca="false">IF(COUNT(G567:L567)&lt;6,"",ROUND((G567*Rubric!$D$5+H567*Rubric!$D$6+I567*Rubric!$D$7+J567*Rubric!$D$8+K567*Rubric!$D$9+L567*Rubric!$D$10)/5*100,1))</f>
        <v>94</v>
      </c>
      <c r="N567" s="37" t="str">
        <f aca="false">IF(OR(B567="",D567=""),"",IFERROR(IF(IF(E567="Primary",INDEX(Applications!$I$5:$I$600,MATCH(B567,Applications!$A$5:$A$600,0)),IF(E567="Secondary",INDEX(Applications!$J$5:$J$600,MATCH(B567,Applications!$A$5:$A$600,0)),INDEX(Applications!$K$5:$K$600,MATCH(B567,Applications!$A$5:$A$600,0))))=D567,"OK","Not assigned"),"Check ID"))</f>
        <v>OK</v>
      </c>
      <c r="O567" s="7" t="s">
        <v>1402</v>
      </c>
    </row>
    <row r="568" customFormat="false" ht="15" hidden="false" customHeight="false" outlineLevel="0" collapsed="false">
      <c r="A568" s="35" t="s">
        <v>1965</v>
      </c>
      <c r="B568" s="35" t="s">
        <v>270</v>
      </c>
      <c r="C568" s="37" t="str">
        <f aca="false">IF(B568="","",IFERROR(INDEX(Applications!$B$5:$B$600,MATCH(B568,Applications!$A$5:$A$600,0)),"Application ID not found"))</f>
        <v>Marigold Family Center</v>
      </c>
      <c r="D568" s="35" t="s">
        <v>88</v>
      </c>
      <c r="E568" s="35" t="s">
        <v>83</v>
      </c>
      <c r="F568" s="36" t="n">
        <v>45946</v>
      </c>
      <c r="G568" s="35" t="n">
        <v>3</v>
      </c>
      <c r="H568" s="35" t="n">
        <v>3</v>
      </c>
      <c r="I568" s="35" t="n">
        <v>3</v>
      </c>
      <c r="J568" s="35" t="n">
        <v>4</v>
      </c>
      <c r="K568" s="35" t="n">
        <v>3</v>
      </c>
      <c r="L568" s="35" t="n">
        <v>3</v>
      </c>
      <c r="M568" s="50" t="n">
        <f aca="false">IF(COUNT(G568:L568)&lt;6,"",ROUND((G568*Rubric!$D$5+H568*Rubric!$D$6+I568*Rubric!$D$7+J568*Rubric!$D$8+K568*Rubric!$D$9+L568*Rubric!$D$10)/5*100,1))</f>
        <v>63</v>
      </c>
      <c r="N568" s="37" t="str">
        <f aca="false">IF(OR(B568="",D568=""),"",IFERROR(IF(IF(E568="Primary",INDEX(Applications!$I$5:$I$600,MATCH(B568,Applications!$A$5:$A$600,0)),IF(E568="Secondary",INDEX(Applications!$J$5:$J$600,MATCH(B568,Applications!$A$5:$A$600,0)),INDEX(Applications!$K$5:$K$600,MATCH(B568,Applications!$A$5:$A$600,0))))=D568,"OK","Not assigned"),"Check ID"))</f>
        <v>OK</v>
      </c>
      <c r="O568" s="7"/>
    </row>
    <row r="569" customFormat="false" ht="15" hidden="false" customHeight="false" outlineLevel="0" collapsed="false">
      <c r="A569" s="35" t="s">
        <v>1966</v>
      </c>
      <c r="B569" s="35" t="s">
        <v>711</v>
      </c>
      <c r="C569" s="37" t="str">
        <f aca="false">IF(B569="","",IFERROR(INDEX(Applications!$B$5:$B$600,MATCH(B569,Applications!$A$5:$A$600,0)),"Application ID not found"))</f>
        <v>Parkside Schools Nutrition Fund</v>
      </c>
      <c r="D569" s="35" t="s">
        <v>88</v>
      </c>
      <c r="E569" s="35" t="s">
        <v>83</v>
      </c>
      <c r="F569" s="36" t="n">
        <v>45946</v>
      </c>
      <c r="G569" s="35" t="n">
        <v>2</v>
      </c>
      <c r="H569" s="35" t="n">
        <v>2</v>
      </c>
      <c r="I569" s="35" t="n">
        <v>3</v>
      </c>
      <c r="J569" s="35" t="n">
        <v>3</v>
      </c>
      <c r="K569" s="35" t="n">
        <v>3</v>
      </c>
      <c r="L569" s="35" t="n">
        <v>3</v>
      </c>
      <c r="M569" s="50" t="n">
        <f aca="false">IF(COUNT(G569:L569)&lt;6,"",ROUND((G569*Rubric!$D$5+H569*Rubric!$D$6+I569*Rubric!$D$7+J569*Rubric!$D$8+K569*Rubric!$D$9+L569*Rubric!$D$10)/5*100,1))</f>
        <v>51</v>
      </c>
      <c r="N569" s="37" t="str">
        <f aca="false">IF(OR(B569="",D569=""),"",IFERROR(IF(IF(E569="Primary",INDEX(Applications!$I$5:$I$600,MATCH(B569,Applications!$A$5:$A$600,0)),IF(E569="Secondary",INDEX(Applications!$J$5:$J$600,MATCH(B569,Applications!$A$5:$A$600,0)),INDEX(Applications!$K$5:$K$600,MATCH(B569,Applications!$A$5:$A$600,0))))=D569,"OK","Not assigned"),"Check ID"))</f>
        <v>OK</v>
      </c>
      <c r="O569" s="7"/>
    </row>
    <row r="570" customFormat="false" ht="15" hidden="false" customHeight="false" outlineLevel="0" collapsed="false">
      <c r="A570" s="35" t="s">
        <v>1967</v>
      </c>
      <c r="B570" s="35" t="s">
        <v>959</v>
      </c>
      <c r="C570" s="37" t="str">
        <f aca="false">IF(B570="","",IFERROR(INDEX(Applications!$B$5:$B$600,MATCH(B570,Applications!$A$5:$A$600,0)),"Application ID not found"))</f>
        <v>Arequipa Mobile Market</v>
      </c>
      <c r="D570" s="35" t="s">
        <v>88</v>
      </c>
      <c r="E570" s="35" t="s">
        <v>80</v>
      </c>
      <c r="F570" s="36" t="n">
        <v>45946</v>
      </c>
      <c r="G570" s="35" t="n">
        <v>4</v>
      </c>
      <c r="H570" s="35" t="n">
        <v>5</v>
      </c>
      <c r="I570" s="35" t="n">
        <v>5</v>
      </c>
      <c r="J570" s="35" t="n">
        <v>5</v>
      </c>
      <c r="K570" s="35" t="n">
        <v>4</v>
      </c>
      <c r="L570" s="35" t="n">
        <v>4</v>
      </c>
      <c r="M570" s="50" t="n">
        <f aca="false">IF(COUNT(G570:L570)&lt;6,"",ROUND((G570*Rubric!$D$5+H570*Rubric!$D$6+I570*Rubric!$D$7+J570*Rubric!$D$8+K570*Rubric!$D$9+L570*Rubric!$D$10)/5*100,1))</f>
        <v>91</v>
      </c>
      <c r="N570" s="37" t="str">
        <f aca="false">IF(OR(B570="",D570=""),"",IFERROR(IF(IF(E570="Primary",INDEX(Applications!$I$5:$I$600,MATCH(B570,Applications!$A$5:$A$600,0)),IF(E570="Secondary",INDEX(Applications!$J$5:$J$600,MATCH(B570,Applications!$A$5:$A$600,0)),INDEX(Applications!$K$5:$K$600,MATCH(B570,Applications!$A$5:$A$600,0))))=D570,"OK","Not assigned"),"Check ID"))</f>
        <v>OK</v>
      </c>
      <c r="O570" s="7"/>
    </row>
    <row r="571" customFormat="false" ht="15" hidden="false" customHeight="false" outlineLevel="0" collapsed="false">
      <c r="A571" s="35" t="s">
        <v>1968</v>
      </c>
      <c r="B571" s="35" t="s">
        <v>1209</v>
      </c>
      <c r="C571" s="37" t="str">
        <f aca="false">IF(B571="","",IFERROR(INDEX(Applications!$B$5:$B$600,MATCH(B571,Applications!$A$5:$A$600,0)),"Application ID not found"))</f>
        <v>Durham Food Bank</v>
      </c>
      <c r="D571" s="35" t="s">
        <v>88</v>
      </c>
      <c r="E571" s="35" t="s">
        <v>80</v>
      </c>
      <c r="F571" s="36" t="n">
        <v>45946</v>
      </c>
      <c r="G571" s="35" t="n">
        <v>4</v>
      </c>
      <c r="H571" s="35" t="n">
        <v>4</v>
      </c>
      <c r="I571" s="35" t="n">
        <v>3</v>
      </c>
      <c r="J571" s="35" t="n">
        <v>3</v>
      </c>
      <c r="K571" s="35" t="n">
        <v>3</v>
      </c>
      <c r="L571" s="35" t="n">
        <v>4</v>
      </c>
      <c r="M571" s="50" t="n">
        <f aca="false">IF(COUNT(G571:L571)&lt;6,"",ROUND((G571*Rubric!$D$5+H571*Rubric!$D$6+I571*Rubric!$D$7+J571*Rubric!$D$8+K571*Rubric!$D$9+L571*Rubric!$D$10)/5*100,1))</f>
        <v>71</v>
      </c>
      <c r="N571" s="37" t="str">
        <f aca="false">IF(OR(B571="",D571=""),"",IFERROR(IF(IF(E571="Primary",INDEX(Applications!$I$5:$I$600,MATCH(B571,Applications!$A$5:$A$600,0)),IF(E571="Secondary",INDEX(Applications!$J$5:$J$600,MATCH(B571,Applications!$A$5:$A$600,0)),INDEX(Applications!$K$5:$K$600,MATCH(B571,Applications!$A$5:$A$600,0))))=D571,"OK","Not assigned"),"Check ID"))</f>
        <v>OK</v>
      </c>
      <c r="O571" s="7"/>
    </row>
    <row r="572" customFormat="false" ht="15" hidden="false" customHeight="false" outlineLevel="0" collapsed="false">
      <c r="A572" s="35" t="s">
        <v>1969</v>
      </c>
      <c r="B572" s="35" t="s">
        <v>601</v>
      </c>
      <c r="C572" s="37" t="str">
        <f aca="false">IF(B572="","",IFERROR(INDEX(Applications!$B$5:$B$600,MATCH(B572,Applications!$A$5:$A$600,0)),"Application ID not found"))</f>
        <v>Leeds Food Bank</v>
      </c>
      <c r="D572" s="35" t="s">
        <v>88</v>
      </c>
      <c r="E572" s="35" t="s">
        <v>80</v>
      </c>
      <c r="F572" s="36" t="n">
        <v>45946</v>
      </c>
      <c r="G572" s="35" t="n">
        <v>3</v>
      </c>
      <c r="H572" s="35" t="n">
        <v>3</v>
      </c>
      <c r="I572" s="35" t="n">
        <v>4</v>
      </c>
      <c r="J572" s="35" t="n">
        <v>3</v>
      </c>
      <c r="K572" s="35" t="n">
        <v>4</v>
      </c>
      <c r="L572" s="35" t="n">
        <v>4</v>
      </c>
      <c r="M572" s="50" t="n">
        <f aca="false">IF(COUNT(G572:L572)&lt;6,"",ROUND((G572*Rubric!$D$5+H572*Rubric!$D$6+I572*Rubric!$D$7+J572*Rubric!$D$8+K572*Rubric!$D$9+L572*Rubric!$D$10)/5*100,1))</f>
        <v>68</v>
      </c>
      <c r="N572" s="37" t="str">
        <f aca="false">IF(OR(B572="",D572=""),"",IFERROR(IF(IF(E572="Primary",INDEX(Applications!$I$5:$I$600,MATCH(B572,Applications!$A$5:$A$600,0)),IF(E572="Secondary",INDEX(Applications!$J$5:$J$600,MATCH(B572,Applications!$A$5:$A$600,0)),INDEX(Applications!$K$5:$K$600,MATCH(B572,Applications!$A$5:$A$600,0))))=D572,"OK","Not assigned"),"Check ID"))</f>
        <v>OK</v>
      </c>
      <c r="O572" s="7"/>
    </row>
    <row r="573" customFormat="false" ht="15" hidden="false" customHeight="false" outlineLevel="0" collapsed="false">
      <c r="A573" s="35" t="s">
        <v>1970</v>
      </c>
      <c r="B573" s="35" t="s">
        <v>933</v>
      </c>
      <c r="C573" s="37" t="str">
        <f aca="false">IF(B573="","",IFERROR(INDEX(Applications!$B$5:$B$600,MATCH(B573,Applications!$A$5:$A$600,0)),"Application ID not found"))</f>
        <v>Galway Farm Collective</v>
      </c>
      <c r="D573" s="35" t="s">
        <v>88</v>
      </c>
      <c r="E573" s="35" t="s">
        <v>80</v>
      </c>
      <c r="F573" s="36" t="n">
        <v>45946</v>
      </c>
      <c r="G573" s="35" t="n">
        <v>4</v>
      </c>
      <c r="H573" s="35" t="n">
        <v>4</v>
      </c>
      <c r="I573" s="35" t="n">
        <v>4</v>
      </c>
      <c r="J573" s="35" t="n">
        <v>4</v>
      </c>
      <c r="K573" s="35" t="n">
        <v>4</v>
      </c>
      <c r="L573" s="35" t="n">
        <v>4</v>
      </c>
      <c r="M573" s="50" t="n">
        <f aca="false">IF(COUNT(G573:L573)&lt;6,"",ROUND((G573*Rubric!$D$5+H573*Rubric!$D$6+I573*Rubric!$D$7+J573*Rubric!$D$8+K573*Rubric!$D$9+L573*Rubric!$D$10)/5*100,1))</f>
        <v>80</v>
      </c>
      <c r="N573" s="37" t="str">
        <f aca="false">IF(OR(B573="",D573=""),"",IFERROR(IF(IF(E573="Primary",INDEX(Applications!$I$5:$I$600,MATCH(B573,Applications!$A$5:$A$600,0)),IF(E573="Secondary",INDEX(Applications!$J$5:$J$600,MATCH(B573,Applications!$A$5:$A$600,0)),INDEX(Applications!$K$5:$K$600,MATCH(B573,Applications!$A$5:$A$600,0))))=D573,"OK","Not assigned"),"Check ID"))</f>
        <v>OK</v>
      </c>
      <c r="O573" s="7"/>
    </row>
    <row r="574" customFormat="false" ht="15" hidden="false" customHeight="false" outlineLevel="0" collapsed="false">
      <c r="A574" s="35" t="s">
        <v>1971</v>
      </c>
      <c r="B574" s="35" t="s">
        <v>1035</v>
      </c>
      <c r="C574" s="37" t="str">
        <f aca="false">IF(B574="","",IFERROR(INDEX(Applications!$B$5:$B$600,MATCH(B574,Applications!$A$5:$A$600,0)),"Application ID not found"))</f>
        <v>Sheffield Youth Food Lab</v>
      </c>
      <c r="D574" s="35" t="s">
        <v>88</v>
      </c>
      <c r="E574" s="35" t="s">
        <v>83</v>
      </c>
      <c r="F574" s="36" t="n">
        <v>45946</v>
      </c>
      <c r="G574" s="35" t="n">
        <v>4</v>
      </c>
      <c r="H574" s="35" t="n">
        <v>4</v>
      </c>
      <c r="I574" s="35" t="n">
        <v>4</v>
      </c>
      <c r="J574" s="35" t="n">
        <v>3</v>
      </c>
      <c r="K574" s="35" t="n">
        <v>3</v>
      </c>
      <c r="L574" s="35" t="n">
        <v>4</v>
      </c>
      <c r="M574" s="50" t="n">
        <f aca="false">IF(COUNT(G574:L574)&lt;6,"",ROUND((G574*Rubric!$D$5+H574*Rubric!$D$6+I574*Rubric!$D$7+J574*Rubric!$D$8+K574*Rubric!$D$9+L574*Rubric!$D$10)/5*100,1))</f>
        <v>75</v>
      </c>
      <c r="N574" s="37" t="str">
        <f aca="false">IF(OR(B574="",D574=""),"",IFERROR(IF(IF(E574="Primary",INDEX(Applications!$I$5:$I$600,MATCH(B574,Applications!$A$5:$A$600,0)),IF(E574="Secondary",INDEX(Applications!$J$5:$J$600,MATCH(B574,Applications!$A$5:$A$600,0)),INDEX(Applications!$K$5:$K$600,MATCH(B574,Applications!$A$5:$A$600,0))))=D574,"OK","Not assigned"),"Check ID"))</f>
        <v>OK</v>
      </c>
      <c r="O574" s="7"/>
    </row>
    <row r="575" customFormat="false" ht="15" hidden="false" customHeight="false" outlineLevel="0" collapsed="false">
      <c r="A575" s="35" t="s">
        <v>1972</v>
      </c>
      <c r="B575" s="35" t="s">
        <v>817</v>
      </c>
      <c r="C575" s="37" t="str">
        <f aca="false">IF(B575="","",IFERROR(INDEX(Applications!$B$5:$B$600,MATCH(B575,Applications!$A$5:$A$600,0)),"Application ID not found"))</f>
        <v>Lima Mobile Market</v>
      </c>
      <c r="D575" s="35" t="s">
        <v>88</v>
      </c>
      <c r="E575" s="35" t="s">
        <v>83</v>
      </c>
      <c r="F575" s="36" t="n">
        <v>45946</v>
      </c>
      <c r="G575" s="35" t="n">
        <v>4</v>
      </c>
      <c r="H575" s="35" t="n">
        <v>5</v>
      </c>
      <c r="I575" s="35" t="n">
        <v>5</v>
      </c>
      <c r="J575" s="35" t="n">
        <v>4</v>
      </c>
      <c r="K575" s="35" t="n">
        <v>5</v>
      </c>
      <c r="L575" s="35" t="n">
        <v>4</v>
      </c>
      <c r="M575" s="50" t="n">
        <f aca="false">IF(COUNT(G575:L575)&lt;6,"",ROUND((G575*Rubric!$D$5+H575*Rubric!$D$6+I575*Rubric!$D$7+J575*Rubric!$D$8+K575*Rubric!$D$9+L575*Rubric!$D$10)/5*100,1))</f>
        <v>90</v>
      </c>
      <c r="N575" s="37" t="str">
        <f aca="false">IF(OR(B575="",D575=""),"",IFERROR(IF(IF(E575="Primary",INDEX(Applications!$I$5:$I$600,MATCH(B575,Applications!$A$5:$A$600,0)),IF(E575="Secondary",INDEX(Applications!$J$5:$J$600,MATCH(B575,Applications!$A$5:$A$600,0)),INDEX(Applications!$K$5:$K$600,MATCH(B575,Applications!$A$5:$A$600,0))))=D575,"OK","Not assigned"),"Check ID"))</f>
        <v>OK</v>
      </c>
      <c r="O575" s="7"/>
    </row>
    <row r="576" customFormat="false" ht="15" hidden="false" customHeight="false" outlineLevel="0" collapsed="false">
      <c r="A576" s="35" t="s">
        <v>1973</v>
      </c>
      <c r="B576" s="35" t="s">
        <v>288</v>
      </c>
      <c r="C576" s="37" t="str">
        <f aca="false">IF(B576="","",IFERROR(INDEX(Applications!$B$5:$B$600,MATCH(B576,Applications!$A$5:$A$600,0)),"Application ID not found"))</f>
        <v>Flint Mobile Market</v>
      </c>
      <c r="D576" s="35" t="s">
        <v>91</v>
      </c>
      <c r="E576" s="35" t="s">
        <v>83</v>
      </c>
      <c r="F576" s="36" t="n">
        <v>45946</v>
      </c>
      <c r="G576" s="35" t="n">
        <v>3</v>
      </c>
      <c r="H576" s="35" t="n">
        <v>4</v>
      </c>
      <c r="I576" s="35" t="n">
        <v>4</v>
      </c>
      <c r="J576" s="35" t="n">
        <v>5</v>
      </c>
      <c r="K576" s="35" t="n">
        <v>4</v>
      </c>
      <c r="L576" s="35" t="n">
        <v>4</v>
      </c>
      <c r="M576" s="50" t="n">
        <f aca="false">IF(COUNT(G576:L576)&lt;6,"",ROUND((G576*Rubric!$D$5+H576*Rubric!$D$6+I576*Rubric!$D$7+J576*Rubric!$D$8+K576*Rubric!$D$9+L576*Rubric!$D$10)/5*100,1))</f>
        <v>78</v>
      </c>
      <c r="N576" s="37" t="str">
        <f aca="false">IF(OR(B576="",D576=""),"",IFERROR(IF(IF(E576="Primary",INDEX(Applications!$I$5:$I$600,MATCH(B576,Applications!$A$5:$A$600,0)),IF(E576="Secondary",INDEX(Applications!$J$5:$J$600,MATCH(B576,Applications!$A$5:$A$600,0)),INDEX(Applications!$K$5:$K$600,MATCH(B576,Applications!$A$5:$A$600,0))))=D576,"OK","Not assigned"),"Check ID"))</f>
        <v>OK</v>
      </c>
      <c r="O576" s="7"/>
    </row>
    <row r="577" customFormat="false" ht="15" hidden="false" customHeight="false" outlineLevel="0" collapsed="false">
      <c r="A577" s="35" t="s">
        <v>1974</v>
      </c>
      <c r="B577" s="35" t="s">
        <v>1043</v>
      </c>
      <c r="C577" s="37" t="str">
        <f aca="false">IF(B577="","",IFERROR(INDEX(Applications!$B$5:$B$600,MATCH(B577,Applications!$A$5:$A$600,0)),"Application ID not found"))</f>
        <v>Yakima Seed Library</v>
      </c>
      <c r="D577" s="35" t="s">
        <v>91</v>
      </c>
      <c r="E577" s="35" t="s">
        <v>80</v>
      </c>
      <c r="F577" s="36" t="n">
        <v>45946</v>
      </c>
      <c r="G577" s="35" t="n">
        <v>5</v>
      </c>
      <c r="H577" s="35" t="n">
        <v>5</v>
      </c>
      <c r="I577" s="35" t="n">
        <v>5</v>
      </c>
      <c r="J577" s="35" t="n">
        <v>5</v>
      </c>
      <c r="K577" s="35" t="n">
        <v>5</v>
      </c>
      <c r="L577" s="35" t="n">
        <v>5</v>
      </c>
      <c r="M577" s="50" t="n">
        <f aca="false">IF(COUNT(G577:L577)&lt;6,"",ROUND((G577*Rubric!$D$5+H577*Rubric!$D$6+I577*Rubric!$D$7+J577*Rubric!$D$8+K577*Rubric!$D$9+L577*Rubric!$D$10)/5*100,1))</f>
        <v>100</v>
      </c>
      <c r="N577" s="37" t="str">
        <f aca="false">IF(OR(B577="",D577=""),"",IFERROR(IF(IF(E577="Primary",INDEX(Applications!$I$5:$I$600,MATCH(B577,Applications!$A$5:$A$600,0)),IF(E577="Secondary",INDEX(Applications!$J$5:$J$600,MATCH(B577,Applications!$A$5:$A$600,0)),INDEX(Applications!$K$5:$K$600,MATCH(B577,Applications!$A$5:$A$600,0))))=D577,"OK","Not assigned"),"Check ID"))</f>
        <v>OK</v>
      </c>
      <c r="O577" s="7"/>
    </row>
    <row r="578" customFormat="false" ht="15" hidden="false" customHeight="false" outlineLevel="0" collapsed="false">
      <c r="A578" s="35" t="s">
        <v>1975</v>
      </c>
      <c r="B578" s="35" t="s">
        <v>1261</v>
      </c>
      <c r="C578" s="37" t="str">
        <f aca="false">IF(B578="","",IFERROR(INDEX(Applications!$B$5:$B$600,MATCH(B578,Applications!$A$5:$A$600,0)),"Application ID not found"))</f>
        <v>Valley Mobile Market</v>
      </c>
      <c r="D578" s="35" t="s">
        <v>91</v>
      </c>
      <c r="E578" s="35" t="s">
        <v>83</v>
      </c>
      <c r="F578" s="36" t="n">
        <v>45946</v>
      </c>
      <c r="G578" s="35" t="n">
        <v>4</v>
      </c>
      <c r="H578" s="35" t="n">
        <v>4</v>
      </c>
      <c r="I578" s="35" t="n">
        <v>4</v>
      </c>
      <c r="J578" s="35" t="n">
        <v>4</v>
      </c>
      <c r="K578" s="35" t="n">
        <v>4</v>
      </c>
      <c r="L578" s="35" t="n">
        <v>4</v>
      </c>
      <c r="M578" s="50" t="n">
        <f aca="false">IF(COUNT(G578:L578)&lt;6,"",ROUND((G578*Rubric!$D$5+H578*Rubric!$D$6+I578*Rubric!$D$7+J578*Rubric!$D$8+K578*Rubric!$D$9+L578*Rubric!$D$10)/5*100,1))</f>
        <v>80</v>
      </c>
      <c r="N578" s="37" t="str">
        <f aca="false">IF(OR(B578="",D578=""),"",IFERROR(IF(IF(E578="Primary",INDEX(Applications!$I$5:$I$600,MATCH(B578,Applications!$A$5:$A$600,0)),IF(E578="Secondary",INDEX(Applications!$J$5:$J$600,MATCH(B578,Applications!$A$5:$A$600,0)),INDEX(Applications!$K$5:$K$600,MATCH(B578,Applications!$A$5:$A$600,0))))=D578,"OK","Not assigned"),"Check ID"))</f>
        <v>OK</v>
      </c>
      <c r="O578" s="7"/>
    </row>
    <row r="579" customFormat="false" ht="15" hidden="false" customHeight="false" outlineLevel="0" collapsed="false">
      <c r="A579" s="35" t="s">
        <v>1976</v>
      </c>
      <c r="B579" s="35" t="s">
        <v>319</v>
      </c>
      <c r="C579" s="37" t="str">
        <f aca="false">IF(B579="","",IFERROR(INDEX(Applications!$B$5:$B$600,MATCH(B579,Applications!$A$5:$A$600,0)),"Application ID not found"))</f>
        <v>Lakeshore Bakery Collective</v>
      </c>
      <c r="D579" s="35" t="s">
        <v>91</v>
      </c>
      <c r="E579" s="35" t="s">
        <v>83</v>
      </c>
      <c r="F579" s="36" t="n">
        <v>45946</v>
      </c>
      <c r="G579" s="35" t="n">
        <v>3</v>
      </c>
      <c r="H579" s="35" t="n">
        <v>3</v>
      </c>
      <c r="I579" s="35" t="n">
        <v>3</v>
      </c>
      <c r="J579" s="35" t="n">
        <v>2</v>
      </c>
      <c r="K579" s="35" t="n">
        <v>3</v>
      </c>
      <c r="L579" s="35" t="n">
        <v>3</v>
      </c>
      <c r="M579" s="50" t="n">
        <f aca="false">IF(COUNT(G579:L579)&lt;6,"",ROUND((G579*Rubric!$D$5+H579*Rubric!$D$6+I579*Rubric!$D$7+J579*Rubric!$D$8+K579*Rubric!$D$9+L579*Rubric!$D$10)/5*100,1))</f>
        <v>57</v>
      </c>
      <c r="N579" s="37" t="str">
        <f aca="false">IF(OR(B579="",D579=""),"",IFERROR(IF(IF(E579="Primary",INDEX(Applications!$I$5:$I$600,MATCH(B579,Applications!$A$5:$A$600,0)),IF(E579="Secondary",INDEX(Applications!$J$5:$J$600,MATCH(B579,Applications!$A$5:$A$600,0)),INDEX(Applications!$K$5:$K$600,MATCH(B579,Applications!$A$5:$A$600,0))))=D579,"OK","Not assigned"),"Check ID"))</f>
        <v>OK</v>
      </c>
      <c r="O579" s="7"/>
    </row>
    <row r="580" customFormat="false" ht="15" hidden="false" customHeight="false" outlineLevel="0" collapsed="false">
      <c r="A580" s="35" t="s">
        <v>1977</v>
      </c>
      <c r="B580" s="35" t="s">
        <v>416</v>
      </c>
      <c r="C580" s="37" t="str">
        <f aca="false">IF(B580="","",IFERROR(INDEX(Applications!$B$5:$B$600,MATCH(B580,Applications!$A$5:$A$600,0)),"Application ID not found"))</f>
        <v>Jaipur Food Shelf</v>
      </c>
      <c r="D580" s="35" t="s">
        <v>91</v>
      </c>
      <c r="E580" s="35" t="s">
        <v>80</v>
      </c>
      <c r="F580" s="36" t="n">
        <v>45946</v>
      </c>
      <c r="G580" s="35" t="n">
        <v>4</v>
      </c>
      <c r="H580" s="35" t="n">
        <v>3</v>
      </c>
      <c r="I580" s="35" t="n">
        <v>3</v>
      </c>
      <c r="J580" s="35" t="n">
        <v>3</v>
      </c>
      <c r="K580" s="35" t="n">
        <v>4</v>
      </c>
      <c r="L580" s="35" t="n">
        <v>3</v>
      </c>
      <c r="M580" s="50" t="n">
        <f aca="false">IF(COUNT(G580:L580)&lt;6,"",ROUND((G580*Rubric!$D$5+H580*Rubric!$D$6+I580*Rubric!$D$7+J580*Rubric!$D$8+K580*Rubric!$D$9+L580*Rubric!$D$10)/5*100,1))</f>
        <v>67</v>
      </c>
      <c r="N580" s="37" t="str">
        <f aca="false">IF(OR(B580="",D580=""),"",IFERROR(IF(IF(E580="Primary",INDEX(Applications!$I$5:$I$600,MATCH(B580,Applications!$A$5:$A$600,0)),IF(E580="Secondary",INDEX(Applications!$J$5:$J$600,MATCH(B580,Applications!$A$5:$A$600,0)),INDEX(Applications!$K$5:$K$600,MATCH(B580,Applications!$A$5:$A$600,0))))=D580,"OK","Not assigned"),"Check ID"))</f>
        <v>OK</v>
      </c>
      <c r="O580" s="7" t="s">
        <v>1398</v>
      </c>
    </row>
    <row r="581" customFormat="false" ht="15" hidden="false" customHeight="false" outlineLevel="0" collapsed="false">
      <c r="A581" s="35" t="s">
        <v>1978</v>
      </c>
      <c r="B581" s="35" t="s">
        <v>605</v>
      </c>
      <c r="C581" s="37" t="str">
        <f aca="false">IF(B581="","",IFERROR(INDEX(Applications!$B$5:$B$600,MATCH(B581,Applications!$A$5:$A$600,0)),"Application ID not found"))</f>
        <v>Sunrise Community Kitchen</v>
      </c>
      <c r="D581" s="35" t="s">
        <v>91</v>
      </c>
      <c r="E581" s="35" t="s">
        <v>80</v>
      </c>
      <c r="F581" s="36" t="n">
        <v>45946</v>
      </c>
      <c r="G581" s="35" t="n">
        <v>4</v>
      </c>
      <c r="H581" s="35" t="n">
        <v>4</v>
      </c>
      <c r="I581" s="35" t="n">
        <v>3</v>
      </c>
      <c r="J581" s="35" t="n">
        <v>4</v>
      </c>
      <c r="K581" s="35" t="n">
        <v>4</v>
      </c>
      <c r="L581" s="35" t="n">
        <v>4</v>
      </c>
      <c r="M581" s="50" t="n">
        <f aca="false">IF(COUNT(G581:L581)&lt;6,"",ROUND((G581*Rubric!$D$5+H581*Rubric!$D$6+I581*Rubric!$D$7+J581*Rubric!$D$8+K581*Rubric!$D$9+L581*Rubric!$D$10)/5*100,1))</f>
        <v>76</v>
      </c>
      <c r="N581" s="37" t="str">
        <f aca="false">IF(OR(B581="",D581=""),"",IFERROR(IF(IF(E581="Primary",INDEX(Applications!$I$5:$I$600,MATCH(B581,Applications!$A$5:$A$600,0)),IF(E581="Secondary",INDEX(Applications!$J$5:$J$600,MATCH(B581,Applications!$A$5:$A$600,0)),INDEX(Applications!$K$5:$K$600,MATCH(B581,Applications!$A$5:$A$600,0))))=D581,"OK","Not assigned"),"Check ID"))</f>
        <v>OK</v>
      </c>
      <c r="O581" s="7"/>
    </row>
    <row r="582" customFormat="false" ht="15" hidden="false" customHeight="false" outlineLevel="0" collapsed="false">
      <c r="A582" s="35" t="s">
        <v>1979</v>
      </c>
      <c r="B582" s="35" t="s">
        <v>392</v>
      </c>
      <c r="C582" s="37" t="str">
        <f aca="false">IF(B582="","",IFERROR(INDEX(Applications!$B$5:$B$600,MATCH(B582,Applications!$A$5:$A$600,0)),"Application ID not found"))</f>
        <v>Halifax Seed Library</v>
      </c>
      <c r="D582" s="35" t="s">
        <v>91</v>
      </c>
      <c r="E582" s="35" t="s">
        <v>80</v>
      </c>
      <c r="F582" s="36" t="n">
        <v>45946</v>
      </c>
      <c r="G582" s="35" t="n">
        <v>4</v>
      </c>
      <c r="H582" s="35" t="n">
        <v>4</v>
      </c>
      <c r="I582" s="35" t="n">
        <v>3</v>
      </c>
      <c r="J582" s="35" t="n">
        <v>3</v>
      </c>
      <c r="K582" s="35" t="n">
        <v>3</v>
      </c>
      <c r="L582" s="35" t="n">
        <v>3</v>
      </c>
      <c r="M582" s="50" t="n">
        <f aca="false">IF(COUNT(G582:L582)&lt;6,"",ROUND((G582*Rubric!$D$5+H582*Rubric!$D$6+I582*Rubric!$D$7+J582*Rubric!$D$8+K582*Rubric!$D$9+L582*Rubric!$D$10)/5*100,1))</f>
        <v>69</v>
      </c>
      <c r="N582" s="37" t="str">
        <f aca="false">IF(OR(B582="",D582=""),"",IFERROR(IF(IF(E582="Primary",INDEX(Applications!$I$5:$I$600,MATCH(B582,Applications!$A$5:$A$600,0)),IF(E582="Secondary",INDEX(Applications!$J$5:$J$600,MATCH(B582,Applications!$A$5:$A$600,0)),INDEX(Applications!$K$5:$K$600,MATCH(B582,Applications!$A$5:$A$600,0))))=D582,"OK","Not assigned"),"Check ID"))</f>
        <v>OK</v>
      </c>
      <c r="O582" s="7"/>
    </row>
    <row r="583" customFormat="false" ht="15" hidden="false" customHeight="false" outlineLevel="0" collapsed="false">
      <c r="A583" s="35" t="s">
        <v>1980</v>
      </c>
      <c r="B583" s="35" t="s">
        <v>581</v>
      </c>
      <c r="C583" s="37" t="str">
        <f aca="false">IF(B583="","",IFERROR(INDEX(Applications!$B$5:$B$600,MATCH(B583,Applications!$A$5:$A$600,0)),"Application ID not found"))</f>
        <v>Cedar Food Bank</v>
      </c>
      <c r="D583" s="35" t="s">
        <v>91</v>
      </c>
      <c r="E583" s="35" t="s">
        <v>83</v>
      </c>
      <c r="F583" s="36" t="n">
        <v>45946</v>
      </c>
      <c r="G583" s="35" t="n">
        <v>4</v>
      </c>
      <c r="H583" s="35" t="n">
        <v>5</v>
      </c>
      <c r="I583" s="35" t="n">
        <v>4</v>
      </c>
      <c r="J583" s="35" t="n">
        <v>3</v>
      </c>
      <c r="K583" s="35" t="n">
        <v>4</v>
      </c>
      <c r="L583" s="35" t="n">
        <v>4</v>
      </c>
      <c r="M583" s="50" t="n">
        <f aca="false">IF(COUNT(G583:L583)&lt;6,"",ROUND((G583*Rubric!$D$5+H583*Rubric!$D$6+I583*Rubric!$D$7+J583*Rubric!$D$8+K583*Rubric!$D$9+L583*Rubric!$D$10)/5*100,1))</f>
        <v>81</v>
      </c>
      <c r="N583" s="37" t="str">
        <f aca="false">IF(OR(B583="",D583=""),"",IFERROR(IF(IF(E583="Primary",INDEX(Applications!$I$5:$I$600,MATCH(B583,Applications!$A$5:$A$600,0)),IF(E583="Secondary",INDEX(Applications!$J$5:$J$600,MATCH(B583,Applications!$A$5:$A$600,0)),INDEX(Applications!$K$5:$K$600,MATCH(B583,Applications!$A$5:$A$600,0))))=D583,"OK","Not assigned"),"Check ID"))</f>
        <v>OK</v>
      </c>
      <c r="O583" s="7" t="s">
        <v>1493</v>
      </c>
    </row>
    <row r="584" customFormat="false" ht="15" hidden="false" customHeight="false" outlineLevel="0" collapsed="false">
      <c r="A584" s="35" t="s">
        <v>1981</v>
      </c>
      <c r="B584" s="35" t="s">
        <v>1019</v>
      </c>
      <c r="C584" s="37" t="str">
        <f aca="false">IF(B584="","",IFERROR(INDEX(Applications!$B$5:$B$600,MATCH(B584,Applications!$A$5:$A$600,0)),"Application ID not found"))</f>
        <v>Fairmount Pantry Network</v>
      </c>
      <c r="D584" s="35" t="s">
        <v>91</v>
      </c>
      <c r="E584" s="35" t="s">
        <v>83</v>
      </c>
      <c r="F584" s="36" t="n">
        <v>45946</v>
      </c>
      <c r="G584" s="35" t="n">
        <v>5</v>
      </c>
      <c r="H584" s="35" t="n">
        <v>4</v>
      </c>
      <c r="I584" s="35" t="n">
        <v>4</v>
      </c>
      <c r="J584" s="35" t="n">
        <v>4</v>
      </c>
      <c r="K584" s="35" t="n">
        <v>4</v>
      </c>
      <c r="L584" s="35" t="n">
        <v>4</v>
      </c>
      <c r="M584" s="50" t="n">
        <f aca="false">IF(COUNT(G584:L584)&lt;6,"",ROUND((G584*Rubric!$D$5+H584*Rubric!$D$6+I584*Rubric!$D$7+J584*Rubric!$D$8+K584*Rubric!$D$9+L584*Rubric!$D$10)/5*100,1))</f>
        <v>85</v>
      </c>
      <c r="N584" s="37" t="str">
        <f aca="false">IF(OR(B584="",D584=""),"",IFERROR(IF(IF(E584="Primary",INDEX(Applications!$I$5:$I$600,MATCH(B584,Applications!$A$5:$A$600,0)),IF(E584="Secondary",INDEX(Applications!$J$5:$J$600,MATCH(B584,Applications!$A$5:$A$600,0)),INDEX(Applications!$K$5:$K$600,MATCH(B584,Applications!$A$5:$A$600,0))))=D584,"OK","Not assigned"),"Check ID"))</f>
        <v>OK</v>
      </c>
      <c r="O584" s="7"/>
    </row>
    <row r="585" customFormat="false" ht="15" hidden="false" customHeight="false" outlineLevel="0" collapsed="false">
      <c r="A585" s="35" t="s">
        <v>1982</v>
      </c>
      <c r="B585" s="35" t="s">
        <v>827</v>
      </c>
      <c r="C585" s="37" t="str">
        <f aca="false">IF(B585="","",IFERROR(INDEX(Applications!$B$5:$B$600,MATCH(B585,Applications!$A$5:$A$600,0)),"Application ID not found"))</f>
        <v>Halifax Market Gardens</v>
      </c>
      <c r="D585" s="35" t="s">
        <v>91</v>
      </c>
      <c r="E585" s="35" t="s">
        <v>83</v>
      </c>
      <c r="F585" s="36" t="n">
        <v>45946</v>
      </c>
      <c r="G585" s="35" t="n">
        <v>3</v>
      </c>
      <c r="H585" s="35" t="n">
        <v>3</v>
      </c>
      <c r="I585" s="35" t="n">
        <v>3</v>
      </c>
      <c r="J585" s="35" t="n">
        <v>4</v>
      </c>
      <c r="K585" s="35" t="n">
        <v>3</v>
      </c>
      <c r="L585" s="35" t="n">
        <v>4</v>
      </c>
      <c r="M585" s="50" t="n">
        <f aca="false">IF(COUNT(G585:L585)&lt;6,"",ROUND((G585*Rubric!$D$5+H585*Rubric!$D$6+I585*Rubric!$D$7+J585*Rubric!$D$8+K585*Rubric!$D$9+L585*Rubric!$D$10)/5*100,1))</f>
        <v>65</v>
      </c>
      <c r="N585" s="37" t="str">
        <f aca="false">IF(OR(B585="",D585=""),"",IFERROR(IF(IF(E585="Primary",INDEX(Applications!$I$5:$I$600,MATCH(B585,Applications!$A$5:$A$600,0)),IF(E585="Secondary",INDEX(Applications!$J$5:$J$600,MATCH(B585,Applications!$A$5:$A$600,0)),INDEX(Applications!$K$5:$K$600,MATCH(B585,Applications!$A$5:$A$600,0))))=D585,"OK","Not assigned"),"Check ID"))</f>
        <v>OK</v>
      </c>
      <c r="O585" s="7"/>
    </row>
    <row r="586" customFormat="false" ht="15" hidden="false" customHeight="false" outlineLevel="0" collapsed="false">
      <c r="A586" s="35" t="s">
        <v>1983</v>
      </c>
      <c r="B586" s="35" t="s">
        <v>1161</v>
      </c>
      <c r="C586" s="37" t="str">
        <f aca="false">IF(B586="","",IFERROR(INDEX(Applications!$B$5:$B$600,MATCH(B586,Applications!$A$5:$A$600,0)),"Application ID not found"))</f>
        <v>Valley Food Ventures</v>
      </c>
      <c r="D586" s="35" t="s">
        <v>91</v>
      </c>
      <c r="E586" s="35" t="s">
        <v>83</v>
      </c>
      <c r="F586" s="36" t="n">
        <v>45946</v>
      </c>
      <c r="G586" s="35" t="n">
        <v>2</v>
      </c>
      <c r="H586" s="35" t="n">
        <v>3</v>
      </c>
      <c r="I586" s="35" t="n">
        <v>4</v>
      </c>
      <c r="J586" s="35" t="n">
        <v>3</v>
      </c>
      <c r="K586" s="35" t="n">
        <v>4</v>
      </c>
      <c r="L586" s="35" t="n">
        <v>2</v>
      </c>
      <c r="M586" s="50" t="n">
        <f aca="false">IF(COUNT(G586:L586)&lt;6,"",ROUND((G586*Rubric!$D$5+H586*Rubric!$D$6+I586*Rubric!$D$7+J586*Rubric!$D$8+K586*Rubric!$D$9+L586*Rubric!$D$10)/5*100,1))</f>
        <v>59</v>
      </c>
      <c r="N586" s="37" t="str">
        <f aca="false">IF(OR(B586="",D586=""),"",IFERROR(IF(IF(E586="Primary",INDEX(Applications!$I$5:$I$600,MATCH(B586,Applications!$A$5:$A$600,0)),IF(E586="Secondary",INDEX(Applications!$J$5:$J$600,MATCH(B586,Applications!$A$5:$A$600,0)),INDEX(Applications!$K$5:$K$600,MATCH(B586,Applications!$A$5:$A$600,0))))=D586,"OK","Not assigned"),"Check ID"))</f>
        <v>OK</v>
      </c>
      <c r="O586" s="7"/>
    </row>
    <row r="587" customFormat="false" ht="15" hidden="false" customHeight="false" outlineLevel="0" collapsed="false">
      <c r="A587" s="35" t="s">
        <v>1984</v>
      </c>
      <c r="B587" s="35" t="s">
        <v>1015</v>
      </c>
      <c r="C587" s="37" t="str">
        <f aca="false">IF(B587="","",IFERROR(INDEX(Applications!$B$5:$B$600,MATCH(B587,Applications!$A$5:$A$600,0)),"Application ID not found"))</f>
        <v>Mill Creek Growers Cooperative</v>
      </c>
      <c r="D587" s="35" t="s">
        <v>91</v>
      </c>
      <c r="E587" s="35" t="s">
        <v>83</v>
      </c>
      <c r="F587" s="36" t="n">
        <v>45946</v>
      </c>
      <c r="G587" s="35" t="n">
        <v>3</v>
      </c>
      <c r="H587" s="35" t="n">
        <v>3</v>
      </c>
      <c r="I587" s="35" t="n">
        <v>3</v>
      </c>
      <c r="J587" s="35" t="n">
        <v>3</v>
      </c>
      <c r="K587" s="35" t="n">
        <v>3</v>
      </c>
      <c r="L587" s="35" t="n">
        <v>3</v>
      </c>
      <c r="M587" s="50" t="n">
        <f aca="false">IF(COUNT(G587:L587)&lt;6,"",ROUND((G587*Rubric!$D$5+H587*Rubric!$D$6+I587*Rubric!$D$7+J587*Rubric!$D$8+K587*Rubric!$D$9+L587*Rubric!$D$10)/5*100,1))</f>
        <v>60</v>
      </c>
      <c r="N587" s="37" t="str">
        <f aca="false">IF(OR(B587="",D587=""),"",IFERROR(IF(IF(E587="Primary",INDEX(Applications!$I$5:$I$600,MATCH(B587,Applications!$A$5:$A$600,0)),IF(E587="Secondary",INDEX(Applications!$J$5:$J$600,MATCH(B587,Applications!$A$5:$A$600,0)),INDEX(Applications!$K$5:$K$600,MATCH(B587,Applications!$A$5:$A$600,0))))=D587,"OK","Not assigned"),"Check ID"))</f>
        <v>OK</v>
      </c>
      <c r="O587" s="7"/>
    </row>
    <row r="588" customFormat="false" ht="15" hidden="false" customHeight="false" outlineLevel="0" collapsed="false">
      <c r="A588" s="35" t="s">
        <v>1985</v>
      </c>
      <c r="B588" s="35" t="s">
        <v>1153</v>
      </c>
      <c r="C588" s="37" t="str">
        <f aca="false">IF(B588="","",IFERROR(INDEX(Applications!$B$5:$B$600,MATCH(B588,Applications!$A$5:$A$600,0)),"Application ID not found"))</f>
        <v>Leeds Kitchen Project</v>
      </c>
      <c r="D588" s="35" t="s">
        <v>94</v>
      </c>
      <c r="E588" s="35" t="s">
        <v>83</v>
      </c>
      <c r="F588" s="36" t="n">
        <v>45946</v>
      </c>
      <c r="G588" s="35" t="n">
        <v>4</v>
      </c>
      <c r="H588" s="35" t="n">
        <v>3</v>
      </c>
      <c r="I588" s="35" t="n">
        <v>3</v>
      </c>
      <c r="J588" s="35" t="n">
        <v>4</v>
      </c>
      <c r="K588" s="35" t="n">
        <v>4</v>
      </c>
      <c r="L588" s="35" t="n">
        <v>3</v>
      </c>
      <c r="M588" s="50" t="n">
        <f aca="false">IF(COUNT(G588:L588)&lt;6,"",ROUND((G588*Rubric!$D$5+H588*Rubric!$D$6+I588*Rubric!$D$7+J588*Rubric!$D$8+K588*Rubric!$D$9+L588*Rubric!$D$10)/5*100,1))</f>
        <v>70</v>
      </c>
      <c r="N588" s="37" t="str">
        <f aca="false">IF(OR(B588="",D588=""),"",IFERROR(IF(IF(E588="Primary",INDEX(Applications!$I$5:$I$600,MATCH(B588,Applications!$A$5:$A$600,0)),IF(E588="Secondary",INDEX(Applications!$J$5:$J$600,MATCH(B588,Applications!$A$5:$A$600,0)),INDEX(Applications!$K$5:$K$600,MATCH(B588,Applications!$A$5:$A$600,0))))=D588,"OK","Not assigned"),"Check ID"))</f>
        <v>OK</v>
      </c>
      <c r="O588" s="7"/>
    </row>
    <row r="589" customFormat="false" ht="15" hidden="false" customHeight="false" outlineLevel="0" collapsed="false">
      <c r="A589" s="35" t="s">
        <v>1986</v>
      </c>
      <c r="B589" s="35" t="s">
        <v>961</v>
      </c>
      <c r="C589" s="37" t="str">
        <f aca="false">IF(B589="","",IFERROR(INDEX(Applications!$B$5:$B$600,MATCH(B589,Applications!$A$5:$A$600,0)),"Application ID not found"))</f>
        <v>Utrecht Community Kitchen</v>
      </c>
      <c r="D589" s="35" t="s">
        <v>94</v>
      </c>
      <c r="E589" s="35" t="s">
        <v>83</v>
      </c>
      <c r="F589" s="36" t="n">
        <v>45946</v>
      </c>
      <c r="G589" s="35" t="n">
        <v>3</v>
      </c>
      <c r="H589" s="35" t="n">
        <v>3</v>
      </c>
      <c r="I589" s="35" t="n">
        <v>3</v>
      </c>
      <c r="J589" s="35" t="n">
        <v>3</v>
      </c>
      <c r="K589" s="35" t="n">
        <v>3</v>
      </c>
      <c r="L589" s="35" t="n">
        <v>3</v>
      </c>
      <c r="M589" s="50" t="n">
        <f aca="false">IF(COUNT(G589:L589)&lt;6,"",ROUND((G589*Rubric!$D$5+H589*Rubric!$D$6+I589*Rubric!$D$7+J589*Rubric!$D$8+K589*Rubric!$D$9+L589*Rubric!$D$10)/5*100,1))</f>
        <v>60</v>
      </c>
      <c r="N589" s="37" t="str">
        <f aca="false">IF(OR(B589="",D589=""),"",IFERROR(IF(IF(E589="Primary",INDEX(Applications!$I$5:$I$600,MATCH(B589,Applications!$A$5:$A$600,0)),IF(E589="Secondary",INDEX(Applications!$J$5:$J$600,MATCH(B589,Applications!$A$5:$A$600,0)),INDEX(Applications!$K$5:$K$600,MATCH(B589,Applications!$A$5:$A$600,0))))=D589,"OK","Not assigned"),"Check ID"))</f>
        <v>OK</v>
      </c>
      <c r="O589" s="7"/>
    </row>
    <row r="590" customFormat="false" ht="15" hidden="false" customHeight="false" outlineLevel="0" collapsed="false">
      <c r="A590" s="35" t="s">
        <v>1987</v>
      </c>
      <c r="B590" s="35" t="s">
        <v>1055</v>
      </c>
      <c r="C590" s="37" t="str">
        <f aca="false">IF(B590="","",IFERROR(INDEX(Applications!$B$5:$B$600,MATCH(B590,Applications!$A$5:$A$600,0)),"Application ID not found"))</f>
        <v>Fresno Food Bank</v>
      </c>
      <c r="D590" s="35" t="s">
        <v>94</v>
      </c>
      <c r="E590" s="35" t="s">
        <v>83</v>
      </c>
      <c r="F590" s="36" t="n">
        <v>45946</v>
      </c>
      <c r="G590" s="35" t="n">
        <v>4</v>
      </c>
      <c r="H590" s="35" t="n">
        <v>4</v>
      </c>
      <c r="I590" s="35" t="n">
        <v>3</v>
      </c>
      <c r="J590" s="35" t="n">
        <v>4</v>
      </c>
      <c r="K590" s="35" t="n">
        <v>3</v>
      </c>
      <c r="L590" s="35" t="n">
        <v>4</v>
      </c>
      <c r="M590" s="50" t="n">
        <f aca="false">IF(COUNT(G590:L590)&lt;6,"",ROUND((G590*Rubric!$D$5+H590*Rubric!$D$6+I590*Rubric!$D$7+J590*Rubric!$D$8+K590*Rubric!$D$9+L590*Rubric!$D$10)/5*100,1))</f>
        <v>74</v>
      </c>
      <c r="N590" s="37" t="str">
        <f aca="false">IF(OR(B590="",D590=""),"",IFERROR(IF(IF(E590="Primary",INDEX(Applications!$I$5:$I$600,MATCH(B590,Applications!$A$5:$A$600,0)),IF(E590="Secondary",INDEX(Applications!$J$5:$J$600,MATCH(B590,Applications!$A$5:$A$600,0)),INDEX(Applications!$K$5:$K$600,MATCH(B590,Applications!$A$5:$A$600,0))))=D590,"OK","Not assigned"),"Check ID"))</f>
        <v>OK</v>
      </c>
      <c r="O590" s="7"/>
    </row>
    <row r="591" customFormat="false" ht="15" hidden="false" customHeight="false" outlineLevel="0" collapsed="false">
      <c r="A591" s="35" t="s">
        <v>1988</v>
      </c>
      <c r="B591" s="35" t="s">
        <v>821</v>
      </c>
      <c r="C591" s="37" t="str">
        <f aca="false">IF(B591="","",IFERROR(INDEX(Applications!$B$5:$B$600,MATCH(B591,Applications!$A$5:$A$600,0)),"Application ID not found"))</f>
        <v>Union Square Cafe Training Program</v>
      </c>
      <c r="D591" s="35" t="s">
        <v>94</v>
      </c>
      <c r="E591" s="35" t="s">
        <v>80</v>
      </c>
      <c r="F591" s="36" t="n">
        <v>45946</v>
      </c>
      <c r="G591" s="35" t="n">
        <v>4</v>
      </c>
      <c r="H591" s="35" t="n">
        <v>3</v>
      </c>
      <c r="I591" s="35" t="n">
        <v>3</v>
      </c>
      <c r="J591" s="35" t="n">
        <v>3</v>
      </c>
      <c r="K591" s="35" t="n">
        <v>4</v>
      </c>
      <c r="L591" s="35" t="n">
        <v>4</v>
      </c>
      <c r="M591" s="50" t="n">
        <f aca="false">IF(COUNT(G591:L591)&lt;6,"",ROUND((G591*Rubric!$D$5+H591*Rubric!$D$6+I591*Rubric!$D$7+J591*Rubric!$D$8+K591*Rubric!$D$9+L591*Rubric!$D$10)/5*100,1))</f>
        <v>69</v>
      </c>
      <c r="N591" s="37" t="str">
        <f aca="false">IF(OR(B591="",D591=""),"",IFERROR(IF(IF(E591="Primary",INDEX(Applications!$I$5:$I$600,MATCH(B591,Applications!$A$5:$A$600,0)),IF(E591="Secondary",INDEX(Applications!$J$5:$J$600,MATCH(B591,Applications!$A$5:$A$600,0)),INDEX(Applications!$K$5:$K$600,MATCH(B591,Applications!$A$5:$A$600,0))))=D591,"OK","Not assigned"),"Check ID"))</f>
        <v>OK</v>
      </c>
      <c r="O591" s="7"/>
    </row>
    <row r="592" customFormat="false" ht="15" hidden="false" customHeight="false" outlineLevel="0" collapsed="false">
      <c r="A592" s="35" t="s">
        <v>1989</v>
      </c>
      <c r="B592" s="35" t="s">
        <v>1329</v>
      </c>
      <c r="C592" s="37" t="str">
        <f aca="false">IF(B592="","",IFERROR(INDEX(Applications!$B$5:$B$600,MATCH(B592,Applications!$A$5:$A$600,0)),"Application ID not found"))</f>
        <v>Brisbane Mobile Market</v>
      </c>
      <c r="D592" s="35" t="s">
        <v>94</v>
      </c>
      <c r="E592" s="35" t="s">
        <v>83</v>
      </c>
      <c r="F592" s="36" t="n">
        <v>45946</v>
      </c>
      <c r="G592" s="35" t="n">
        <v>3</v>
      </c>
      <c r="H592" s="35" t="n">
        <v>4</v>
      </c>
      <c r="I592" s="35" t="n">
        <v>3</v>
      </c>
      <c r="J592" s="35" t="n">
        <v>3</v>
      </c>
      <c r="K592" s="35" t="n">
        <v>3</v>
      </c>
      <c r="L592" s="35" t="n">
        <v>4</v>
      </c>
      <c r="M592" s="50" t="n">
        <f aca="false">IF(COUNT(G592:L592)&lt;6,"",ROUND((G592*Rubric!$D$5+H592*Rubric!$D$6+I592*Rubric!$D$7+J592*Rubric!$D$8+K592*Rubric!$D$9+L592*Rubric!$D$10)/5*100,1))</f>
        <v>66</v>
      </c>
      <c r="N592" s="37" t="str">
        <f aca="false">IF(OR(B592="",D592=""),"",IFERROR(IF(IF(E592="Primary",INDEX(Applications!$I$5:$I$600,MATCH(B592,Applications!$A$5:$A$600,0)),IF(E592="Secondary",INDEX(Applications!$J$5:$J$600,MATCH(B592,Applications!$A$5:$A$600,0)),INDEX(Applications!$K$5:$K$600,MATCH(B592,Applications!$A$5:$A$600,0))))=D592,"OK","Not assigned"),"Check ID"))</f>
        <v>OK</v>
      </c>
      <c r="O592" s="7"/>
    </row>
    <row r="593" customFormat="false" ht="15" hidden="false" customHeight="false" outlineLevel="0" collapsed="false">
      <c r="A593" s="35" t="s">
        <v>1990</v>
      </c>
      <c r="B593" s="35" t="s">
        <v>290</v>
      </c>
      <c r="C593" s="37" t="str">
        <f aca="false">IF(B593="","",IFERROR(INDEX(Applications!$B$5:$B$600,MATCH(B593,Applications!$A$5:$A$600,0)),"Application ID not found"))</f>
        <v>Dublin Family Center</v>
      </c>
      <c r="D593" s="35" t="s">
        <v>94</v>
      </c>
      <c r="E593" s="35" t="s">
        <v>80</v>
      </c>
      <c r="F593" s="36" t="n">
        <v>45946</v>
      </c>
      <c r="G593" s="35" t="n">
        <v>4</v>
      </c>
      <c r="H593" s="35" t="n">
        <v>3</v>
      </c>
      <c r="I593" s="35" t="n">
        <v>4</v>
      </c>
      <c r="J593" s="35" t="n">
        <v>3</v>
      </c>
      <c r="K593" s="35" t="n">
        <v>4</v>
      </c>
      <c r="L593" s="35" t="n">
        <v>3</v>
      </c>
      <c r="M593" s="50" t="n">
        <f aca="false">IF(COUNT(G593:L593)&lt;6,"",ROUND((G593*Rubric!$D$5+H593*Rubric!$D$6+I593*Rubric!$D$7+J593*Rubric!$D$8+K593*Rubric!$D$9+L593*Rubric!$D$10)/5*100,1))</f>
        <v>71</v>
      </c>
      <c r="N593" s="37" t="str">
        <f aca="false">IF(OR(B593="",D593=""),"",IFERROR(IF(IF(E593="Primary",INDEX(Applications!$I$5:$I$600,MATCH(B593,Applications!$A$5:$A$600,0)),IF(E593="Secondary",INDEX(Applications!$J$5:$J$600,MATCH(B593,Applications!$A$5:$A$600,0)),INDEX(Applications!$K$5:$K$600,MATCH(B593,Applications!$A$5:$A$600,0))))=D593,"OK","Not assigned"),"Check ID"))</f>
        <v>OK</v>
      </c>
      <c r="O593" s="7"/>
    </row>
    <row r="594" customFormat="false" ht="15" hidden="false" customHeight="false" outlineLevel="0" collapsed="false">
      <c r="A594" s="35" t="s">
        <v>1991</v>
      </c>
      <c r="B594" s="35" t="s">
        <v>237</v>
      </c>
      <c r="C594" s="37" t="str">
        <f aca="false">IF(B594="","",IFERROR(INDEX(Applications!$B$5:$B$600,MATCH(B594,Applications!$A$5:$A$600,0)),"Application ID not found"))</f>
        <v>Parkside Family Center</v>
      </c>
      <c r="D594" s="35" t="s">
        <v>94</v>
      </c>
      <c r="E594" s="35" t="s">
        <v>83</v>
      </c>
      <c r="F594" s="36" t="n">
        <v>45946</v>
      </c>
      <c r="G594" s="35" t="n">
        <v>3</v>
      </c>
      <c r="H594" s="35" t="n">
        <v>3</v>
      </c>
      <c r="I594" s="35" t="n">
        <v>4</v>
      </c>
      <c r="J594" s="35" t="n">
        <v>3</v>
      </c>
      <c r="K594" s="35" t="n">
        <v>3</v>
      </c>
      <c r="L594" s="35" t="n">
        <v>3</v>
      </c>
      <c r="M594" s="50" t="n">
        <f aca="false">IF(COUNT(G594:L594)&lt;6,"",ROUND((G594*Rubric!$D$5+H594*Rubric!$D$6+I594*Rubric!$D$7+J594*Rubric!$D$8+K594*Rubric!$D$9+L594*Rubric!$D$10)/5*100,1))</f>
        <v>64</v>
      </c>
      <c r="N594" s="37" t="str">
        <f aca="false">IF(OR(B594="",D594=""),"",IFERROR(IF(IF(E594="Primary",INDEX(Applications!$I$5:$I$600,MATCH(B594,Applications!$A$5:$A$600,0)),IF(E594="Secondary",INDEX(Applications!$J$5:$J$600,MATCH(B594,Applications!$A$5:$A$600,0)),INDEX(Applications!$K$5:$K$600,MATCH(B594,Applications!$A$5:$A$600,0))))=D594,"OK","Not assigned"),"Check ID"))</f>
        <v>OK</v>
      </c>
      <c r="O594" s="7" t="s">
        <v>1592</v>
      </c>
    </row>
    <row r="595" customFormat="false" ht="15" hidden="false" customHeight="false" outlineLevel="0" collapsed="false">
      <c r="A595" s="35" t="s">
        <v>1992</v>
      </c>
      <c r="B595" s="35" t="s">
        <v>605</v>
      </c>
      <c r="C595" s="37" t="str">
        <f aca="false">IF(B595="","",IFERROR(INDEX(Applications!$B$5:$B$600,MATCH(B595,Applications!$A$5:$A$600,0)),"Application ID not found"))</f>
        <v>Sunrise Community Kitchen</v>
      </c>
      <c r="D595" s="35" t="s">
        <v>94</v>
      </c>
      <c r="E595" s="35" t="s">
        <v>83</v>
      </c>
      <c r="F595" s="36" t="n">
        <v>45946</v>
      </c>
      <c r="G595" s="35" t="n">
        <v>4</v>
      </c>
      <c r="H595" s="35" t="n">
        <v>3</v>
      </c>
      <c r="I595" s="35" t="n">
        <v>3</v>
      </c>
      <c r="J595" s="35" t="n">
        <v>3</v>
      </c>
      <c r="K595" s="35" t="n">
        <v>3</v>
      </c>
      <c r="L595" s="35" t="n">
        <v>3</v>
      </c>
      <c r="M595" s="50" t="n">
        <f aca="false">IF(COUNT(G595:L595)&lt;6,"",ROUND((G595*Rubric!$D$5+H595*Rubric!$D$6+I595*Rubric!$D$7+J595*Rubric!$D$8+K595*Rubric!$D$9+L595*Rubric!$D$10)/5*100,1))</f>
        <v>65</v>
      </c>
      <c r="N595" s="37" t="str">
        <f aca="false">IF(OR(B595="",D595=""),"",IFERROR(IF(IF(E595="Primary",INDEX(Applications!$I$5:$I$600,MATCH(B595,Applications!$A$5:$A$600,0)),IF(E595="Secondary",INDEX(Applications!$J$5:$J$600,MATCH(B595,Applications!$A$5:$A$600,0)),INDEX(Applications!$K$5:$K$600,MATCH(B595,Applications!$A$5:$A$600,0))))=D595,"OK","Not assigned"),"Check ID"))</f>
        <v>OK</v>
      </c>
      <c r="O595" s="7"/>
    </row>
    <row r="596" customFormat="false" ht="15" hidden="false" customHeight="false" outlineLevel="0" collapsed="false">
      <c r="A596" s="35" t="s">
        <v>1993</v>
      </c>
      <c r="B596" s="35" t="s">
        <v>831</v>
      </c>
      <c r="C596" s="37" t="str">
        <f aca="false">IF(B596="","",IFERROR(INDEX(Applications!$B$5:$B$600,MATCH(B596,Applications!$A$5:$A$600,0)),"Application ID not found"))</f>
        <v>Cologne Meals Project</v>
      </c>
      <c r="D596" s="35" t="s">
        <v>94</v>
      </c>
      <c r="E596" s="35" t="s">
        <v>80</v>
      </c>
      <c r="F596" s="36" t="n">
        <v>45946</v>
      </c>
      <c r="G596" s="35" t="n">
        <v>4</v>
      </c>
      <c r="H596" s="35" t="n">
        <v>3</v>
      </c>
      <c r="I596" s="35" t="n">
        <v>4</v>
      </c>
      <c r="J596" s="35" t="n">
        <v>3</v>
      </c>
      <c r="K596" s="35" t="n">
        <v>4</v>
      </c>
      <c r="L596" s="35" t="n">
        <v>4</v>
      </c>
      <c r="M596" s="50" t="n">
        <f aca="false">IF(COUNT(G596:L596)&lt;6,"",ROUND((G596*Rubric!$D$5+H596*Rubric!$D$6+I596*Rubric!$D$7+J596*Rubric!$D$8+K596*Rubric!$D$9+L596*Rubric!$D$10)/5*100,1))</f>
        <v>73</v>
      </c>
      <c r="N596" s="37" t="str">
        <f aca="false">IF(OR(B596="",D596=""),"",IFERROR(IF(IF(E596="Primary",INDEX(Applications!$I$5:$I$600,MATCH(B596,Applications!$A$5:$A$600,0)),IF(E596="Secondary",INDEX(Applications!$J$5:$J$600,MATCH(B596,Applications!$A$5:$A$600,0)),INDEX(Applications!$K$5:$K$600,MATCH(B596,Applications!$A$5:$A$600,0))))=D596,"OK","Not assigned"),"Check ID"))</f>
        <v>OK</v>
      </c>
      <c r="O596" s="7"/>
    </row>
    <row r="597" customFormat="false" ht="15" hidden="false" customHeight="false" outlineLevel="0" collapsed="false">
      <c r="A597" s="35" t="s">
        <v>1994</v>
      </c>
      <c r="B597" s="35" t="s">
        <v>563</v>
      </c>
      <c r="C597" s="37" t="str">
        <f aca="false">IF(B597="","",IFERROR(INDEX(Applications!$B$5:$B$600,MATCH(B597,Applications!$A$5:$A$600,0)),"Application ID not found"))</f>
        <v>Guadalajara Community Kitchen</v>
      </c>
      <c r="D597" s="35" t="s">
        <v>94</v>
      </c>
      <c r="E597" s="35" t="s">
        <v>83</v>
      </c>
      <c r="F597" s="36" t="n">
        <v>45946</v>
      </c>
      <c r="G597" s="35" t="n">
        <v>4</v>
      </c>
      <c r="H597" s="35" t="n">
        <v>5</v>
      </c>
      <c r="I597" s="35" t="n">
        <v>4</v>
      </c>
      <c r="J597" s="35" t="n">
        <v>4</v>
      </c>
      <c r="K597" s="35" t="n">
        <v>4</v>
      </c>
      <c r="L597" s="35" t="n">
        <v>4</v>
      </c>
      <c r="M597" s="50" t="n">
        <f aca="false">IF(COUNT(G597:L597)&lt;6,"",ROUND((G597*Rubric!$D$5+H597*Rubric!$D$6+I597*Rubric!$D$7+J597*Rubric!$D$8+K597*Rubric!$D$9+L597*Rubric!$D$10)/5*100,1))</f>
        <v>84</v>
      </c>
      <c r="N597" s="37" t="str">
        <f aca="false">IF(OR(B597="",D597=""),"",IFERROR(IF(IF(E597="Primary",INDEX(Applications!$I$5:$I$600,MATCH(B597,Applications!$A$5:$A$600,0)),IF(E597="Secondary",INDEX(Applications!$J$5:$J$600,MATCH(B597,Applications!$A$5:$A$600,0)),INDEX(Applications!$K$5:$K$600,MATCH(B597,Applications!$A$5:$A$600,0))))=D597,"OK","Not assigned"),"Check ID"))</f>
        <v>OK</v>
      </c>
      <c r="O597" s="7"/>
    </row>
    <row r="598" customFormat="false" ht="15" hidden="false" customHeight="false" outlineLevel="0" collapsed="false">
      <c r="A598" s="35" t="s">
        <v>1995</v>
      </c>
      <c r="B598" s="35" t="s">
        <v>579</v>
      </c>
      <c r="C598" s="37" t="str">
        <f aca="false">IF(B598="","",IFERROR(INDEX(Applications!$B$5:$B$600,MATCH(B598,Applications!$A$5:$A$600,0)),"Application ID not found"))</f>
        <v>Nairobi Farm Collective</v>
      </c>
      <c r="D598" s="35" t="s">
        <v>94</v>
      </c>
      <c r="E598" s="35" t="s">
        <v>80</v>
      </c>
      <c r="F598" s="36" t="n">
        <v>45946</v>
      </c>
      <c r="G598" s="35" t="n">
        <v>3</v>
      </c>
      <c r="H598" s="35" t="n">
        <v>5</v>
      </c>
      <c r="I598" s="35" t="n">
        <v>4</v>
      </c>
      <c r="J598" s="35" t="n">
        <v>4</v>
      </c>
      <c r="K598" s="35" t="n">
        <v>4</v>
      </c>
      <c r="L598" s="35" t="n">
        <v>4</v>
      </c>
      <c r="M598" s="50" t="n">
        <f aca="false">IF(COUNT(G598:L598)&lt;6,"",ROUND((G598*Rubric!$D$5+H598*Rubric!$D$6+I598*Rubric!$D$7+J598*Rubric!$D$8+K598*Rubric!$D$9+L598*Rubric!$D$10)/5*100,1))</f>
        <v>79</v>
      </c>
      <c r="N598" s="37" t="str">
        <f aca="false">IF(OR(B598="",D598=""),"",IFERROR(IF(IF(E598="Primary",INDEX(Applications!$I$5:$I$600,MATCH(B598,Applications!$A$5:$A$600,0)),IF(E598="Secondary",INDEX(Applications!$J$5:$J$600,MATCH(B598,Applications!$A$5:$A$600,0)),INDEX(Applications!$K$5:$K$600,MATCH(B598,Applications!$A$5:$A$600,0))))=D598,"OK","Not assigned"),"Check ID"))</f>
        <v>OK</v>
      </c>
      <c r="O598" s="7"/>
    </row>
    <row r="599" customFormat="false" ht="15" hidden="false" customHeight="false" outlineLevel="0" collapsed="false">
      <c r="A599" s="35" t="s">
        <v>1996</v>
      </c>
      <c r="B599" s="35" t="s">
        <v>1173</v>
      </c>
      <c r="C599" s="37" t="str">
        <f aca="false">IF(B599="","",IFERROR(INDEX(Applications!$B$5:$B$600,MATCH(B599,Applications!$A$5:$A$600,0)),"Application ID not found"))</f>
        <v>Linden Bakery Collective</v>
      </c>
      <c r="D599" s="35" t="s">
        <v>94</v>
      </c>
      <c r="E599" s="35" t="s">
        <v>83</v>
      </c>
      <c r="F599" s="36" t="n">
        <v>45946</v>
      </c>
      <c r="G599" s="35" t="n">
        <v>2</v>
      </c>
      <c r="H599" s="35" t="n">
        <v>3</v>
      </c>
      <c r="I599" s="35" t="n">
        <v>2</v>
      </c>
      <c r="J599" s="35" t="n">
        <v>2</v>
      </c>
      <c r="K599" s="35" t="n">
        <v>2</v>
      </c>
      <c r="L599" s="35" t="n">
        <v>2</v>
      </c>
      <c r="M599" s="50" t="n">
        <f aca="false">IF(COUNT(G599:L599)&lt;6,"",ROUND((G599*Rubric!$D$5+H599*Rubric!$D$6+I599*Rubric!$D$7+J599*Rubric!$D$8+K599*Rubric!$D$9+L599*Rubric!$D$10)/5*100,1))</f>
        <v>44</v>
      </c>
      <c r="N599" s="37" t="str">
        <f aca="false">IF(OR(B599="",D599=""),"",IFERROR(IF(IF(E599="Primary",INDEX(Applications!$I$5:$I$600,MATCH(B599,Applications!$A$5:$A$600,0)),IF(E599="Secondary",INDEX(Applications!$J$5:$J$600,MATCH(B599,Applications!$A$5:$A$600,0)),INDEX(Applications!$K$5:$K$600,MATCH(B599,Applications!$A$5:$A$600,0))))=D599,"OK","Not assigned"),"Check ID"))</f>
        <v>OK</v>
      </c>
      <c r="O599" s="7"/>
    </row>
    <row r="600" customFormat="false" ht="15" hidden="false" customHeight="false" outlineLevel="0" collapsed="false">
      <c r="A600" s="35" t="s">
        <v>1997</v>
      </c>
      <c r="B600" s="35" t="s">
        <v>339</v>
      </c>
      <c r="C600" s="37" t="str">
        <f aca="false">IF(B600="","",IFERROR(INDEX(Applications!$B$5:$B$600,MATCH(B600,Applications!$A$5:$A$600,0)),"Application ID not found"))</f>
        <v>Glasgow Bakery Collective</v>
      </c>
      <c r="D600" s="35" t="s">
        <v>85</v>
      </c>
      <c r="E600" s="35" t="s">
        <v>80</v>
      </c>
      <c r="F600" s="36" t="n">
        <v>45946</v>
      </c>
      <c r="G600" s="35" t="n">
        <v>2</v>
      </c>
      <c r="H600" s="35" t="n">
        <v>3</v>
      </c>
      <c r="I600" s="35" t="n">
        <v>2</v>
      </c>
      <c r="J600" s="35" t="n">
        <v>2</v>
      </c>
      <c r="K600" s="35" t="n">
        <v>2</v>
      </c>
      <c r="L600" s="35" t="n">
        <v>3</v>
      </c>
      <c r="M600" s="50" t="n">
        <f aca="false">IF(COUNT(G600:L600)&lt;6,"",ROUND((G600*Rubric!$D$5+H600*Rubric!$D$6+I600*Rubric!$D$7+J600*Rubric!$D$8+K600*Rubric!$D$9+L600*Rubric!$D$10)/5*100,1))</f>
        <v>46</v>
      </c>
      <c r="N600" s="37" t="str">
        <f aca="false">IF(OR(B600="",D600=""),"",IFERROR(IF(IF(E600="Primary",INDEX(Applications!$I$5:$I$600,MATCH(B600,Applications!$A$5:$A$600,0)),IF(E600="Secondary",INDEX(Applications!$J$5:$J$600,MATCH(B600,Applications!$A$5:$A$600,0)),INDEX(Applications!$K$5:$K$600,MATCH(B600,Applications!$A$5:$A$600,0))))=D600,"OK","Not assigned"),"Check ID"))</f>
        <v>OK</v>
      </c>
      <c r="O600" s="7"/>
    </row>
    <row r="601" customFormat="false" ht="15" hidden="false" customHeight="false" outlineLevel="0" collapsed="false">
      <c r="A601" s="35" t="s">
        <v>1998</v>
      </c>
      <c r="B601" s="35" t="s">
        <v>1271</v>
      </c>
      <c r="C601" s="37" t="str">
        <f aca="false">IF(B601="","",IFERROR(INDEX(Applications!$B$5:$B$600,MATCH(B601,Applications!$A$5:$A$600,0)),"Application ID not found"))</f>
        <v>Kestrel Cafe Training Program</v>
      </c>
      <c r="D601" s="35" t="s">
        <v>85</v>
      </c>
      <c r="E601" s="35" t="s">
        <v>83</v>
      </c>
      <c r="F601" s="36" t="n">
        <v>45946</v>
      </c>
      <c r="G601" s="35" t="n">
        <v>3</v>
      </c>
      <c r="H601" s="35" t="n">
        <v>3</v>
      </c>
      <c r="I601" s="35" t="n">
        <v>3</v>
      </c>
      <c r="J601" s="35" t="n">
        <v>4</v>
      </c>
      <c r="K601" s="35" t="n">
        <v>4</v>
      </c>
      <c r="L601" s="35" t="n">
        <v>4</v>
      </c>
      <c r="M601" s="50" t="n">
        <f aca="false">IF(COUNT(G601:L601)&lt;6,"",ROUND((G601*Rubric!$D$5+H601*Rubric!$D$6+I601*Rubric!$D$7+J601*Rubric!$D$8+K601*Rubric!$D$9+L601*Rubric!$D$10)/5*100,1))</f>
        <v>67</v>
      </c>
      <c r="N601" s="37" t="str">
        <f aca="false">IF(OR(B601="",D601=""),"",IFERROR(IF(IF(E601="Primary",INDEX(Applications!$I$5:$I$600,MATCH(B601,Applications!$A$5:$A$600,0)),IF(E601="Secondary",INDEX(Applications!$J$5:$J$600,MATCH(B601,Applications!$A$5:$A$600,0)),INDEX(Applications!$K$5:$K$600,MATCH(B601,Applications!$A$5:$A$600,0))))=D601,"OK","Not assigned"),"Check ID"))</f>
        <v>OK</v>
      </c>
      <c r="O601" s="7"/>
    </row>
    <row r="602" customFormat="false" ht="15" hidden="false" customHeight="false" outlineLevel="0" collapsed="false">
      <c r="A602" s="35" t="s">
        <v>1999</v>
      </c>
      <c r="B602" s="35" t="s">
        <v>506</v>
      </c>
      <c r="C602" s="37" t="str">
        <f aca="false">IF(B602="","",IFERROR(INDEX(Applications!$B$5:$B$600,MATCH(B602,Applications!$A$5:$A$600,0)),"Application ID not found"))</f>
        <v>Old Town Kitchen Project</v>
      </c>
      <c r="D602" s="35" t="s">
        <v>85</v>
      </c>
      <c r="E602" s="35" t="s">
        <v>80</v>
      </c>
      <c r="F602" s="36" t="n">
        <v>45946</v>
      </c>
      <c r="G602" s="35" t="n">
        <v>2</v>
      </c>
      <c r="H602" s="35" t="n">
        <v>2</v>
      </c>
      <c r="I602" s="35" t="n">
        <v>3</v>
      </c>
      <c r="J602" s="35" t="n">
        <v>3</v>
      </c>
      <c r="K602" s="35" t="n">
        <v>3</v>
      </c>
      <c r="L602" s="35" t="n">
        <v>2</v>
      </c>
      <c r="M602" s="50" t="n">
        <f aca="false">IF(COUNT(G602:L602)&lt;6,"",ROUND((G602*Rubric!$D$5+H602*Rubric!$D$6+I602*Rubric!$D$7+J602*Rubric!$D$8+K602*Rubric!$D$9+L602*Rubric!$D$10)/5*100,1))</f>
        <v>49</v>
      </c>
      <c r="N602" s="37" t="str">
        <f aca="false">IF(OR(B602="",D602=""),"",IFERROR(IF(IF(E602="Primary",INDEX(Applications!$I$5:$I$600,MATCH(B602,Applications!$A$5:$A$600,0)),IF(E602="Secondary",INDEX(Applications!$J$5:$J$600,MATCH(B602,Applications!$A$5:$A$600,0)),INDEX(Applications!$K$5:$K$600,MATCH(B602,Applications!$A$5:$A$600,0))))=D602,"OK","Not assigned"),"Check ID"))</f>
        <v>OK</v>
      </c>
      <c r="O602" s="7"/>
    </row>
    <row r="603" customFormat="false" ht="15" hidden="false" customHeight="false" outlineLevel="0" collapsed="false">
      <c r="A603" s="35" t="s">
        <v>2000</v>
      </c>
      <c r="B603" s="35" t="s">
        <v>482</v>
      </c>
      <c r="C603" s="37" t="str">
        <f aca="false">IF(B603="","",IFERROR(INDEX(Applications!$B$5:$B$600,MATCH(B603,Applications!$A$5:$A$600,0)),"Application ID not found"))</f>
        <v>Jaipur Food Bank</v>
      </c>
      <c r="D603" s="35" t="s">
        <v>85</v>
      </c>
      <c r="E603" s="35" t="s">
        <v>80</v>
      </c>
      <c r="F603" s="36" t="n">
        <v>45946</v>
      </c>
      <c r="G603" s="35" t="n">
        <v>3</v>
      </c>
      <c r="H603" s="35" t="n">
        <v>3</v>
      </c>
      <c r="I603" s="35" t="n">
        <v>3</v>
      </c>
      <c r="J603" s="35" t="n">
        <v>3</v>
      </c>
      <c r="K603" s="35" t="n">
        <v>3</v>
      </c>
      <c r="L603" s="35" t="n">
        <v>2</v>
      </c>
      <c r="M603" s="50" t="n">
        <f aca="false">IF(COUNT(G603:L603)&lt;6,"",ROUND((G603*Rubric!$D$5+H603*Rubric!$D$6+I603*Rubric!$D$7+J603*Rubric!$D$8+K603*Rubric!$D$9+L603*Rubric!$D$10)/5*100,1))</f>
        <v>58</v>
      </c>
      <c r="N603" s="37" t="str">
        <f aca="false">IF(OR(B603="",D603=""),"",IFERROR(IF(IF(E603="Primary",INDEX(Applications!$I$5:$I$600,MATCH(B603,Applications!$A$5:$A$600,0)),IF(E603="Secondary",INDEX(Applications!$J$5:$J$600,MATCH(B603,Applications!$A$5:$A$600,0)),INDEX(Applications!$K$5:$K$600,MATCH(B603,Applications!$A$5:$A$600,0))))=D603,"OK","Not assigned"),"Check ID"))</f>
        <v>OK</v>
      </c>
      <c r="O603" s="7"/>
    </row>
    <row r="604" customFormat="false" ht="15" hidden="false" customHeight="false" outlineLevel="0" collapsed="false">
      <c r="A604" s="35" t="s">
        <v>2001</v>
      </c>
      <c r="B604" s="35" t="s">
        <v>811</v>
      </c>
      <c r="C604" s="37" t="str">
        <f aca="false">IF(B604="","",IFERROR(INDEX(Applications!$B$5:$B$600,MATCH(B604,Applications!$A$5:$A$600,0)),"Application ID not found"))</f>
        <v>Cardiff Food Shelf</v>
      </c>
      <c r="D604" s="35" t="s">
        <v>85</v>
      </c>
      <c r="E604" s="35" t="s">
        <v>80</v>
      </c>
      <c r="F604" s="36" t="n">
        <v>45946</v>
      </c>
      <c r="G604" s="35" t="n">
        <v>3</v>
      </c>
      <c r="H604" s="35" t="n">
        <v>4</v>
      </c>
      <c r="I604" s="35" t="n">
        <v>3</v>
      </c>
      <c r="J604" s="35" t="n">
        <v>4</v>
      </c>
      <c r="K604" s="35" t="n">
        <v>4</v>
      </c>
      <c r="L604" s="35" t="n">
        <v>3</v>
      </c>
      <c r="M604" s="50" t="n">
        <f aca="false">IF(COUNT(G604:L604)&lt;6,"",ROUND((G604*Rubric!$D$5+H604*Rubric!$D$6+I604*Rubric!$D$7+J604*Rubric!$D$8+K604*Rubric!$D$9+L604*Rubric!$D$10)/5*100,1))</f>
        <v>69</v>
      </c>
      <c r="N604" s="37" t="str">
        <f aca="false">IF(OR(B604="",D604=""),"",IFERROR(IF(IF(E604="Primary",INDEX(Applications!$I$5:$I$600,MATCH(B604,Applications!$A$5:$A$600,0)),IF(E604="Secondary",INDEX(Applications!$J$5:$J$600,MATCH(B604,Applications!$A$5:$A$600,0)),INDEX(Applications!$K$5:$K$600,MATCH(B604,Applications!$A$5:$A$600,0))))=D604,"OK","Not assigned"),"Check ID"))</f>
        <v>OK</v>
      </c>
      <c r="O604" s="7"/>
    </row>
    <row r="605" customFormat="false" ht="15" hidden="false" customHeight="false" outlineLevel="0" collapsed="false">
      <c r="A605" s="35" t="s">
        <v>2002</v>
      </c>
      <c r="B605" s="35" t="s">
        <v>376</v>
      </c>
      <c r="C605" s="37" t="str">
        <f aca="false">IF(B605="","",IFERROR(INDEX(Applications!$B$5:$B$600,MATCH(B605,Applications!$A$5:$A$600,0)),"Application ID not found"))</f>
        <v>Pittsburgh Meals Project</v>
      </c>
      <c r="D605" s="35" t="s">
        <v>85</v>
      </c>
      <c r="E605" s="35" t="s">
        <v>80</v>
      </c>
      <c r="F605" s="36" t="n">
        <v>45946</v>
      </c>
      <c r="G605" s="35" t="n">
        <v>5</v>
      </c>
      <c r="H605" s="35" t="n">
        <v>5</v>
      </c>
      <c r="I605" s="35" t="n">
        <v>4</v>
      </c>
      <c r="J605" s="35" t="n">
        <v>5</v>
      </c>
      <c r="K605" s="35" t="n">
        <v>5</v>
      </c>
      <c r="L605" s="35" t="n">
        <v>4</v>
      </c>
      <c r="M605" s="50" t="n">
        <f aca="false">IF(COUNT(G605:L605)&lt;6,"",ROUND((G605*Rubric!$D$5+H605*Rubric!$D$6+I605*Rubric!$D$7+J605*Rubric!$D$8+K605*Rubric!$D$9+L605*Rubric!$D$10)/5*100,1))</f>
        <v>94</v>
      </c>
      <c r="N605" s="37" t="str">
        <f aca="false">IF(OR(B605="",D605=""),"",IFERROR(IF(IF(E605="Primary",INDEX(Applications!$I$5:$I$600,MATCH(B605,Applications!$A$5:$A$600,0)),IF(E605="Secondary",INDEX(Applications!$J$5:$J$600,MATCH(B605,Applications!$A$5:$A$600,0)),INDEX(Applications!$K$5:$K$600,MATCH(B605,Applications!$A$5:$A$600,0))))=D605,"OK","Not assigned"),"Check ID"))</f>
        <v>OK</v>
      </c>
      <c r="O605" s="7"/>
    </row>
    <row r="606" customFormat="false" ht="15" hidden="false" customHeight="false" outlineLevel="0" collapsed="false">
      <c r="A606" s="35" t="s">
        <v>2003</v>
      </c>
      <c r="B606" s="35" t="s">
        <v>561</v>
      </c>
      <c r="C606" s="37" t="str">
        <f aca="false">IF(B606="","",IFERROR(INDEX(Applications!$B$5:$B$600,MATCH(B606,Applications!$A$5:$A$600,0)),"Application ID not found"))</f>
        <v>Guadalajara Meals Project</v>
      </c>
      <c r="D606" s="35" t="s">
        <v>85</v>
      </c>
      <c r="E606" s="35" t="s">
        <v>80</v>
      </c>
      <c r="F606" s="36" t="n">
        <v>45946</v>
      </c>
      <c r="G606" s="35" t="n">
        <v>3</v>
      </c>
      <c r="H606" s="35" t="n">
        <v>2</v>
      </c>
      <c r="I606" s="35" t="n">
        <v>2</v>
      </c>
      <c r="J606" s="35" t="n">
        <v>2</v>
      </c>
      <c r="K606" s="35" t="n">
        <v>3</v>
      </c>
      <c r="L606" s="35" t="n">
        <v>2</v>
      </c>
      <c r="M606" s="50" t="n">
        <f aca="false">IF(COUNT(G606:L606)&lt;6,"",ROUND((G606*Rubric!$D$5+H606*Rubric!$D$6+I606*Rubric!$D$7+J606*Rubric!$D$8+K606*Rubric!$D$9+L606*Rubric!$D$10)/5*100,1))</f>
        <v>47</v>
      </c>
      <c r="N606" s="37" t="str">
        <f aca="false">IF(OR(B606="",D606=""),"",IFERROR(IF(IF(E606="Primary",INDEX(Applications!$I$5:$I$600,MATCH(B606,Applications!$A$5:$A$600,0)),IF(E606="Secondary",INDEX(Applications!$J$5:$J$600,MATCH(B606,Applications!$A$5:$A$600,0)),INDEX(Applications!$K$5:$K$600,MATCH(B606,Applications!$A$5:$A$600,0))))=D606,"OK","Not assigned"),"Check ID"))</f>
        <v>OK</v>
      </c>
      <c r="O606" s="7"/>
    </row>
    <row r="607" customFormat="false" ht="15" hidden="false" customHeight="false" outlineLevel="0" collapsed="false">
      <c r="A607" s="35" t="s">
        <v>2004</v>
      </c>
      <c r="B607" s="35" t="s">
        <v>841</v>
      </c>
      <c r="C607" s="37" t="str">
        <f aca="false">IF(B607="","",IFERROR(INDEX(Applications!$B$5:$B$600,MATCH(B607,Applications!$A$5:$A$600,0)),"Application ID not found"))</f>
        <v>Flint Youth Food Lab</v>
      </c>
      <c r="D607" s="35" t="s">
        <v>85</v>
      </c>
      <c r="E607" s="35" t="s">
        <v>83</v>
      </c>
      <c r="F607" s="36" t="n">
        <v>45946</v>
      </c>
      <c r="G607" s="35" t="n">
        <v>3</v>
      </c>
      <c r="H607" s="35" t="n">
        <v>4</v>
      </c>
      <c r="I607" s="35" t="n">
        <v>3</v>
      </c>
      <c r="J607" s="35" t="n">
        <v>4</v>
      </c>
      <c r="K607" s="35" t="n">
        <v>4</v>
      </c>
      <c r="L607" s="35" t="n">
        <v>3</v>
      </c>
      <c r="M607" s="50" t="n">
        <f aca="false">IF(COUNT(G607:L607)&lt;6,"",ROUND((G607*Rubric!$D$5+H607*Rubric!$D$6+I607*Rubric!$D$7+J607*Rubric!$D$8+K607*Rubric!$D$9+L607*Rubric!$D$10)/5*100,1))</f>
        <v>69</v>
      </c>
      <c r="N607" s="37" t="str">
        <f aca="false">IF(OR(B607="",D607=""),"",IFERROR(IF(IF(E607="Primary",INDEX(Applications!$I$5:$I$600,MATCH(B607,Applications!$A$5:$A$600,0)),IF(E607="Secondary",INDEX(Applications!$J$5:$J$600,MATCH(B607,Applications!$A$5:$A$600,0)),INDEX(Applications!$K$5:$K$600,MATCH(B607,Applications!$A$5:$A$600,0))))=D607,"OK","Not assigned"),"Check ID"))</f>
        <v>OK</v>
      </c>
      <c r="O607" s="7"/>
    </row>
    <row r="608" customFormat="false" ht="15" hidden="false" customHeight="false" outlineLevel="0" collapsed="false">
      <c r="A608" s="35" t="s">
        <v>2005</v>
      </c>
      <c r="B608" s="35" t="s">
        <v>1157</v>
      </c>
      <c r="C608" s="37" t="str">
        <f aca="false">IF(B608="","",IFERROR(INDEX(Applications!$B$5:$B$600,MATCH(B608,Applications!$A$5:$A$600,0)),"Application ID not found"))</f>
        <v>Utrecht Cafe Training Program</v>
      </c>
      <c r="D608" s="35" t="s">
        <v>85</v>
      </c>
      <c r="E608" s="35" t="s">
        <v>80</v>
      </c>
      <c r="F608" s="36" t="n">
        <v>45946</v>
      </c>
      <c r="G608" s="35" t="n">
        <v>3</v>
      </c>
      <c r="H608" s="35" t="n">
        <v>3</v>
      </c>
      <c r="I608" s="35" t="n">
        <v>4</v>
      </c>
      <c r="J608" s="35" t="n">
        <v>2</v>
      </c>
      <c r="K608" s="35" t="n">
        <v>3</v>
      </c>
      <c r="L608" s="35" t="n">
        <v>3</v>
      </c>
      <c r="M608" s="50" t="n">
        <f aca="false">IF(COUNT(G608:L608)&lt;6,"",ROUND((G608*Rubric!$D$5+H608*Rubric!$D$6+I608*Rubric!$D$7+J608*Rubric!$D$8+K608*Rubric!$D$9+L608*Rubric!$D$10)/5*100,1))</f>
        <v>61</v>
      </c>
      <c r="N608" s="37" t="str">
        <f aca="false">IF(OR(B608="",D608=""),"",IFERROR(IF(IF(E608="Primary",INDEX(Applications!$I$5:$I$600,MATCH(B608,Applications!$A$5:$A$600,0)),IF(E608="Secondary",INDEX(Applications!$J$5:$J$600,MATCH(B608,Applications!$A$5:$A$600,0)),INDEX(Applications!$K$5:$K$600,MATCH(B608,Applications!$A$5:$A$600,0))))=D608,"OK","Not assigned"),"Check ID"))</f>
        <v>OK</v>
      </c>
      <c r="O608" s="7"/>
    </row>
    <row r="609" customFormat="false" ht="15" hidden="false" customHeight="false" outlineLevel="0" collapsed="false">
      <c r="A609" s="35" t="s">
        <v>2006</v>
      </c>
      <c r="B609" s="35" t="s">
        <v>259</v>
      </c>
      <c r="C609" s="37" t="str">
        <f aca="false">IF(B609="","",IFERROR(INDEX(Applications!$B$5:$B$600,MATCH(B609,Applications!$A$5:$A$600,0)),"Application ID not found"))</f>
        <v>Tamale Meals Project</v>
      </c>
      <c r="D609" s="35" t="s">
        <v>85</v>
      </c>
      <c r="E609" s="35" t="s">
        <v>80</v>
      </c>
      <c r="F609" s="36" t="n">
        <v>45946</v>
      </c>
      <c r="G609" s="35" t="n">
        <v>5</v>
      </c>
      <c r="H609" s="35" t="n">
        <v>5</v>
      </c>
      <c r="I609" s="35" t="n">
        <v>5</v>
      </c>
      <c r="J609" s="35" t="n">
        <v>4</v>
      </c>
      <c r="K609" s="35" t="n">
        <v>5</v>
      </c>
      <c r="L609" s="35" t="n">
        <v>5</v>
      </c>
      <c r="M609" s="50" t="n">
        <f aca="false">IF(COUNT(G609:L609)&lt;6,"",ROUND((G609*Rubric!$D$5+H609*Rubric!$D$6+I609*Rubric!$D$7+J609*Rubric!$D$8+K609*Rubric!$D$9+L609*Rubric!$D$10)/5*100,1))</f>
        <v>97</v>
      </c>
      <c r="N609" s="37" t="str">
        <f aca="false">IF(OR(B609="",D609=""),"",IFERROR(IF(IF(E609="Primary",INDEX(Applications!$I$5:$I$600,MATCH(B609,Applications!$A$5:$A$600,0)),IF(E609="Secondary",INDEX(Applications!$J$5:$J$600,MATCH(B609,Applications!$A$5:$A$600,0)),INDEX(Applications!$K$5:$K$600,MATCH(B609,Applications!$A$5:$A$600,0))))=D609,"OK","Not assigned"),"Check ID"))</f>
        <v>OK</v>
      </c>
      <c r="O609" s="7"/>
    </row>
    <row r="610" customFormat="false" ht="15" hidden="false" customHeight="false" outlineLevel="0" collapsed="false">
      <c r="A610" s="35" t="s">
        <v>2007</v>
      </c>
      <c r="B610" s="35" t="s">
        <v>359</v>
      </c>
      <c r="C610" s="37" t="str">
        <f aca="false">IF(B610="","",IFERROR(INDEX(Applications!$B$5:$B$600,MATCH(B610,Applications!$A$5:$A$600,0)),"Application ID not found"))</f>
        <v>Prairie Growers Cooperative</v>
      </c>
      <c r="D610" s="35" t="s">
        <v>85</v>
      </c>
      <c r="E610" s="35" t="s">
        <v>83</v>
      </c>
      <c r="F610" s="36" t="n">
        <v>45946</v>
      </c>
      <c r="G610" s="35" t="n">
        <v>4</v>
      </c>
      <c r="H610" s="35" t="n">
        <v>3</v>
      </c>
      <c r="I610" s="35" t="n">
        <v>3</v>
      </c>
      <c r="J610" s="35" t="n">
        <v>4</v>
      </c>
      <c r="K610" s="35" t="n">
        <v>4</v>
      </c>
      <c r="L610" s="35" t="n">
        <v>4</v>
      </c>
      <c r="M610" s="50" t="n">
        <f aca="false">IF(COUNT(G610:L610)&lt;6,"",ROUND((G610*Rubric!$D$5+H610*Rubric!$D$6+I610*Rubric!$D$7+J610*Rubric!$D$8+K610*Rubric!$D$9+L610*Rubric!$D$10)/5*100,1))</f>
        <v>72</v>
      </c>
      <c r="N610" s="37" t="str">
        <f aca="false">IF(OR(B610="",D610=""),"",IFERROR(IF(IF(E610="Primary",INDEX(Applications!$I$5:$I$600,MATCH(B610,Applications!$A$5:$A$600,0)),IF(E610="Secondary",INDEX(Applications!$J$5:$J$600,MATCH(B610,Applications!$A$5:$A$600,0)),INDEX(Applications!$K$5:$K$600,MATCH(B610,Applications!$A$5:$A$600,0))))=D610,"OK","Not assigned"),"Check ID"))</f>
        <v>OK</v>
      </c>
      <c r="O610" s="7" t="s">
        <v>1493</v>
      </c>
    </row>
    <row r="611" customFormat="false" ht="15" hidden="false" customHeight="false" outlineLevel="0" collapsed="false">
      <c r="A611" s="35" t="s">
        <v>2008</v>
      </c>
      <c r="B611" s="35" t="s">
        <v>1049</v>
      </c>
      <c r="C611" s="37" t="str">
        <f aca="false">IF(B611="","",IFERROR(INDEX(Applications!$B$5:$B$600,MATCH(B611,Applications!$A$5:$A$600,0)),"Application ID not found"))</f>
        <v>Good Neighbor Community Pantry</v>
      </c>
      <c r="D611" s="35" t="s">
        <v>85</v>
      </c>
      <c r="E611" s="35" t="s">
        <v>80</v>
      </c>
      <c r="F611" s="36" t="n">
        <v>45946</v>
      </c>
      <c r="G611" s="35" t="n">
        <v>4</v>
      </c>
      <c r="H611" s="35" t="n">
        <v>3</v>
      </c>
      <c r="I611" s="35" t="n">
        <v>4</v>
      </c>
      <c r="J611" s="35" t="n">
        <v>3</v>
      </c>
      <c r="K611" s="35" t="n">
        <v>4</v>
      </c>
      <c r="L611" s="35" t="n">
        <v>4</v>
      </c>
      <c r="M611" s="50" t="n">
        <f aca="false">IF(COUNT(G611:L611)&lt;6,"",ROUND((G611*Rubric!$D$5+H611*Rubric!$D$6+I611*Rubric!$D$7+J611*Rubric!$D$8+K611*Rubric!$D$9+L611*Rubric!$D$10)/5*100,1))</f>
        <v>73</v>
      </c>
      <c r="N611" s="37" t="str">
        <f aca="false">IF(OR(B611="",D611=""),"",IFERROR(IF(IF(E611="Primary",INDEX(Applications!$I$5:$I$600,MATCH(B611,Applications!$A$5:$A$600,0)),IF(E611="Secondary",INDEX(Applications!$J$5:$J$600,MATCH(B611,Applications!$A$5:$A$600,0)),INDEX(Applications!$K$5:$K$600,MATCH(B611,Applications!$A$5:$A$600,0))))=D611,"OK","Not assigned"),"Check ID"))</f>
        <v>OK</v>
      </c>
      <c r="O611" s="7"/>
    </row>
    <row r="612" customFormat="false" ht="15" hidden="false" customHeight="false" outlineLevel="0" collapsed="false">
      <c r="A612" s="35" t="s">
        <v>2009</v>
      </c>
      <c r="B612" s="35" t="s">
        <v>464</v>
      </c>
      <c r="C612" s="37" t="str">
        <f aca="false">IF(B612="","",IFERROR(INDEX(Applications!$B$5:$B$600,MATCH(B612,Applications!$A$5:$A$600,0)),"Application ID not found"))</f>
        <v>Hillcrest Farm School</v>
      </c>
      <c r="D612" s="35" t="s">
        <v>85</v>
      </c>
      <c r="E612" s="35" t="s">
        <v>80</v>
      </c>
      <c r="F612" s="36" t="n">
        <v>45946</v>
      </c>
      <c r="G612" s="35" t="n">
        <v>4</v>
      </c>
      <c r="H612" s="35" t="n">
        <v>3</v>
      </c>
      <c r="I612" s="35" t="n">
        <v>3</v>
      </c>
      <c r="J612" s="35" t="n">
        <v>3</v>
      </c>
      <c r="K612" s="35" t="n">
        <v>4</v>
      </c>
      <c r="L612" s="35" t="n">
        <v>4</v>
      </c>
      <c r="M612" s="50" t="n">
        <f aca="false">IF(COUNT(G612:L612)&lt;6,"",ROUND((G612*Rubric!$D$5+H612*Rubric!$D$6+I612*Rubric!$D$7+J612*Rubric!$D$8+K612*Rubric!$D$9+L612*Rubric!$D$10)/5*100,1))</f>
        <v>69</v>
      </c>
      <c r="N612" s="37" t="str">
        <f aca="false">IF(OR(B612="",D612=""),"",IFERROR(IF(IF(E612="Primary",INDEX(Applications!$I$5:$I$600,MATCH(B612,Applications!$A$5:$A$600,0)),IF(E612="Secondary",INDEX(Applications!$J$5:$J$600,MATCH(B612,Applications!$A$5:$A$600,0)),INDEX(Applications!$K$5:$K$600,MATCH(B612,Applications!$A$5:$A$600,0))))=D612,"OK","Not assigned"),"Check ID"))</f>
        <v>OK</v>
      </c>
      <c r="O612" s="7"/>
    </row>
    <row r="613" customFormat="false" ht="15" hidden="false" customHeight="false" outlineLevel="0" collapsed="false">
      <c r="A613" s="35" t="s">
        <v>2010</v>
      </c>
      <c r="B613" s="35" t="s">
        <v>1067</v>
      </c>
      <c r="C613" s="37" t="str">
        <f aca="false">IF(B613="","",IFERROR(INDEX(Applications!$B$5:$B$600,MATCH(B613,Applications!$A$5:$A$600,0)),"Application ID not found"))</f>
        <v>Good Neighbor Growers Cooperative</v>
      </c>
      <c r="D613" s="35" t="s">
        <v>85</v>
      </c>
      <c r="E613" s="35" t="s">
        <v>80</v>
      </c>
      <c r="F613" s="36" t="n">
        <v>45946</v>
      </c>
      <c r="G613" s="35" t="n">
        <v>3</v>
      </c>
      <c r="H613" s="35" t="n">
        <v>3</v>
      </c>
      <c r="I613" s="35" t="n">
        <v>2</v>
      </c>
      <c r="J613" s="35" t="n">
        <v>2</v>
      </c>
      <c r="K613" s="35" t="n">
        <v>2</v>
      </c>
      <c r="L613" s="35" t="n">
        <v>2</v>
      </c>
      <c r="M613" s="50" t="n">
        <f aca="false">IF(COUNT(G613:L613)&lt;6,"",ROUND((G613*Rubric!$D$5+H613*Rubric!$D$6+I613*Rubric!$D$7+J613*Rubric!$D$8+K613*Rubric!$D$9+L613*Rubric!$D$10)/5*100,1))</f>
        <v>49</v>
      </c>
      <c r="N613" s="37" t="str">
        <f aca="false">IF(OR(B613="",D613=""),"",IFERROR(IF(IF(E613="Primary",INDEX(Applications!$I$5:$I$600,MATCH(B613,Applications!$A$5:$A$600,0)),IF(E613="Secondary",INDEX(Applications!$J$5:$J$600,MATCH(B613,Applications!$A$5:$A$600,0)),INDEX(Applications!$K$5:$K$600,MATCH(B613,Applications!$A$5:$A$600,0))))=D613,"OK","Not assigned"),"Check ID"))</f>
        <v>OK</v>
      </c>
      <c r="O613" s="7"/>
    </row>
    <row r="614" customFormat="false" ht="15" hidden="false" customHeight="false" outlineLevel="0" collapsed="false">
      <c r="A614" s="35" t="s">
        <v>2011</v>
      </c>
      <c r="B614" s="35" t="s">
        <v>476</v>
      </c>
      <c r="C614" s="37" t="str">
        <f aca="false">IF(B614="","",IFERROR(INDEX(Applications!$B$5:$B$600,MATCH(B614,Applications!$A$5:$A$600,0)),"Application ID not found"))</f>
        <v>Southfield Community Pantry</v>
      </c>
      <c r="D614" s="35" t="s">
        <v>85</v>
      </c>
      <c r="E614" s="35" t="s">
        <v>80</v>
      </c>
      <c r="F614" s="36" t="n">
        <v>45946</v>
      </c>
      <c r="G614" s="35" t="n">
        <v>3</v>
      </c>
      <c r="H614" s="35" t="n">
        <v>3</v>
      </c>
      <c r="I614" s="35" t="n">
        <v>3</v>
      </c>
      <c r="J614" s="35" t="n">
        <v>4</v>
      </c>
      <c r="K614" s="35" t="n">
        <v>4</v>
      </c>
      <c r="L614" s="35" t="n">
        <v>3</v>
      </c>
      <c r="M614" s="50" t="n">
        <f aca="false">IF(COUNT(G614:L614)&lt;6,"",ROUND((G614*Rubric!$D$5+H614*Rubric!$D$6+I614*Rubric!$D$7+J614*Rubric!$D$8+K614*Rubric!$D$9+L614*Rubric!$D$10)/5*100,1))</f>
        <v>65</v>
      </c>
      <c r="N614" s="37" t="str">
        <f aca="false">IF(OR(B614="",D614=""),"",IFERROR(IF(IF(E614="Primary",INDEX(Applications!$I$5:$I$600,MATCH(B614,Applications!$A$5:$A$600,0)),IF(E614="Secondary",INDEX(Applications!$J$5:$J$600,MATCH(B614,Applications!$A$5:$A$600,0)),INDEX(Applications!$K$5:$K$600,MATCH(B614,Applications!$A$5:$A$600,0))))=D614,"OK","Not assigned"),"Check ID"))</f>
        <v>OK</v>
      </c>
      <c r="O614" s="7"/>
    </row>
    <row r="615" customFormat="false" ht="15" hidden="false" customHeight="false" outlineLevel="0" collapsed="false">
      <c r="A615" s="35" t="s">
        <v>2012</v>
      </c>
      <c r="B615" s="35" t="s">
        <v>194</v>
      </c>
      <c r="C615" s="37" t="str">
        <f aca="false">IF(B615="","",IFERROR(INDEX(Applications!$B$5:$B$600,MATCH(B615,Applications!$A$5:$A$600,0)),"Application ID not found"))</f>
        <v>Tulsa Pantry Network</v>
      </c>
      <c r="D615" s="35" t="s">
        <v>85</v>
      </c>
      <c r="E615" s="35" t="s">
        <v>83</v>
      </c>
      <c r="F615" s="36" t="n">
        <v>45946</v>
      </c>
      <c r="G615" s="35" t="n">
        <v>4</v>
      </c>
      <c r="H615" s="35" t="n">
        <v>4</v>
      </c>
      <c r="I615" s="35" t="n">
        <v>3</v>
      </c>
      <c r="J615" s="35" t="n">
        <v>4</v>
      </c>
      <c r="K615" s="35" t="n">
        <v>3</v>
      </c>
      <c r="L615" s="35" t="n">
        <v>4</v>
      </c>
      <c r="M615" s="50" t="n">
        <f aca="false">IF(COUNT(G615:L615)&lt;6,"",ROUND((G615*Rubric!$D$5+H615*Rubric!$D$6+I615*Rubric!$D$7+J615*Rubric!$D$8+K615*Rubric!$D$9+L615*Rubric!$D$10)/5*100,1))</f>
        <v>74</v>
      </c>
      <c r="N615" s="37" t="str">
        <f aca="false">IF(OR(B615="",D615=""),"",IFERROR(IF(IF(E615="Primary",INDEX(Applications!$I$5:$I$600,MATCH(B615,Applications!$A$5:$A$600,0)),IF(E615="Secondary",INDEX(Applications!$J$5:$J$600,MATCH(B615,Applications!$A$5:$A$600,0)),INDEX(Applications!$K$5:$K$600,MATCH(B615,Applications!$A$5:$A$600,0))))=D615,"OK","Not assigned"),"Check ID"))</f>
        <v>OK</v>
      </c>
      <c r="O615" s="7"/>
    </row>
    <row r="616" customFormat="false" ht="15" hidden="false" customHeight="false" outlineLevel="0" collapsed="false">
      <c r="A616" s="35" t="s">
        <v>2013</v>
      </c>
      <c r="B616" s="35" t="s">
        <v>815</v>
      </c>
      <c r="C616" s="37" t="str">
        <f aca="false">IF(B616="","",IFERROR(INDEX(Applications!$B$5:$B$600,MATCH(B616,Applications!$A$5:$A$600,0)),"Application ID not found"))</f>
        <v>Dayton Growers Cooperative</v>
      </c>
      <c r="D616" s="35" t="s">
        <v>85</v>
      </c>
      <c r="E616" s="35" t="s">
        <v>80</v>
      </c>
      <c r="F616" s="36" t="n">
        <v>45946</v>
      </c>
      <c r="G616" s="35" t="n">
        <v>3</v>
      </c>
      <c r="H616" s="35" t="n">
        <v>3</v>
      </c>
      <c r="I616" s="35" t="n">
        <v>4</v>
      </c>
      <c r="J616" s="35" t="n">
        <v>3</v>
      </c>
      <c r="K616" s="35" t="n">
        <v>3</v>
      </c>
      <c r="L616" s="35" t="n">
        <v>3</v>
      </c>
      <c r="M616" s="50" t="n">
        <f aca="false">IF(COUNT(G616:L616)&lt;6,"",ROUND((G616*Rubric!$D$5+H616*Rubric!$D$6+I616*Rubric!$D$7+J616*Rubric!$D$8+K616*Rubric!$D$9+L616*Rubric!$D$10)/5*100,1))</f>
        <v>64</v>
      </c>
      <c r="N616" s="37" t="str">
        <f aca="false">IF(OR(B616="",D616=""),"",IFERROR(IF(IF(E616="Primary",INDEX(Applications!$I$5:$I$600,MATCH(B616,Applications!$A$5:$A$600,0)),IF(E616="Secondary",INDEX(Applications!$J$5:$J$600,MATCH(B616,Applications!$A$5:$A$600,0)),INDEX(Applications!$K$5:$K$600,MATCH(B616,Applications!$A$5:$A$600,0))))=D616,"OK","Not assigned"),"Check ID"))</f>
        <v>OK</v>
      </c>
      <c r="O616" s="7"/>
    </row>
    <row r="617" customFormat="false" ht="15" hidden="false" customHeight="false" outlineLevel="0" collapsed="false">
      <c r="A617" s="35" t="s">
        <v>2014</v>
      </c>
      <c r="B617" s="35" t="s">
        <v>1225</v>
      </c>
      <c r="C617" s="37" t="str">
        <f aca="false">IF(B617="","",IFERROR(INDEX(Applications!$B$5:$B$600,MATCH(B617,Applications!$A$5:$A$600,0)),"Application ID not found"))</f>
        <v>Oak Hollow Farm School</v>
      </c>
      <c r="D617" s="35" t="s">
        <v>85</v>
      </c>
      <c r="E617" s="35" t="s">
        <v>80</v>
      </c>
      <c r="F617" s="36" t="n">
        <v>45946</v>
      </c>
      <c r="G617" s="35" t="n">
        <v>3</v>
      </c>
      <c r="H617" s="35" t="n">
        <v>4</v>
      </c>
      <c r="I617" s="35" t="n">
        <v>4</v>
      </c>
      <c r="J617" s="35" t="n">
        <v>4</v>
      </c>
      <c r="K617" s="35" t="n">
        <v>4</v>
      </c>
      <c r="L617" s="35" t="n">
        <v>4</v>
      </c>
      <c r="M617" s="50" t="n">
        <f aca="false">IF(COUNT(G617:L617)&lt;6,"",ROUND((G617*Rubric!$D$5+H617*Rubric!$D$6+I617*Rubric!$D$7+J617*Rubric!$D$8+K617*Rubric!$D$9+L617*Rubric!$D$10)/5*100,1))</f>
        <v>75</v>
      </c>
      <c r="N617" s="37" t="str">
        <f aca="false">IF(OR(B617="",D617=""),"",IFERROR(IF(IF(E617="Primary",INDEX(Applications!$I$5:$I$600,MATCH(B617,Applications!$A$5:$A$600,0)),IF(E617="Secondary",INDEX(Applications!$J$5:$J$600,MATCH(B617,Applications!$A$5:$A$600,0)),INDEX(Applications!$K$5:$K$600,MATCH(B617,Applications!$A$5:$A$600,0))))=D617,"OK","Not assigned"),"Check ID"))</f>
        <v>OK</v>
      </c>
      <c r="O617" s="7"/>
    </row>
    <row r="618" customFormat="false" ht="15" hidden="false" customHeight="false" outlineLevel="0" collapsed="false">
      <c r="A618" s="35" t="s">
        <v>2015</v>
      </c>
      <c r="B618" s="35" t="s">
        <v>335</v>
      </c>
      <c r="C618" s="37" t="str">
        <f aca="false">IF(B618="","",IFERROR(INDEX(Applications!$B$5:$B$600,MATCH(B618,Applications!$A$5:$A$600,0)),"Application ID not found"))</f>
        <v>Crossroads Food Shelf</v>
      </c>
      <c r="D618" s="35" t="s">
        <v>78</v>
      </c>
      <c r="E618" s="35" t="s">
        <v>80</v>
      </c>
      <c r="F618" s="36" t="n">
        <v>45947</v>
      </c>
      <c r="G618" s="35" t="n">
        <v>3</v>
      </c>
      <c r="H618" s="35" t="n">
        <v>2</v>
      </c>
      <c r="I618" s="35" t="n">
        <v>3</v>
      </c>
      <c r="J618" s="35" t="n">
        <v>3</v>
      </c>
      <c r="K618" s="35" t="n">
        <v>2</v>
      </c>
      <c r="L618" s="35" t="n">
        <v>3</v>
      </c>
      <c r="M618" s="50" t="n">
        <f aca="false">IF(COUNT(G618:L618)&lt;6,"",ROUND((G618*Rubric!$D$5+H618*Rubric!$D$6+I618*Rubric!$D$7+J618*Rubric!$D$8+K618*Rubric!$D$9+L618*Rubric!$D$10)/5*100,1))</f>
        <v>54</v>
      </c>
      <c r="N618" s="37" t="str">
        <f aca="false">IF(OR(B618="",D618=""),"",IFERROR(IF(IF(E618="Primary",INDEX(Applications!$I$5:$I$600,MATCH(B618,Applications!$A$5:$A$600,0)),IF(E618="Secondary",INDEX(Applications!$J$5:$J$600,MATCH(B618,Applications!$A$5:$A$600,0)),INDEX(Applications!$K$5:$K$600,MATCH(B618,Applications!$A$5:$A$600,0))))=D618,"OK","Not assigned"),"Check ID"))</f>
        <v>OK</v>
      </c>
      <c r="O618" s="7"/>
    </row>
    <row r="619" customFormat="false" ht="15" hidden="false" customHeight="false" outlineLevel="0" collapsed="false">
      <c r="A619" s="35" t="s">
        <v>2016</v>
      </c>
      <c r="B619" s="35" t="s">
        <v>182</v>
      </c>
      <c r="C619" s="37" t="str">
        <f aca="false">IF(B619="","",IFERROR(INDEX(Applications!$B$5:$B$600,MATCH(B619,Applications!$A$5:$A$600,0)),"Application ID not found"))</f>
        <v>Southfield Food Ventures</v>
      </c>
      <c r="D619" s="35" t="s">
        <v>78</v>
      </c>
      <c r="E619" s="35" t="s">
        <v>83</v>
      </c>
      <c r="F619" s="36" t="n">
        <v>45947</v>
      </c>
      <c r="G619" s="35" t="n">
        <v>4</v>
      </c>
      <c r="H619" s="35" t="n">
        <v>4</v>
      </c>
      <c r="I619" s="35" t="n">
        <v>4</v>
      </c>
      <c r="J619" s="35" t="n">
        <v>4</v>
      </c>
      <c r="K619" s="35" t="n">
        <v>4</v>
      </c>
      <c r="L619" s="35" t="n">
        <v>4</v>
      </c>
      <c r="M619" s="50" t="n">
        <f aca="false">IF(COUNT(G619:L619)&lt;6,"",ROUND((G619*Rubric!$D$5+H619*Rubric!$D$6+I619*Rubric!$D$7+J619*Rubric!$D$8+K619*Rubric!$D$9+L619*Rubric!$D$10)/5*100,1))</f>
        <v>80</v>
      </c>
      <c r="N619" s="37" t="str">
        <f aca="false">IF(OR(B619="",D619=""),"",IFERROR(IF(IF(E619="Primary",INDEX(Applications!$I$5:$I$600,MATCH(B619,Applications!$A$5:$A$600,0)),IF(E619="Secondary",INDEX(Applications!$J$5:$J$600,MATCH(B619,Applications!$A$5:$A$600,0)),INDEX(Applications!$K$5:$K$600,MATCH(B619,Applications!$A$5:$A$600,0))))=D619,"OK","Not assigned"),"Check ID"))</f>
        <v>OK</v>
      </c>
      <c r="O619" s="7"/>
    </row>
    <row r="620" customFormat="false" ht="15" hidden="false" customHeight="false" outlineLevel="0" collapsed="false">
      <c r="A620" s="35" t="s">
        <v>2017</v>
      </c>
      <c r="B620" s="35" t="s">
        <v>785</v>
      </c>
      <c r="C620" s="37" t="str">
        <f aca="false">IF(B620="","",IFERROR(INDEX(Applications!$B$5:$B$600,MATCH(B620,Applications!$A$5:$A$600,0)),"Application ID not found"))</f>
        <v>Cardiff Mobile Market</v>
      </c>
      <c r="D620" s="35" t="s">
        <v>78</v>
      </c>
      <c r="E620" s="35" t="s">
        <v>80</v>
      </c>
      <c r="F620" s="36" t="n">
        <v>45947</v>
      </c>
      <c r="G620" s="35" t="n">
        <v>5</v>
      </c>
      <c r="H620" s="35" t="n">
        <v>4</v>
      </c>
      <c r="I620" s="35" t="n">
        <v>4</v>
      </c>
      <c r="J620" s="35" t="n">
        <v>5</v>
      </c>
      <c r="K620" s="35" t="n">
        <v>5</v>
      </c>
      <c r="L620" s="35" t="n">
        <v>4</v>
      </c>
      <c r="M620" s="50" t="n">
        <f aca="false">IF(COUNT(G620:L620)&lt;6,"",ROUND((G620*Rubric!$D$5+H620*Rubric!$D$6+I620*Rubric!$D$7+J620*Rubric!$D$8+K620*Rubric!$D$9+L620*Rubric!$D$10)/5*100,1))</f>
        <v>90</v>
      </c>
      <c r="N620" s="37" t="str">
        <f aca="false">IF(OR(B620="",D620=""),"",IFERROR(IF(IF(E620="Primary",INDEX(Applications!$I$5:$I$600,MATCH(B620,Applications!$A$5:$A$600,0)),IF(E620="Secondary",INDEX(Applications!$J$5:$J$600,MATCH(B620,Applications!$A$5:$A$600,0)),INDEX(Applications!$K$5:$K$600,MATCH(B620,Applications!$A$5:$A$600,0))))=D620,"OK","Not assigned"),"Check ID"))</f>
        <v>OK</v>
      </c>
      <c r="O620" s="7"/>
    </row>
    <row r="621" customFormat="false" ht="15" hidden="false" customHeight="false" outlineLevel="0" collapsed="false">
      <c r="A621" s="35" t="s">
        <v>2018</v>
      </c>
      <c r="B621" s="35" t="s">
        <v>1147</v>
      </c>
      <c r="C621" s="37" t="str">
        <f aca="false">IF(B621="","",IFERROR(INDEX(Applications!$B$5:$B$600,MATCH(B621,Applications!$A$5:$A$600,0)),"Application ID not found"))</f>
        <v>Canal Street Meals Project</v>
      </c>
      <c r="D621" s="35" t="s">
        <v>78</v>
      </c>
      <c r="E621" s="35" t="s">
        <v>83</v>
      </c>
      <c r="F621" s="36" t="n">
        <v>45947</v>
      </c>
      <c r="G621" s="35" t="n">
        <v>3</v>
      </c>
      <c r="H621" s="35" t="n">
        <v>3</v>
      </c>
      <c r="I621" s="35" t="n">
        <v>2</v>
      </c>
      <c r="J621" s="35" t="n">
        <v>4</v>
      </c>
      <c r="K621" s="35" t="n">
        <v>3</v>
      </c>
      <c r="L621" s="35" t="n">
        <v>4</v>
      </c>
      <c r="M621" s="50" t="n">
        <f aca="false">IF(COUNT(G621:L621)&lt;6,"",ROUND((G621*Rubric!$D$5+H621*Rubric!$D$6+I621*Rubric!$D$7+J621*Rubric!$D$8+K621*Rubric!$D$9+L621*Rubric!$D$10)/5*100,1))</f>
        <v>61</v>
      </c>
      <c r="N621" s="37" t="str">
        <f aca="false">IF(OR(B621="",D621=""),"",IFERROR(IF(IF(E621="Primary",INDEX(Applications!$I$5:$I$600,MATCH(B621,Applications!$A$5:$A$600,0)),IF(E621="Secondary",INDEX(Applications!$J$5:$J$600,MATCH(B621,Applications!$A$5:$A$600,0)),INDEX(Applications!$K$5:$K$600,MATCH(B621,Applications!$A$5:$A$600,0))))=D621,"OK","Not assigned"),"Check ID"))</f>
        <v>OK</v>
      </c>
      <c r="O621" s="7" t="s">
        <v>1418</v>
      </c>
    </row>
    <row r="622" customFormat="false" ht="15" hidden="false" customHeight="false" outlineLevel="0" collapsed="false">
      <c r="A622" s="35" t="s">
        <v>2019</v>
      </c>
      <c r="B622" s="35" t="s">
        <v>470</v>
      </c>
      <c r="C622" s="37" t="str">
        <f aca="false">IF(B622="","",IFERROR(INDEX(Applications!$B$5:$B$600,MATCH(B622,Applications!$A$5:$A$600,0)),"Application ID not found"))</f>
        <v>Union Square Market Gardens</v>
      </c>
      <c r="D622" s="35" t="s">
        <v>78</v>
      </c>
      <c r="E622" s="35" t="s">
        <v>80</v>
      </c>
      <c r="F622" s="36" t="n">
        <v>45947</v>
      </c>
      <c r="G622" s="35" t="n">
        <v>2</v>
      </c>
      <c r="H622" s="35" t="n">
        <v>2</v>
      </c>
      <c r="I622" s="35" t="n">
        <v>2</v>
      </c>
      <c r="J622" s="35" t="n">
        <v>2</v>
      </c>
      <c r="K622" s="35" t="n">
        <v>3</v>
      </c>
      <c r="L622" s="35" t="n">
        <v>2</v>
      </c>
      <c r="M622" s="50" t="n">
        <f aca="false">IF(COUNT(G622:L622)&lt;6,"",ROUND((G622*Rubric!$D$5+H622*Rubric!$D$6+I622*Rubric!$D$7+J622*Rubric!$D$8+K622*Rubric!$D$9+L622*Rubric!$D$10)/5*100,1))</f>
        <v>42</v>
      </c>
      <c r="N622" s="37" t="str">
        <f aca="false">IF(OR(B622="",D622=""),"",IFERROR(IF(IF(E622="Primary",INDEX(Applications!$I$5:$I$600,MATCH(B622,Applications!$A$5:$A$600,0)),IF(E622="Secondary",INDEX(Applications!$J$5:$J$600,MATCH(B622,Applications!$A$5:$A$600,0)),INDEX(Applications!$K$5:$K$600,MATCH(B622,Applications!$A$5:$A$600,0))))=D622,"OK","Not assigned"),"Check ID"))</f>
        <v>OK</v>
      </c>
      <c r="O622" s="7" t="s">
        <v>1426</v>
      </c>
    </row>
    <row r="623" customFormat="false" ht="15" hidden="false" customHeight="false" outlineLevel="0" collapsed="false">
      <c r="A623" s="35" t="s">
        <v>2020</v>
      </c>
      <c r="B623" s="35" t="s">
        <v>803</v>
      </c>
      <c r="C623" s="37" t="str">
        <f aca="false">IF(B623="","",IFERROR(INDEX(Applications!$B$5:$B$600,MATCH(B623,Applications!$A$5:$A$600,0)),"Application ID not found"))</f>
        <v>Chicago Culinary Works</v>
      </c>
      <c r="D623" s="35" t="s">
        <v>78</v>
      </c>
      <c r="E623" s="35" t="s">
        <v>80</v>
      </c>
      <c r="F623" s="36" t="n">
        <v>45947</v>
      </c>
      <c r="G623" s="35" t="n">
        <v>3</v>
      </c>
      <c r="H623" s="35" t="n">
        <v>3</v>
      </c>
      <c r="I623" s="35" t="n">
        <v>3</v>
      </c>
      <c r="J623" s="35" t="n">
        <v>3</v>
      </c>
      <c r="K623" s="35" t="n">
        <v>3</v>
      </c>
      <c r="L623" s="35" t="n">
        <v>3</v>
      </c>
      <c r="M623" s="50" t="n">
        <f aca="false">IF(COUNT(G623:L623)&lt;6,"",ROUND((G623*Rubric!$D$5+H623*Rubric!$D$6+I623*Rubric!$D$7+J623*Rubric!$D$8+K623*Rubric!$D$9+L623*Rubric!$D$10)/5*100,1))</f>
        <v>60</v>
      </c>
      <c r="N623" s="37" t="str">
        <f aca="false">IF(OR(B623="",D623=""),"",IFERROR(IF(IF(E623="Primary",INDEX(Applications!$I$5:$I$600,MATCH(B623,Applications!$A$5:$A$600,0)),IF(E623="Secondary",INDEX(Applications!$J$5:$J$600,MATCH(B623,Applications!$A$5:$A$600,0)),INDEX(Applications!$K$5:$K$600,MATCH(B623,Applications!$A$5:$A$600,0))))=D623,"OK","Not assigned"),"Check ID"))</f>
        <v>OK</v>
      </c>
      <c r="O623" s="7"/>
    </row>
    <row r="624" customFormat="false" ht="15" hidden="false" customHeight="false" outlineLevel="0" collapsed="false">
      <c r="A624" s="35" t="s">
        <v>2021</v>
      </c>
      <c r="B624" s="35" t="s">
        <v>633</v>
      </c>
      <c r="C624" s="37" t="str">
        <f aca="false">IF(B624="","",IFERROR(INDEX(Applications!$B$5:$B$600,MATCH(B624,Applications!$A$5:$A$600,0)),"Application ID not found"))</f>
        <v>Winnipeg Market Gardens</v>
      </c>
      <c r="D624" s="35" t="s">
        <v>78</v>
      </c>
      <c r="E624" s="35" t="s">
        <v>80</v>
      </c>
      <c r="F624" s="36" t="n">
        <v>45947</v>
      </c>
      <c r="G624" s="35" t="n">
        <v>4</v>
      </c>
      <c r="H624" s="35" t="n">
        <v>3</v>
      </c>
      <c r="I624" s="35" t="n">
        <v>3</v>
      </c>
      <c r="J624" s="35" t="n">
        <v>3</v>
      </c>
      <c r="K624" s="35" t="n">
        <v>4</v>
      </c>
      <c r="L624" s="35" t="n">
        <v>3</v>
      </c>
      <c r="M624" s="50" t="n">
        <f aca="false">IF(COUNT(G624:L624)&lt;6,"",ROUND((G624*Rubric!$D$5+H624*Rubric!$D$6+I624*Rubric!$D$7+J624*Rubric!$D$8+K624*Rubric!$D$9+L624*Rubric!$D$10)/5*100,1))</f>
        <v>67</v>
      </c>
      <c r="N624" s="37" t="str">
        <f aca="false">IF(OR(B624="",D624=""),"",IFERROR(IF(IF(E624="Primary",INDEX(Applications!$I$5:$I$600,MATCH(B624,Applications!$A$5:$A$600,0)),IF(E624="Secondary",INDEX(Applications!$J$5:$J$600,MATCH(B624,Applications!$A$5:$A$600,0)),INDEX(Applications!$K$5:$K$600,MATCH(B624,Applications!$A$5:$A$600,0))))=D624,"OK","Not assigned"),"Check ID"))</f>
        <v>OK</v>
      </c>
      <c r="O624" s="7"/>
    </row>
    <row r="625" customFormat="false" ht="15" hidden="false" customHeight="false" outlineLevel="0" collapsed="false">
      <c r="A625" s="35" t="s">
        <v>2022</v>
      </c>
      <c r="B625" s="35" t="s">
        <v>709</v>
      </c>
      <c r="C625" s="37" t="str">
        <f aca="false">IF(B625="","",IFERROR(INDEX(Applications!$B$5:$B$600,MATCH(B625,Applications!$A$5:$A$600,0)),"Application ID not found"))</f>
        <v>Harbor Seed Library</v>
      </c>
      <c r="D625" s="35" t="s">
        <v>78</v>
      </c>
      <c r="E625" s="35" t="s">
        <v>83</v>
      </c>
      <c r="F625" s="36" t="n">
        <v>45947</v>
      </c>
      <c r="G625" s="35" t="n">
        <v>4</v>
      </c>
      <c r="H625" s="35" t="n">
        <v>3</v>
      </c>
      <c r="I625" s="35" t="n">
        <v>3</v>
      </c>
      <c r="J625" s="35" t="n">
        <v>4</v>
      </c>
      <c r="K625" s="35" t="n">
        <v>4</v>
      </c>
      <c r="L625" s="35" t="n">
        <v>4</v>
      </c>
      <c r="M625" s="50" t="n">
        <f aca="false">IF(COUNT(G625:L625)&lt;6,"",ROUND((G625*Rubric!$D$5+H625*Rubric!$D$6+I625*Rubric!$D$7+J625*Rubric!$D$8+K625*Rubric!$D$9+L625*Rubric!$D$10)/5*100,1))</f>
        <v>72</v>
      </c>
      <c r="N625" s="37" t="str">
        <f aca="false">IF(OR(B625="",D625=""),"",IFERROR(IF(IF(E625="Primary",INDEX(Applications!$I$5:$I$600,MATCH(B625,Applications!$A$5:$A$600,0)),IF(E625="Secondary",INDEX(Applications!$J$5:$J$600,MATCH(B625,Applications!$A$5:$A$600,0)),INDEX(Applications!$K$5:$K$600,MATCH(B625,Applications!$A$5:$A$600,0))))=D625,"OK","Not assigned"),"Check ID"))</f>
        <v>OK</v>
      </c>
      <c r="O625" s="7"/>
    </row>
    <row r="626" customFormat="false" ht="15" hidden="false" customHeight="false" outlineLevel="0" collapsed="false">
      <c r="A626" s="35" t="s">
        <v>2023</v>
      </c>
      <c r="B626" s="35" t="s">
        <v>1053</v>
      </c>
      <c r="C626" s="37" t="str">
        <f aca="false">IF(B626="","",IFERROR(INDEX(Applications!$B$5:$B$600,MATCH(B626,Applications!$A$5:$A$600,0)),"Application ID not found"))</f>
        <v>Medellín Kitchen Project</v>
      </c>
      <c r="D626" s="35" t="s">
        <v>78</v>
      </c>
      <c r="E626" s="35" t="s">
        <v>80</v>
      </c>
      <c r="F626" s="36" t="n">
        <v>45947</v>
      </c>
      <c r="G626" s="35" t="n">
        <v>4</v>
      </c>
      <c r="H626" s="35" t="n">
        <v>4</v>
      </c>
      <c r="I626" s="35" t="n">
        <v>4</v>
      </c>
      <c r="J626" s="35" t="n">
        <v>4</v>
      </c>
      <c r="K626" s="35" t="n">
        <v>4</v>
      </c>
      <c r="L626" s="35" t="n">
        <v>4</v>
      </c>
      <c r="M626" s="50" t="n">
        <f aca="false">IF(COUNT(G626:L626)&lt;6,"",ROUND((G626*Rubric!$D$5+H626*Rubric!$D$6+I626*Rubric!$D$7+J626*Rubric!$D$8+K626*Rubric!$D$9+L626*Rubric!$D$10)/5*100,1))</f>
        <v>80</v>
      </c>
      <c r="N626" s="37" t="str">
        <f aca="false">IF(OR(B626="",D626=""),"",IFERROR(IF(IF(E626="Primary",INDEX(Applications!$I$5:$I$600,MATCH(B626,Applications!$A$5:$A$600,0)),IF(E626="Secondary",INDEX(Applications!$J$5:$J$600,MATCH(B626,Applications!$A$5:$A$600,0)),INDEX(Applications!$K$5:$K$600,MATCH(B626,Applications!$A$5:$A$600,0))))=D626,"OK","Not assigned"),"Check ID"))</f>
        <v>OK</v>
      </c>
      <c r="O626" s="7"/>
    </row>
    <row r="627" customFormat="false" ht="15" hidden="false" customHeight="false" outlineLevel="0" collapsed="false">
      <c r="A627" s="35" t="s">
        <v>2024</v>
      </c>
      <c r="B627" s="35" t="s">
        <v>1191</v>
      </c>
      <c r="C627" s="37" t="str">
        <f aca="false">IF(B627="","",IFERROR(INDEX(Applications!$B$5:$B$600,MATCH(B627,Applications!$A$5:$A$600,0)),"Application ID not found"))</f>
        <v>Toronto Community Pantry</v>
      </c>
      <c r="D627" s="35" t="s">
        <v>78</v>
      </c>
      <c r="E627" s="35" t="s">
        <v>80</v>
      </c>
      <c r="F627" s="36" t="n">
        <v>45947</v>
      </c>
      <c r="G627" s="35" t="n">
        <v>4</v>
      </c>
      <c r="H627" s="35" t="n">
        <v>3</v>
      </c>
      <c r="I627" s="35" t="n">
        <v>4</v>
      </c>
      <c r="J627" s="35" t="n">
        <v>3</v>
      </c>
      <c r="K627" s="35" t="n">
        <v>3</v>
      </c>
      <c r="L627" s="35" t="n">
        <v>3</v>
      </c>
      <c r="M627" s="50" t="n">
        <f aca="false">IF(COUNT(G627:L627)&lt;6,"",ROUND((G627*Rubric!$D$5+H627*Rubric!$D$6+I627*Rubric!$D$7+J627*Rubric!$D$8+K627*Rubric!$D$9+L627*Rubric!$D$10)/5*100,1))</f>
        <v>69</v>
      </c>
      <c r="N627" s="37" t="str">
        <f aca="false">IF(OR(B627="",D627=""),"",IFERROR(IF(IF(E627="Primary",INDEX(Applications!$I$5:$I$600,MATCH(B627,Applications!$A$5:$A$600,0)),IF(E627="Secondary",INDEX(Applications!$J$5:$J$600,MATCH(B627,Applications!$A$5:$A$600,0)),INDEX(Applications!$K$5:$K$600,MATCH(B627,Applications!$A$5:$A$600,0))))=D627,"OK","Not assigned"),"Check ID"))</f>
        <v>OK</v>
      </c>
      <c r="O627" s="7"/>
    </row>
    <row r="628" customFormat="false" ht="15" hidden="false" customHeight="false" outlineLevel="0" collapsed="false">
      <c r="A628" s="35" t="s">
        <v>2025</v>
      </c>
      <c r="B628" s="35" t="s">
        <v>679</v>
      </c>
      <c r="C628" s="37" t="str">
        <f aca="false">IF(B628="","",IFERROR(INDEX(Applications!$B$5:$B$600,MATCH(B628,Applications!$A$5:$A$600,0)),"Application ID not found"))</f>
        <v>Utrecht Kitchen Project</v>
      </c>
      <c r="D628" s="35" t="s">
        <v>78</v>
      </c>
      <c r="E628" s="35" t="s">
        <v>83</v>
      </c>
      <c r="F628" s="36" t="n">
        <v>45947</v>
      </c>
      <c r="G628" s="35" t="n">
        <v>4</v>
      </c>
      <c r="H628" s="35" t="n">
        <v>3</v>
      </c>
      <c r="I628" s="35" t="n">
        <v>3</v>
      </c>
      <c r="J628" s="35" t="n">
        <v>4</v>
      </c>
      <c r="K628" s="35" t="n">
        <v>4</v>
      </c>
      <c r="L628" s="35" t="n">
        <v>3</v>
      </c>
      <c r="M628" s="50" t="n">
        <f aca="false">IF(COUNT(G628:L628)&lt;6,"",ROUND((G628*Rubric!$D$5+H628*Rubric!$D$6+I628*Rubric!$D$7+J628*Rubric!$D$8+K628*Rubric!$D$9+L628*Rubric!$D$10)/5*100,1))</f>
        <v>70</v>
      </c>
      <c r="N628" s="37" t="str">
        <f aca="false">IF(OR(B628="",D628=""),"",IFERROR(IF(IF(E628="Primary",INDEX(Applications!$I$5:$I$600,MATCH(B628,Applications!$A$5:$A$600,0)),IF(E628="Secondary",INDEX(Applications!$J$5:$J$600,MATCH(B628,Applications!$A$5:$A$600,0)),INDEX(Applications!$K$5:$K$600,MATCH(B628,Applications!$A$5:$A$600,0))))=D628,"OK","Not assigned"),"Check ID"))</f>
        <v>OK</v>
      </c>
      <c r="O628" s="7"/>
    </row>
    <row r="629" customFormat="false" ht="15" hidden="false" customHeight="false" outlineLevel="0" collapsed="false">
      <c r="A629" s="35" t="s">
        <v>2026</v>
      </c>
      <c r="B629" s="35" t="s">
        <v>1301</v>
      </c>
      <c r="C629" s="37" t="str">
        <f aca="false">IF(B629="","",IFERROR(INDEX(Applications!$B$5:$B$600,MATCH(B629,Applications!$A$5:$A$600,0)),"Application ID not found"))</f>
        <v>Atlanta Pantry Network</v>
      </c>
      <c r="D629" s="35" t="s">
        <v>78</v>
      </c>
      <c r="E629" s="35" t="s">
        <v>80</v>
      </c>
      <c r="F629" s="36" t="n">
        <v>45947</v>
      </c>
      <c r="G629" s="35" t="n">
        <v>3</v>
      </c>
      <c r="H629" s="35" t="n">
        <v>4</v>
      </c>
      <c r="I629" s="35" t="n">
        <v>4</v>
      </c>
      <c r="J629" s="35" t="n">
        <v>4</v>
      </c>
      <c r="K629" s="35" t="n">
        <v>4</v>
      </c>
      <c r="L629" s="35" t="n">
        <v>4</v>
      </c>
      <c r="M629" s="50" t="n">
        <f aca="false">IF(COUNT(G629:L629)&lt;6,"",ROUND((G629*Rubric!$D$5+H629*Rubric!$D$6+I629*Rubric!$D$7+J629*Rubric!$D$8+K629*Rubric!$D$9+L629*Rubric!$D$10)/5*100,1))</f>
        <v>75</v>
      </c>
      <c r="N629" s="37" t="str">
        <f aca="false">IF(OR(B629="",D629=""),"",IFERROR(IF(IF(E629="Primary",INDEX(Applications!$I$5:$I$600,MATCH(B629,Applications!$A$5:$A$600,0)),IF(E629="Secondary",INDEX(Applications!$J$5:$J$600,MATCH(B629,Applications!$A$5:$A$600,0)),INDEX(Applications!$K$5:$K$600,MATCH(B629,Applications!$A$5:$A$600,0))))=D629,"OK","Not assigned"),"Check ID"))</f>
        <v>OK</v>
      </c>
      <c r="O629" s="7"/>
    </row>
    <row r="630" customFormat="false" ht="15" hidden="false" customHeight="false" outlineLevel="0" collapsed="false">
      <c r="A630" s="35" t="s">
        <v>2027</v>
      </c>
      <c r="B630" s="35" t="s">
        <v>925</v>
      </c>
      <c r="C630" s="37" t="str">
        <f aca="false">IF(B630="","",IFERROR(INDEX(Applications!$B$5:$B$600,MATCH(B630,Applications!$A$5:$A$600,0)),"Application ID not found"))</f>
        <v>Albany Cafe Training Program</v>
      </c>
      <c r="D630" s="35" t="s">
        <v>78</v>
      </c>
      <c r="E630" s="35" t="s">
        <v>86</v>
      </c>
      <c r="F630" s="36" t="n">
        <v>45947</v>
      </c>
      <c r="G630" s="35" t="n">
        <v>5</v>
      </c>
      <c r="H630" s="35" t="n">
        <v>5</v>
      </c>
      <c r="I630" s="35" t="n">
        <v>5</v>
      </c>
      <c r="J630" s="35" t="n">
        <v>5</v>
      </c>
      <c r="K630" s="35" t="n">
        <v>5</v>
      </c>
      <c r="L630" s="35" t="n">
        <v>5</v>
      </c>
      <c r="M630" s="50" t="n">
        <f aca="false">IF(COUNT(G630:L630)&lt;6,"",ROUND((G630*Rubric!$D$5+H630*Rubric!$D$6+I630*Rubric!$D$7+J630*Rubric!$D$8+K630*Rubric!$D$9+L630*Rubric!$D$10)/5*100,1))</f>
        <v>100</v>
      </c>
      <c r="N630" s="37" t="str">
        <f aca="false">IF(OR(B630="",D630=""),"",IFERROR(IF(IF(E630="Primary",INDEX(Applications!$I$5:$I$600,MATCH(B630,Applications!$A$5:$A$600,0)),IF(E630="Secondary",INDEX(Applications!$J$5:$J$600,MATCH(B630,Applications!$A$5:$A$600,0)),INDEX(Applications!$K$5:$K$600,MATCH(B630,Applications!$A$5:$A$600,0))))=D630,"OK","Not assigned"),"Check ID"))</f>
        <v>OK</v>
      </c>
      <c r="O630" s="7"/>
    </row>
    <row r="631" customFormat="false" ht="15" hidden="false" customHeight="false" outlineLevel="0" collapsed="false">
      <c r="A631" s="35" t="s">
        <v>2028</v>
      </c>
      <c r="B631" s="35" t="s">
        <v>474</v>
      </c>
      <c r="C631" s="37" t="str">
        <f aca="false">IF(B631="","",IFERROR(INDEX(Applications!$B$5:$B$600,MATCH(B631,Applications!$A$5:$A$600,0)),"Application ID not found"))</f>
        <v>Union Square Pantry Network</v>
      </c>
      <c r="D631" s="35" t="s">
        <v>82</v>
      </c>
      <c r="E631" s="35" t="s">
        <v>80</v>
      </c>
      <c r="F631" s="36" t="n">
        <v>45947</v>
      </c>
      <c r="G631" s="35" t="n">
        <v>3</v>
      </c>
      <c r="H631" s="35" t="n">
        <v>3</v>
      </c>
      <c r="I631" s="35" t="n">
        <v>3</v>
      </c>
      <c r="J631" s="35" t="n">
        <v>3</v>
      </c>
      <c r="K631" s="35" t="n">
        <v>2</v>
      </c>
      <c r="L631" s="35" t="n">
        <v>3</v>
      </c>
      <c r="M631" s="50" t="n">
        <f aca="false">IF(COUNT(G631:L631)&lt;6,"",ROUND((G631*Rubric!$D$5+H631*Rubric!$D$6+I631*Rubric!$D$7+J631*Rubric!$D$8+K631*Rubric!$D$9+L631*Rubric!$D$10)/5*100,1))</f>
        <v>58</v>
      </c>
      <c r="N631" s="37" t="str">
        <f aca="false">IF(OR(B631="",D631=""),"",IFERROR(IF(IF(E631="Primary",INDEX(Applications!$I$5:$I$600,MATCH(B631,Applications!$A$5:$A$600,0)),IF(E631="Secondary",INDEX(Applications!$J$5:$J$600,MATCH(B631,Applications!$A$5:$A$600,0)),INDEX(Applications!$K$5:$K$600,MATCH(B631,Applications!$A$5:$A$600,0))))=D631,"OK","Not assigned"),"Check ID"))</f>
        <v>OK</v>
      </c>
      <c r="O631" s="7"/>
    </row>
    <row r="632" customFormat="false" ht="15" hidden="false" customHeight="false" outlineLevel="0" collapsed="false">
      <c r="A632" s="35" t="s">
        <v>2029</v>
      </c>
      <c r="B632" s="35" t="s">
        <v>1299</v>
      </c>
      <c r="C632" s="37" t="str">
        <f aca="false">IF(B632="","",IFERROR(INDEX(Applications!$B$5:$B$600,MATCH(B632,Applications!$A$5:$A$600,0)),"Application ID not found"))</f>
        <v>Pune Meals Project</v>
      </c>
      <c r="D632" s="35" t="s">
        <v>82</v>
      </c>
      <c r="E632" s="35" t="s">
        <v>83</v>
      </c>
      <c r="F632" s="36" t="n">
        <v>45947</v>
      </c>
      <c r="G632" s="35" t="n">
        <v>4</v>
      </c>
      <c r="H632" s="35" t="n">
        <v>4</v>
      </c>
      <c r="I632" s="35" t="n">
        <v>4</v>
      </c>
      <c r="J632" s="35" t="n">
        <v>4</v>
      </c>
      <c r="K632" s="35" t="n">
        <v>4</v>
      </c>
      <c r="L632" s="35" t="n">
        <v>4</v>
      </c>
      <c r="M632" s="50" t="n">
        <f aca="false">IF(COUNT(G632:L632)&lt;6,"",ROUND((G632*Rubric!$D$5+H632*Rubric!$D$6+I632*Rubric!$D$7+J632*Rubric!$D$8+K632*Rubric!$D$9+L632*Rubric!$D$10)/5*100,1))</f>
        <v>80</v>
      </c>
      <c r="N632" s="37" t="str">
        <f aca="false">IF(OR(B632="",D632=""),"",IFERROR(IF(IF(E632="Primary",INDEX(Applications!$I$5:$I$600,MATCH(B632,Applications!$A$5:$A$600,0)),IF(E632="Secondary",INDEX(Applications!$J$5:$J$600,MATCH(B632,Applications!$A$5:$A$600,0)),INDEX(Applications!$K$5:$K$600,MATCH(B632,Applications!$A$5:$A$600,0))))=D632,"OK","Not assigned"),"Check ID"))</f>
        <v>OK</v>
      </c>
      <c r="O632" s="7"/>
    </row>
    <row r="633" customFormat="false" ht="15" hidden="false" customHeight="false" outlineLevel="0" collapsed="false">
      <c r="A633" s="35" t="s">
        <v>2030</v>
      </c>
      <c r="B633" s="35" t="s">
        <v>259</v>
      </c>
      <c r="C633" s="37" t="str">
        <f aca="false">IF(B633="","",IFERROR(INDEX(Applications!$B$5:$B$600,MATCH(B633,Applications!$A$5:$A$600,0)),"Application ID not found"))</f>
        <v>Tamale Meals Project</v>
      </c>
      <c r="D633" s="35" t="s">
        <v>82</v>
      </c>
      <c r="E633" s="35" t="s">
        <v>83</v>
      </c>
      <c r="F633" s="36" t="n">
        <v>45947</v>
      </c>
      <c r="G633" s="35" t="n">
        <v>5</v>
      </c>
      <c r="H633" s="35" t="n">
        <v>5</v>
      </c>
      <c r="I633" s="35" t="n">
        <v>5</v>
      </c>
      <c r="J633" s="35" t="n">
        <v>4</v>
      </c>
      <c r="K633" s="35" t="n">
        <v>5</v>
      </c>
      <c r="L633" s="35" t="n">
        <v>5</v>
      </c>
      <c r="M633" s="50" t="n">
        <f aca="false">IF(COUNT(G633:L633)&lt;6,"",ROUND((G633*Rubric!$D$5+H633*Rubric!$D$6+I633*Rubric!$D$7+J633*Rubric!$D$8+K633*Rubric!$D$9+L633*Rubric!$D$10)/5*100,1))</f>
        <v>97</v>
      </c>
      <c r="N633" s="37" t="str">
        <f aca="false">IF(OR(B633="",D633=""),"",IFERROR(IF(IF(E633="Primary",INDEX(Applications!$I$5:$I$600,MATCH(B633,Applications!$A$5:$A$600,0)),IF(E633="Secondary",INDEX(Applications!$J$5:$J$600,MATCH(B633,Applications!$A$5:$A$600,0)),INDEX(Applications!$K$5:$K$600,MATCH(B633,Applications!$A$5:$A$600,0))))=D633,"OK","Not assigned"),"Check ID"))</f>
        <v>OK</v>
      </c>
      <c r="O633" s="7" t="s">
        <v>1416</v>
      </c>
    </row>
    <row r="634" customFormat="false" ht="15" hidden="false" customHeight="false" outlineLevel="0" collapsed="false">
      <c r="A634" s="35" t="s">
        <v>2031</v>
      </c>
      <c r="B634" s="35" t="s">
        <v>1029</v>
      </c>
      <c r="C634" s="37" t="str">
        <f aca="false">IF(B634="","",IFERROR(INDEX(Applications!$B$5:$B$600,MATCH(B634,Applications!$A$5:$A$600,0)),"Application ID not found"))</f>
        <v>Cologne Culinary Works</v>
      </c>
      <c r="D634" s="35" t="s">
        <v>82</v>
      </c>
      <c r="E634" s="35" t="s">
        <v>83</v>
      </c>
      <c r="F634" s="36" t="n">
        <v>45947</v>
      </c>
      <c r="G634" s="35" t="n">
        <v>4</v>
      </c>
      <c r="H634" s="35" t="n">
        <v>3</v>
      </c>
      <c r="I634" s="35" t="n">
        <v>4</v>
      </c>
      <c r="J634" s="35" t="n">
        <v>4</v>
      </c>
      <c r="K634" s="35" t="n">
        <v>4</v>
      </c>
      <c r="L634" s="35" t="n">
        <v>4</v>
      </c>
      <c r="M634" s="50" t="n">
        <f aca="false">IF(COUNT(G634:L634)&lt;6,"",ROUND((G634*Rubric!$D$5+H634*Rubric!$D$6+I634*Rubric!$D$7+J634*Rubric!$D$8+K634*Rubric!$D$9+L634*Rubric!$D$10)/5*100,1))</f>
        <v>76</v>
      </c>
      <c r="N634" s="37" t="str">
        <f aca="false">IF(OR(B634="",D634=""),"",IFERROR(IF(IF(E634="Primary",INDEX(Applications!$I$5:$I$600,MATCH(B634,Applications!$A$5:$A$600,0)),IF(E634="Secondary",INDEX(Applications!$J$5:$J$600,MATCH(B634,Applications!$A$5:$A$600,0)),INDEX(Applications!$K$5:$K$600,MATCH(B634,Applications!$A$5:$A$600,0))))=D634,"OK","Not assigned"),"Check ID"))</f>
        <v>OK</v>
      </c>
      <c r="O634" s="7"/>
    </row>
    <row r="635" customFormat="false" ht="15" hidden="false" customHeight="false" outlineLevel="0" collapsed="false">
      <c r="A635" s="35" t="s">
        <v>2032</v>
      </c>
      <c r="B635" s="35" t="s">
        <v>591</v>
      </c>
      <c r="C635" s="37" t="str">
        <f aca="false">IF(B635="","",IFERROR(INDEX(Applications!$B$5:$B$600,MATCH(B635,Applications!$A$5:$A$600,0)),"Application ID not found"))</f>
        <v>Northside Kitchen Project</v>
      </c>
      <c r="D635" s="35" t="s">
        <v>82</v>
      </c>
      <c r="E635" s="35" t="s">
        <v>80</v>
      </c>
      <c r="F635" s="36" t="n">
        <v>45947</v>
      </c>
      <c r="G635" s="35" t="n">
        <v>4</v>
      </c>
      <c r="H635" s="35" t="n">
        <v>4</v>
      </c>
      <c r="I635" s="35" t="n">
        <v>3</v>
      </c>
      <c r="J635" s="35" t="n">
        <v>3</v>
      </c>
      <c r="K635" s="35" t="n">
        <v>4</v>
      </c>
      <c r="L635" s="35" t="n">
        <v>4</v>
      </c>
      <c r="M635" s="50" t="n">
        <f aca="false">IF(COUNT(G635:L635)&lt;6,"",ROUND((G635*Rubric!$D$5+H635*Rubric!$D$6+I635*Rubric!$D$7+J635*Rubric!$D$8+K635*Rubric!$D$9+L635*Rubric!$D$10)/5*100,1))</f>
        <v>73</v>
      </c>
      <c r="N635" s="37" t="str">
        <f aca="false">IF(OR(B635="",D635=""),"",IFERROR(IF(IF(E635="Primary",INDEX(Applications!$I$5:$I$600,MATCH(B635,Applications!$A$5:$A$600,0)),IF(E635="Secondary",INDEX(Applications!$J$5:$J$600,MATCH(B635,Applications!$A$5:$A$600,0)),INDEX(Applications!$K$5:$K$600,MATCH(B635,Applications!$A$5:$A$600,0))))=D635,"OK","Not assigned"),"Check ID"))</f>
        <v>OK</v>
      </c>
      <c r="O635" s="7"/>
    </row>
    <row r="636" customFormat="false" ht="15" hidden="false" customHeight="false" outlineLevel="0" collapsed="false">
      <c r="A636" s="35" t="s">
        <v>2033</v>
      </c>
      <c r="B636" s="35" t="s">
        <v>1225</v>
      </c>
      <c r="C636" s="37" t="str">
        <f aca="false">IF(B636="","",IFERROR(INDEX(Applications!$B$5:$B$600,MATCH(B636,Applications!$A$5:$A$600,0)),"Application ID not found"))</f>
        <v>Oak Hollow Farm School</v>
      </c>
      <c r="D636" s="35" t="s">
        <v>82</v>
      </c>
      <c r="E636" s="35" t="s">
        <v>83</v>
      </c>
      <c r="F636" s="36" t="n">
        <v>45947</v>
      </c>
      <c r="G636" s="35" t="n">
        <v>5</v>
      </c>
      <c r="H636" s="35" t="n">
        <v>5</v>
      </c>
      <c r="I636" s="35" t="n">
        <v>3</v>
      </c>
      <c r="J636" s="35" t="n">
        <v>4</v>
      </c>
      <c r="K636" s="35" t="n">
        <v>5</v>
      </c>
      <c r="L636" s="35" t="n">
        <v>5</v>
      </c>
      <c r="M636" s="50" t="n">
        <f aca="false">IF(COUNT(G636:L636)&lt;6,"",ROUND((G636*Rubric!$D$5+H636*Rubric!$D$6+I636*Rubric!$D$7+J636*Rubric!$D$8+K636*Rubric!$D$9+L636*Rubric!$D$10)/5*100,1))</f>
        <v>89</v>
      </c>
      <c r="N636" s="37" t="str">
        <f aca="false">IF(OR(B636="",D636=""),"",IFERROR(IF(IF(E636="Primary",INDEX(Applications!$I$5:$I$600,MATCH(B636,Applications!$A$5:$A$600,0)),IF(E636="Secondary",INDEX(Applications!$J$5:$J$600,MATCH(B636,Applications!$A$5:$A$600,0)),INDEX(Applications!$K$5:$K$600,MATCH(B636,Applications!$A$5:$A$600,0))))=D636,"OK","Not assigned"),"Check ID"))</f>
        <v>OK</v>
      </c>
      <c r="O636" s="7"/>
    </row>
    <row r="637" customFormat="false" ht="15" hidden="false" customHeight="false" outlineLevel="0" collapsed="false">
      <c r="A637" s="35" t="s">
        <v>2034</v>
      </c>
      <c r="B637" s="35" t="s">
        <v>887</v>
      </c>
      <c r="C637" s="37" t="str">
        <f aca="false">IF(B637="","",IFERROR(INDEX(Applications!$B$5:$B$600,MATCH(B637,Applications!$A$5:$A$600,0)),"Application ID not found"))</f>
        <v>Cusco Farm Collective</v>
      </c>
      <c r="D637" s="35" t="s">
        <v>82</v>
      </c>
      <c r="E637" s="35" t="s">
        <v>80</v>
      </c>
      <c r="F637" s="36" t="n">
        <v>45947</v>
      </c>
      <c r="G637" s="35" t="n">
        <v>4</v>
      </c>
      <c r="H637" s="35" t="n">
        <v>4</v>
      </c>
      <c r="I637" s="35" t="n">
        <v>3</v>
      </c>
      <c r="J637" s="35" t="n">
        <v>3</v>
      </c>
      <c r="K637" s="35" t="n">
        <v>3</v>
      </c>
      <c r="L637" s="35" t="n">
        <v>4</v>
      </c>
      <c r="M637" s="50" t="n">
        <f aca="false">IF(COUNT(G637:L637)&lt;6,"",ROUND((G637*Rubric!$D$5+H637*Rubric!$D$6+I637*Rubric!$D$7+J637*Rubric!$D$8+K637*Rubric!$D$9+L637*Rubric!$D$10)/5*100,1))</f>
        <v>71</v>
      </c>
      <c r="N637" s="37" t="str">
        <f aca="false">IF(OR(B637="",D637=""),"",IFERROR(IF(IF(E637="Primary",INDEX(Applications!$I$5:$I$600,MATCH(B637,Applications!$A$5:$A$600,0)),IF(E637="Secondary",INDEX(Applications!$J$5:$J$600,MATCH(B637,Applications!$A$5:$A$600,0)),INDEX(Applications!$K$5:$K$600,MATCH(B637,Applications!$A$5:$A$600,0))))=D637,"OK","Not assigned"),"Check ID"))</f>
        <v>OK</v>
      </c>
      <c r="O637" s="7"/>
    </row>
    <row r="638" customFormat="false" ht="15" hidden="false" customHeight="false" outlineLevel="0" collapsed="false">
      <c r="A638" s="35" t="s">
        <v>2035</v>
      </c>
      <c r="B638" s="35" t="s">
        <v>559</v>
      </c>
      <c r="C638" s="37" t="str">
        <f aca="false">IF(B638="","",IFERROR(INDEX(Applications!$B$5:$B$600,MATCH(B638,Applications!$A$5:$A$600,0)),"Application ID not found"))</f>
        <v>Stonebridge Seed Library</v>
      </c>
      <c r="D638" s="35" t="s">
        <v>82</v>
      </c>
      <c r="E638" s="35" t="s">
        <v>80</v>
      </c>
      <c r="F638" s="36" t="n">
        <v>45947</v>
      </c>
      <c r="G638" s="35" t="n">
        <v>4</v>
      </c>
      <c r="H638" s="35" t="n">
        <v>3</v>
      </c>
      <c r="I638" s="35" t="n">
        <v>3</v>
      </c>
      <c r="J638" s="35" t="n">
        <v>4</v>
      </c>
      <c r="K638" s="35" t="n">
        <v>3</v>
      </c>
      <c r="L638" s="35" t="n">
        <v>4</v>
      </c>
      <c r="M638" s="50" t="n">
        <f aca="false">IF(COUNT(G638:L638)&lt;6,"",ROUND((G638*Rubric!$D$5+H638*Rubric!$D$6+I638*Rubric!$D$7+J638*Rubric!$D$8+K638*Rubric!$D$9+L638*Rubric!$D$10)/5*100,1))</f>
        <v>70</v>
      </c>
      <c r="N638" s="37" t="str">
        <f aca="false">IF(OR(B638="",D638=""),"",IFERROR(IF(IF(E638="Primary",INDEX(Applications!$I$5:$I$600,MATCH(B638,Applications!$A$5:$A$600,0)),IF(E638="Secondary",INDEX(Applications!$J$5:$J$600,MATCH(B638,Applications!$A$5:$A$600,0)),INDEX(Applications!$K$5:$K$600,MATCH(B638,Applications!$A$5:$A$600,0))))=D638,"OK","Not assigned"),"Check ID"))</f>
        <v>OK</v>
      </c>
      <c r="O638" s="7"/>
    </row>
    <row r="639" customFormat="false" ht="15" hidden="false" customHeight="false" outlineLevel="0" collapsed="false">
      <c r="A639" s="35" t="s">
        <v>2036</v>
      </c>
      <c r="B639" s="35" t="s">
        <v>1107</v>
      </c>
      <c r="C639" s="37" t="str">
        <f aca="false">IF(B639="","",IFERROR(INDEX(Applications!$B$5:$B$600,MATCH(B639,Applications!$A$5:$A$600,0)),"Application ID not found"))</f>
        <v>Open Door Family Center</v>
      </c>
      <c r="D639" s="35" t="s">
        <v>82</v>
      </c>
      <c r="E639" s="35" t="s">
        <v>83</v>
      </c>
      <c r="F639" s="36" t="n">
        <v>45947</v>
      </c>
      <c r="G639" s="35" t="n">
        <v>2</v>
      </c>
      <c r="H639" s="35" t="n">
        <v>3</v>
      </c>
      <c r="I639" s="35" t="n">
        <v>3</v>
      </c>
      <c r="J639" s="35" t="n">
        <v>2</v>
      </c>
      <c r="K639" s="35" t="n">
        <v>3</v>
      </c>
      <c r="L639" s="35" t="n">
        <v>3</v>
      </c>
      <c r="M639" s="50" t="n">
        <f aca="false">IF(COUNT(G639:L639)&lt;6,"",ROUND((G639*Rubric!$D$5+H639*Rubric!$D$6+I639*Rubric!$D$7+J639*Rubric!$D$8+K639*Rubric!$D$9+L639*Rubric!$D$10)/5*100,1))</f>
        <v>52</v>
      </c>
      <c r="N639" s="37" t="str">
        <f aca="false">IF(OR(B639="",D639=""),"",IFERROR(IF(IF(E639="Primary",INDEX(Applications!$I$5:$I$600,MATCH(B639,Applications!$A$5:$A$600,0)),IF(E639="Secondary",INDEX(Applications!$J$5:$J$600,MATCH(B639,Applications!$A$5:$A$600,0)),INDEX(Applications!$K$5:$K$600,MATCH(B639,Applications!$A$5:$A$600,0))))=D639,"OK","Not assigned"),"Check ID"))</f>
        <v>OK</v>
      </c>
      <c r="O639" s="7"/>
    </row>
    <row r="640" customFormat="false" ht="15" hidden="false" customHeight="false" outlineLevel="0" collapsed="false">
      <c r="A640" s="35" t="s">
        <v>2037</v>
      </c>
      <c r="B640" s="35" t="s">
        <v>366</v>
      </c>
      <c r="C640" s="37" t="str">
        <f aca="false">IF(B640="","",IFERROR(INDEX(Applications!$B$5:$B$600,MATCH(B640,Applications!$A$5:$A$600,0)),"Application ID not found"))</f>
        <v>Des Moines Mobile Market</v>
      </c>
      <c r="D640" s="35" t="s">
        <v>82</v>
      </c>
      <c r="E640" s="35" t="s">
        <v>83</v>
      </c>
      <c r="F640" s="36" t="n">
        <v>45947</v>
      </c>
      <c r="G640" s="35" t="n">
        <v>4</v>
      </c>
      <c r="H640" s="35" t="n">
        <v>3</v>
      </c>
      <c r="I640" s="35" t="n">
        <v>4</v>
      </c>
      <c r="J640" s="35" t="n">
        <v>4</v>
      </c>
      <c r="K640" s="35" t="n">
        <v>4</v>
      </c>
      <c r="L640" s="35" t="n">
        <v>4</v>
      </c>
      <c r="M640" s="50" t="n">
        <f aca="false">IF(COUNT(G640:L640)&lt;6,"",ROUND((G640*Rubric!$D$5+H640*Rubric!$D$6+I640*Rubric!$D$7+J640*Rubric!$D$8+K640*Rubric!$D$9+L640*Rubric!$D$10)/5*100,1))</f>
        <v>76</v>
      </c>
      <c r="N640" s="37" t="str">
        <f aca="false">IF(OR(B640="",D640=""),"",IFERROR(IF(IF(E640="Primary",INDEX(Applications!$I$5:$I$600,MATCH(B640,Applications!$A$5:$A$600,0)),IF(E640="Secondary",INDEX(Applications!$J$5:$J$600,MATCH(B640,Applications!$A$5:$A$600,0)),INDEX(Applications!$K$5:$K$600,MATCH(B640,Applications!$A$5:$A$600,0))))=D640,"OK","Not assigned"),"Check ID"))</f>
        <v>OK</v>
      </c>
      <c r="O640" s="7"/>
    </row>
    <row r="641" customFormat="false" ht="15" hidden="false" customHeight="false" outlineLevel="0" collapsed="false">
      <c r="A641" s="35" t="s">
        <v>2038</v>
      </c>
      <c r="B641" s="35" t="s">
        <v>907</v>
      </c>
      <c r="C641" s="37" t="str">
        <f aca="false">IF(B641="","",IFERROR(INDEX(Applications!$B$5:$B$600,MATCH(B641,Applications!$A$5:$A$600,0)),"Application ID not found"))</f>
        <v>Pittsburgh Seed Library</v>
      </c>
      <c r="D641" s="35" t="s">
        <v>82</v>
      </c>
      <c r="E641" s="35" t="s">
        <v>83</v>
      </c>
      <c r="F641" s="36" t="n">
        <v>45947</v>
      </c>
      <c r="G641" s="35" t="n">
        <v>4</v>
      </c>
      <c r="H641" s="35" t="n">
        <v>4</v>
      </c>
      <c r="I641" s="35" t="n">
        <v>4</v>
      </c>
      <c r="J641" s="35" t="n">
        <v>4</v>
      </c>
      <c r="K641" s="35" t="n">
        <v>4</v>
      </c>
      <c r="L641" s="35" t="n">
        <v>5</v>
      </c>
      <c r="M641" s="50" t="n">
        <f aca="false">IF(COUNT(G641:L641)&lt;6,"",ROUND((G641*Rubric!$D$5+H641*Rubric!$D$6+I641*Rubric!$D$7+J641*Rubric!$D$8+K641*Rubric!$D$9+L641*Rubric!$D$10)/5*100,1))</f>
        <v>82</v>
      </c>
      <c r="N641" s="37" t="str">
        <f aca="false">IF(OR(B641="",D641=""),"",IFERROR(IF(IF(E641="Primary",INDEX(Applications!$I$5:$I$600,MATCH(B641,Applications!$A$5:$A$600,0)),IF(E641="Secondary",INDEX(Applications!$J$5:$J$600,MATCH(B641,Applications!$A$5:$A$600,0)),INDEX(Applications!$K$5:$K$600,MATCH(B641,Applications!$A$5:$A$600,0))))=D641,"OK","Not assigned"),"Check ID"))</f>
        <v>OK</v>
      </c>
      <c r="O641" s="7"/>
    </row>
    <row r="642" customFormat="false" ht="15" hidden="false" customHeight="false" outlineLevel="0" collapsed="false">
      <c r="A642" s="35" t="s">
        <v>2039</v>
      </c>
      <c r="B642" s="35" t="s">
        <v>927</v>
      </c>
      <c r="C642" s="37" t="str">
        <f aca="false">IF(B642="","",IFERROR(INDEX(Applications!$B$5:$B$600,MATCH(B642,Applications!$A$5:$A$600,0)),"Application ID not found"))</f>
        <v>Salvador Mobile Market</v>
      </c>
      <c r="D642" s="35" t="s">
        <v>82</v>
      </c>
      <c r="E642" s="35" t="s">
        <v>80</v>
      </c>
      <c r="F642" s="36" t="n">
        <v>45947</v>
      </c>
      <c r="G642" s="35" t="n">
        <v>3</v>
      </c>
      <c r="H642" s="35" t="n">
        <v>2</v>
      </c>
      <c r="I642" s="35" t="n">
        <v>3</v>
      </c>
      <c r="J642" s="35" t="n">
        <v>3</v>
      </c>
      <c r="K642" s="35" t="n">
        <v>3</v>
      </c>
      <c r="L642" s="35" t="n">
        <v>3</v>
      </c>
      <c r="M642" s="50" t="n">
        <f aca="false">IF(COUNT(G642:L642)&lt;6,"",ROUND((G642*Rubric!$D$5+H642*Rubric!$D$6+I642*Rubric!$D$7+J642*Rubric!$D$8+K642*Rubric!$D$9+L642*Rubric!$D$10)/5*100,1))</f>
        <v>56</v>
      </c>
      <c r="N642" s="37" t="str">
        <f aca="false">IF(OR(B642="",D642=""),"",IFERROR(IF(IF(E642="Primary",INDEX(Applications!$I$5:$I$600,MATCH(B642,Applications!$A$5:$A$600,0)),IF(E642="Secondary",INDEX(Applications!$J$5:$J$600,MATCH(B642,Applications!$A$5:$A$600,0)),INDEX(Applications!$K$5:$K$600,MATCH(B642,Applications!$A$5:$A$600,0))))=D642,"OK","Not assigned"),"Check ID"))</f>
        <v>OK</v>
      </c>
      <c r="O642" s="7"/>
    </row>
    <row r="643" customFormat="false" ht="15" hidden="false" customHeight="false" outlineLevel="0" collapsed="false">
      <c r="A643" s="35" t="s">
        <v>2040</v>
      </c>
      <c r="B643" s="35" t="s">
        <v>1381</v>
      </c>
      <c r="C643" s="37" t="str">
        <f aca="false">IF(B643="","",IFERROR(INDEX(Applications!$B$5:$B$600,MATCH(B643,Applications!$A$5:$A$600,0)),"Application ID not found"))</f>
        <v>Cedar Youth Food Lab</v>
      </c>
      <c r="D643" s="35" t="s">
        <v>82</v>
      </c>
      <c r="E643" s="35" t="s">
        <v>83</v>
      </c>
      <c r="F643" s="36" t="n">
        <v>45947</v>
      </c>
      <c r="G643" s="35" t="n">
        <v>2</v>
      </c>
      <c r="H643" s="35" t="n">
        <v>3</v>
      </c>
      <c r="I643" s="35" t="n">
        <v>2</v>
      </c>
      <c r="J643" s="35" t="n">
        <v>2</v>
      </c>
      <c r="K643" s="35" t="n">
        <v>3</v>
      </c>
      <c r="L643" s="35" t="n">
        <v>3</v>
      </c>
      <c r="M643" s="50" t="n">
        <f aca="false">IF(COUNT(G643:L643)&lt;6,"",ROUND((G643*Rubric!$D$5+H643*Rubric!$D$6+I643*Rubric!$D$7+J643*Rubric!$D$8+K643*Rubric!$D$9+L643*Rubric!$D$10)/5*100,1))</f>
        <v>48</v>
      </c>
      <c r="N643" s="37" t="str">
        <f aca="false">IF(OR(B643="",D643=""),"",IFERROR(IF(IF(E643="Primary",INDEX(Applications!$I$5:$I$600,MATCH(B643,Applications!$A$5:$A$600,0)),IF(E643="Secondary",INDEX(Applications!$J$5:$J$600,MATCH(B643,Applications!$A$5:$A$600,0)),INDEX(Applications!$K$5:$K$600,MATCH(B643,Applications!$A$5:$A$600,0))))=D643,"OK","Not assigned"),"Check ID"))</f>
        <v>OK</v>
      </c>
      <c r="O643" s="7"/>
    </row>
    <row r="644" customFormat="false" ht="15" hidden="false" customHeight="false" outlineLevel="0" collapsed="false">
      <c r="A644" s="35" t="s">
        <v>2041</v>
      </c>
      <c r="B644" s="35" t="s">
        <v>414</v>
      </c>
      <c r="C644" s="37" t="str">
        <f aca="false">IF(B644="","",IFERROR(INDEX(Applications!$B$5:$B$600,MATCH(B644,Applications!$A$5:$A$600,0)),"Application ID not found"))</f>
        <v>Two Rivers Kitchen Project</v>
      </c>
      <c r="D644" s="35" t="s">
        <v>82</v>
      </c>
      <c r="E644" s="35" t="s">
        <v>83</v>
      </c>
      <c r="F644" s="36" t="n">
        <v>45947</v>
      </c>
      <c r="G644" s="35" t="n">
        <v>3</v>
      </c>
      <c r="H644" s="35" t="n">
        <v>3</v>
      </c>
      <c r="I644" s="35" t="n">
        <v>4</v>
      </c>
      <c r="J644" s="35" t="n">
        <v>4</v>
      </c>
      <c r="K644" s="35" t="n">
        <v>3</v>
      </c>
      <c r="L644" s="35" t="n">
        <v>3</v>
      </c>
      <c r="M644" s="50" t="n">
        <f aca="false">IF(COUNT(G644:L644)&lt;6,"",ROUND((G644*Rubric!$D$5+H644*Rubric!$D$6+I644*Rubric!$D$7+J644*Rubric!$D$8+K644*Rubric!$D$9+L644*Rubric!$D$10)/5*100,1))</f>
        <v>67</v>
      </c>
      <c r="N644" s="37" t="str">
        <f aca="false">IF(OR(B644="",D644=""),"",IFERROR(IF(IF(E644="Primary",INDEX(Applications!$I$5:$I$600,MATCH(B644,Applications!$A$5:$A$600,0)),IF(E644="Secondary",INDEX(Applications!$J$5:$J$600,MATCH(B644,Applications!$A$5:$A$600,0)),INDEX(Applications!$K$5:$K$600,MATCH(B644,Applications!$A$5:$A$600,0))))=D644,"OK","Not assigned"),"Check ID"))</f>
        <v>OK</v>
      </c>
      <c r="O644" s="7"/>
    </row>
    <row r="645" customFormat="false" ht="15" hidden="false" customHeight="false" outlineLevel="0" collapsed="false">
      <c r="A645" s="35" t="s">
        <v>2042</v>
      </c>
      <c r="B645" s="35" t="s">
        <v>444</v>
      </c>
      <c r="C645" s="37" t="str">
        <f aca="false">IF(B645="","",IFERROR(INDEX(Applications!$B$5:$B$600,MATCH(B645,Applications!$A$5:$A$600,0)),"Application ID not found"))</f>
        <v>Milwaukee Community Pantry</v>
      </c>
      <c r="D645" s="35" t="s">
        <v>82</v>
      </c>
      <c r="E645" s="35" t="s">
        <v>86</v>
      </c>
      <c r="F645" s="36" t="n">
        <v>45947</v>
      </c>
      <c r="G645" s="35" t="n">
        <v>3</v>
      </c>
      <c r="H645" s="35" t="n">
        <v>3</v>
      </c>
      <c r="I645" s="35" t="n">
        <v>3</v>
      </c>
      <c r="J645" s="35" t="n">
        <v>4</v>
      </c>
      <c r="K645" s="35" t="n">
        <v>3</v>
      </c>
      <c r="L645" s="35" t="n">
        <v>4</v>
      </c>
      <c r="M645" s="50" t="n">
        <f aca="false">IF(COUNT(G645:L645)&lt;6,"",ROUND((G645*Rubric!$D$5+H645*Rubric!$D$6+I645*Rubric!$D$7+J645*Rubric!$D$8+K645*Rubric!$D$9+L645*Rubric!$D$10)/5*100,1))</f>
        <v>65</v>
      </c>
      <c r="N645" s="37" t="str">
        <f aca="false">IF(OR(B645="",D645=""),"",IFERROR(IF(IF(E645="Primary",INDEX(Applications!$I$5:$I$600,MATCH(B645,Applications!$A$5:$A$600,0)),IF(E645="Secondary",INDEX(Applications!$J$5:$J$600,MATCH(B645,Applications!$A$5:$A$600,0)),INDEX(Applications!$K$5:$K$600,MATCH(B645,Applications!$A$5:$A$600,0))))=D645,"OK","Not assigned"),"Check ID"))</f>
        <v>OK</v>
      </c>
      <c r="O645" s="7"/>
    </row>
    <row r="646" customFormat="false" ht="15" hidden="false" customHeight="false" outlineLevel="0" collapsed="false">
      <c r="A646" s="35" t="s">
        <v>2043</v>
      </c>
      <c r="B646" s="35" t="s">
        <v>1227</v>
      </c>
      <c r="C646" s="37" t="str">
        <f aca="false">IF(B646="","",IFERROR(INDEX(Applications!$B$5:$B$600,MATCH(B646,Applications!$A$5:$A$600,0)),"Application ID not found"))</f>
        <v>Maple Street Seed Library</v>
      </c>
      <c r="D646" s="35" t="s">
        <v>88</v>
      </c>
      <c r="E646" s="35" t="s">
        <v>80</v>
      </c>
      <c r="F646" s="36" t="n">
        <v>45947</v>
      </c>
      <c r="G646" s="35" t="n">
        <v>4</v>
      </c>
      <c r="H646" s="35" t="n">
        <v>4</v>
      </c>
      <c r="I646" s="35" t="n">
        <v>4</v>
      </c>
      <c r="J646" s="35" t="n">
        <v>4</v>
      </c>
      <c r="K646" s="35" t="n">
        <v>4</v>
      </c>
      <c r="L646" s="35" t="n">
        <v>5</v>
      </c>
      <c r="M646" s="50" t="n">
        <f aca="false">IF(COUNT(G646:L646)&lt;6,"",ROUND((G646*Rubric!$D$5+H646*Rubric!$D$6+I646*Rubric!$D$7+J646*Rubric!$D$8+K646*Rubric!$D$9+L646*Rubric!$D$10)/5*100,1))</f>
        <v>82</v>
      </c>
      <c r="N646" s="37" t="str">
        <f aca="false">IF(OR(B646="",D646=""),"",IFERROR(IF(IF(E646="Primary",INDEX(Applications!$I$5:$I$600,MATCH(B646,Applications!$A$5:$A$600,0)),IF(E646="Secondary",INDEX(Applications!$J$5:$J$600,MATCH(B646,Applications!$A$5:$A$600,0)),INDEX(Applications!$K$5:$K$600,MATCH(B646,Applications!$A$5:$A$600,0))))=D646,"OK","Not assigned"),"Check ID"))</f>
        <v>OK</v>
      </c>
      <c r="O646" s="7"/>
    </row>
    <row r="647" customFormat="false" ht="15" hidden="false" customHeight="false" outlineLevel="0" collapsed="false">
      <c r="A647" s="35" t="s">
        <v>2044</v>
      </c>
      <c r="B647" s="35" t="s">
        <v>292</v>
      </c>
      <c r="C647" s="37" t="str">
        <f aca="false">IF(B647="","",IFERROR(INDEX(Applications!$B$5:$B$600,MATCH(B647,Applications!$A$5:$A$600,0)),"Application ID not found"))</f>
        <v>Tucson Culinary Works</v>
      </c>
      <c r="D647" s="35" t="s">
        <v>88</v>
      </c>
      <c r="E647" s="35" t="s">
        <v>83</v>
      </c>
      <c r="F647" s="36" t="n">
        <v>45947</v>
      </c>
      <c r="G647" s="35" t="n">
        <v>2</v>
      </c>
      <c r="H647" s="35" t="n">
        <v>3</v>
      </c>
      <c r="I647" s="35" t="n">
        <v>3</v>
      </c>
      <c r="J647" s="35" t="n">
        <v>2</v>
      </c>
      <c r="K647" s="35" t="n">
        <v>3</v>
      </c>
      <c r="L647" s="35" t="n">
        <v>2</v>
      </c>
      <c r="M647" s="50" t="n">
        <f aca="false">IF(COUNT(G647:L647)&lt;6,"",ROUND((G647*Rubric!$D$5+H647*Rubric!$D$6+I647*Rubric!$D$7+J647*Rubric!$D$8+K647*Rubric!$D$9+L647*Rubric!$D$10)/5*100,1))</f>
        <v>50</v>
      </c>
      <c r="N647" s="37" t="str">
        <f aca="false">IF(OR(B647="",D647=""),"",IFERROR(IF(IF(E647="Primary",INDEX(Applications!$I$5:$I$600,MATCH(B647,Applications!$A$5:$A$600,0)),IF(E647="Secondary",INDEX(Applications!$J$5:$J$600,MATCH(B647,Applications!$A$5:$A$600,0)),INDEX(Applications!$K$5:$K$600,MATCH(B647,Applications!$A$5:$A$600,0))))=D647,"OK","Not assigned"),"Check ID"))</f>
        <v>OK</v>
      </c>
      <c r="O647" s="7"/>
    </row>
    <row r="648" customFormat="false" ht="15" hidden="false" customHeight="false" outlineLevel="0" collapsed="false">
      <c r="A648" s="35" t="s">
        <v>2045</v>
      </c>
      <c r="B648" s="35" t="s">
        <v>440</v>
      </c>
      <c r="C648" s="37" t="str">
        <f aca="false">IF(B648="","",IFERROR(INDEX(Applications!$B$5:$B$600,MATCH(B648,Applications!$A$5:$A$600,0)),"Application ID not found"))</f>
        <v>Old Town Mobile Market</v>
      </c>
      <c r="D648" s="35" t="s">
        <v>88</v>
      </c>
      <c r="E648" s="35" t="s">
        <v>80</v>
      </c>
      <c r="F648" s="36" t="n">
        <v>45947</v>
      </c>
      <c r="G648" s="35" t="n">
        <v>3</v>
      </c>
      <c r="H648" s="35" t="n">
        <v>3</v>
      </c>
      <c r="I648" s="35" t="n">
        <v>3</v>
      </c>
      <c r="J648" s="35" t="n">
        <v>3</v>
      </c>
      <c r="K648" s="35" t="n">
        <v>2</v>
      </c>
      <c r="L648" s="35" t="n">
        <v>3</v>
      </c>
      <c r="M648" s="50" t="n">
        <f aca="false">IF(COUNT(G648:L648)&lt;6,"",ROUND((G648*Rubric!$D$5+H648*Rubric!$D$6+I648*Rubric!$D$7+J648*Rubric!$D$8+K648*Rubric!$D$9+L648*Rubric!$D$10)/5*100,1))</f>
        <v>58</v>
      </c>
      <c r="N648" s="37" t="str">
        <f aca="false">IF(OR(B648="",D648=""),"",IFERROR(IF(IF(E648="Primary",INDEX(Applications!$I$5:$I$600,MATCH(B648,Applications!$A$5:$A$600,0)),IF(E648="Secondary",INDEX(Applications!$J$5:$J$600,MATCH(B648,Applications!$A$5:$A$600,0)),INDEX(Applications!$K$5:$K$600,MATCH(B648,Applications!$A$5:$A$600,0))))=D648,"OK","Not assigned"),"Check ID"))</f>
        <v>OK</v>
      </c>
      <c r="O648" s="7"/>
    </row>
    <row r="649" customFormat="false" ht="15" hidden="false" customHeight="false" outlineLevel="0" collapsed="false">
      <c r="A649" s="35" t="s">
        <v>2046</v>
      </c>
      <c r="B649" s="35" t="s">
        <v>1171</v>
      </c>
      <c r="C649" s="37" t="str">
        <f aca="false">IF(B649="","",IFERROR(INDEX(Applications!$B$5:$B$600,MATCH(B649,Applications!$A$5:$A$600,0)),"Application ID not found"))</f>
        <v>Peoria Farm School</v>
      </c>
      <c r="D649" s="35" t="s">
        <v>88</v>
      </c>
      <c r="E649" s="35" t="s">
        <v>83</v>
      </c>
      <c r="F649" s="36" t="n">
        <v>45947</v>
      </c>
      <c r="G649" s="35" t="n">
        <v>3</v>
      </c>
      <c r="H649" s="35" t="n">
        <v>4</v>
      </c>
      <c r="I649" s="35" t="n">
        <v>3</v>
      </c>
      <c r="J649" s="35" t="n">
        <v>4</v>
      </c>
      <c r="K649" s="35" t="n">
        <v>3</v>
      </c>
      <c r="L649" s="35" t="n">
        <v>4</v>
      </c>
      <c r="M649" s="50" t="n">
        <f aca="false">IF(COUNT(G649:L649)&lt;6,"",ROUND((G649*Rubric!$D$5+H649*Rubric!$D$6+I649*Rubric!$D$7+J649*Rubric!$D$8+K649*Rubric!$D$9+L649*Rubric!$D$10)/5*100,1))</f>
        <v>69</v>
      </c>
      <c r="N649" s="37" t="str">
        <f aca="false">IF(OR(B649="",D649=""),"",IFERROR(IF(IF(E649="Primary",INDEX(Applications!$I$5:$I$600,MATCH(B649,Applications!$A$5:$A$600,0)),IF(E649="Secondary",INDEX(Applications!$J$5:$J$600,MATCH(B649,Applications!$A$5:$A$600,0)),INDEX(Applications!$K$5:$K$600,MATCH(B649,Applications!$A$5:$A$600,0))))=D649,"OK","Not assigned"),"Check ID"))</f>
        <v>OK</v>
      </c>
      <c r="O649" s="7" t="s">
        <v>1402</v>
      </c>
    </row>
    <row r="650" customFormat="false" ht="15" hidden="false" customHeight="false" outlineLevel="0" collapsed="false">
      <c r="A650" s="35" t="s">
        <v>2047</v>
      </c>
      <c r="B650" s="35" t="s">
        <v>1117</v>
      </c>
      <c r="C650" s="37" t="str">
        <f aca="false">IF(B650="","",IFERROR(INDEX(Applications!$B$5:$B$600,MATCH(B650,Applications!$A$5:$A$600,0)),"Application ID not found"))</f>
        <v>Willow Run Farm Collective</v>
      </c>
      <c r="D650" s="35" t="s">
        <v>88</v>
      </c>
      <c r="E650" s="35" t="s">
        <v>80</v>
      </c>
      <c r="F650" s="36" t="n">
        <v>45947</v>
      </c>
      <c r="G650" s="35" t="n">
        <v>3</v>
      </c>
      <c r="H650" s="35" t="n">
        <v>3</v>
      </c>
      <c r="I650" s="35" t="n">
        <v>3</v>
      </c>
      <c r="J650" s="35" t="n">
        <v>4</v>
      </c>
      <c r="K650" s="35" t="n">
        <v>4</v>
      </c>
      <c r="L650" s="35" t="n">
        <v>4</v>
      </c>
      <c r="M650" s="50" t="n">
        <f aca="false">IF(COUNT(G650:L650)&lt;6,"",ROUND((G650*Rubric!$D$5+H650*Rubric!$D$6+I650*Rubric!$D$7+J650*Rubric!$D$8+K650*Rubric!$D$9+L650*Rubric!$D$10)/5*100,1))</f>
        <v>67</v>
      </c>
      <c r="N650" s="37" t="str">
        <f aca="false">IF(OR(B650="",D650=""),"",IFERROR(IF(IF(E650="Primary",INDEX(Applications!$I$5:$I$600,MATCH(B650,Applications!$A$5:$A$600,0)),IF(E650="Secondary",INDEX(Applications!$J$5:$J$600,MATCH(B650,Applications!$A$5:$A$600,0)),INDEX(Applications!$K$5:$K$600,MATCH(B650,Applications!$A$5:$A$600,0))))=D650,"OK","Not assigned"),"Check ID"))</f>
        <v>OK</v>
      </c>
      <c r="O650" s="7"/>
    </row>
    <row r="651" customFormat="false" ht="15" hidden="false" customHeight="false" outlineLevel="0" collapsed="false">
      <c r="A651" s="35" t="s">
        <v>2048</v>
      </c>
      <c r="B651" s="35" t="s">
        <v>548</v>
      </c>
      <c r="C651" s="37" t="str">
        <f aca="false">IF(B651="","",IFERROR(INDEX(Applications!$B$5:$B$600,MATCH(B651,Applications!$A$5:$A$600,0)),"Application ID not found"))</f>
        <v>Cedar Growers Cooperative</v>
      </c>
      <c r="D651" s="35" t="s">
        <v>88</v>
      </c>
      <c r="E651" s="35" t="s">
        <v>80</v>
      </c>
      <c r="F651" s="36" t="n">
        <v>45947</v>
      </c>
      <c r="G651" s="35" t="n">
        <v>3</v>
      </c>
      <c r="H651" s="35" t="n">
        <v>4</v>
      </c>
      <c r="I651" s="35" t="n">
        <v>4</v>
      </c>
      <c r="J651" s="35" t="n">
        <v>3</v>
      </c>
      <c r="K651" s="35" t="n">
        <v>3</v>
      </c>
      <c r="L651" s="35" t="n">
        <v>4</v>
      </c>
      <c r="M651" s="50" t="n">
        <f aca="false">IF(COUNT(G651:L651)&lt;6,"",ROUND((G651*Rubric!$D$5+H651*Rubric!$D$6+I651*Rubric!$D$7+J651*Rubric!$D$8+K651*Rubric!$D$9+L651*Rubric!$D$10)/5*100,1))</f>
        <v>70</v>
      </c>
      <c r="N651" s="37" t="str">
        <f aca="false">IF(OR(B651="",D651=""),"",IFERROR(IF(IF(E651="Primary",INDEX(Applications!$I$5:$I$600,MATCH(B651,Applications!$A$5:$A$600,0)),IF(E651="Secondary",INDEX(Applications!$J$5:$J$600,MATCH(B651,Applications!$A$5:$A$600,0)),INDEX(Applications!$K$5:$K$600,MATCH(B651,Applications!$A$5:$A$600,0))))=D651,"OK","Not assigned"),"Check ID"))</f>
        <v>OK</v>
      </c>
      <c r="O651" s="7"/>
    </row>
    <row r="652" customFormat="false" ht="15" hidden="false" customHeight="false" outlineLevel="0" collapsed="false">
      <c r="A652" s="35" t="s">
        <v>2049</v>
      </c>
      <c r="B652" s="35" t="s">
        <v>394</v>
      </c>
      <c r="C652" s="37" t="str">
        <f aca="false">IF(B652="","",IFERROR(INDEX(Applications!$B$5:$B$600,MATCH(B652,Applications!$A$5:$A$600,0)),"Application ID not found"))</f>
        <v>Memphis Community Kitchen</v>
      </c>
      <c r="D652" s="35" t="s">
        <v>88</v>
      </c>
      <c r="E652" s="35" t="s">
        <v>80</v>
      </c>
      <c r="F652" s="36" t="n">
        <v>45947</v>
      </c>
      <c r="G652" s="35" t="n">
        <v>1</v>
      </c>
      <c r="H652" s="35" t="n">
        <v>2</v>
      </c>
      <c r="I652" s="35" t="n">
        <v>3</v>
      </c>
      <c r="J652" s="35" t="n">
        <v>2</v>
      </c>
      <c r="K652" s="35" t="n">
        <v>2</v>
      </c>
      <c r="L652" s="35" t="n">
        <v>2</v>
      </c>
      <c r="M652" s="50" t="n">
        <f aca="false">IF(COUNT(G652:L652)&lt;6,"",ROUND((G652*Rubric!$D$5+H652*Rubric!$D$6+I652*Rubric!$D$7+J652*Rubric!$D$8+K652*Rubric!$D$9+L652*Rubric!$D$10)/5*100,1))</f>
        <v>39</v>
      </c>
      <c r="N652" s="37" t="str">
        <f aca="false">IF(OR(B652="",D652=""),"",IFERROR(IF(IF(E652="Primary",INDEX(Applications!$I$5:$I$600,MATCH(B652,Applications!$A$5:$A$600,0)),IF(E652="Secondary",INDEX(Applications!$J$5:$J$600,MATCH(B652,Applications!$A$5:$A$600,0)),INDEX(Applications!$K$5:$K$600,MATCH(B652,Applications!$A$5:$A$600,0))))=D652,"OK","Not assigned"),"Check ID"))</f>
        <v>OK</v>
      </c>
      <c r="O652" s="7"/>
    </row>
    <row r="653" customFormat="false" ht="15" hidden="false" customHeight="false" outlineLevel="0" collapsed="false">
      <c r="A653" s="35" t="s">
        <v>2050</v>
      </c>
      <c r="B653" s="35" t="s">
        <v>781</v>
      </c>
      <c r="C653" s="37" t="str">
        <f aca="false">IF(B653="","",IFERROR(INDEX(Applications!$B$5:$B$600,MATCH(B653,Applications!$A$5:$A$600,0)),"Application ID not found"))</f>
        <v>Union Square Mobile Market</v>
      </c>
      <c r="D653" s="35" t="s">
        <v>88</v>
      </c>
      <c r="E653" s="35" t="s">
        <v>80</v>
      </c>
      <c r="F653" s="36" t="n">
        <v>45947</v>
      </c>
      <c r="G653" s="35" t="n">
        <v>3</v>
      </c>
      <c r="H653" s="35" t="n">
        <v>4</v>
      </c>
      <c r="I653" s="35" t="n">
        <v>3</v>
      </c>
      <c r="J653" s="35" t="n">
        <v>3</v>
      </c>
      <c r="K653" s="35" t="n">
        <v>3</v>
      </c>
      <c r="L653" s="35" t="n">
        <v>4</v>
      </c>
      <c r="M653" s="50" t="n">
        <f aca="false">IF(COUNT(G653:L653)&lt;6,"",ROUND((G653*Rubric!$D$5+H653*Rubric!$D$6+I653*Rubric!$D$7+J653*Rubric!$D$8+K653*Rubric!$D$9+L653*Rubric!$D$10)/5*100,1))</f>
        <v>66</v>
      </c>
      <c r="N653" s="37" t="str">
        <f aca="false">IF(OR(B653="",D653=""),"",IFERROR(IF(IF(E653="Primary",INDEX(Applications!$I$5:$I$600,MATCH(B653,Applications!$A$5:$A$600,0)),IF(E653="Secondary",INDEX(Applications!$J$5:$J$600,MATCH(B653,Applications!$A$5:$A$600,0)),INDEX(Applications!$K$5:$K$600,MATCH(B653,Applications!$A$5:$A$600,0))))=D653,"OK","Not assigned"),"Check ID"))</f>
        <v>OK</v>
      </c>
      <c r="O653" s="7"/>
    </row>
    <row r="654" customFormat="false" ht="15" hidden="false" customHeight="false" outlineLevel="0" collapsed="false">
      <c r="A654" s="35" t="s">
        <v>2051</v>
      </c>
      <c r="B654" s="35" t="s">
        <v>569</v>
      </c>
      <c r="C654" s="37" t="str">
        <f aca="false">IF(B654="","",IFERROR(INDEX(Applications!$B$5:$B$600,MATCH(B654,Applications!$A$5:$A$600,0)),"Application ID not found"))</f>
        <v>Crossroads Community Kitchen</v>
      </c>
      <c r="D654" s="35" t="s">
        <v>88</v>
      </c>
      <c r="E654" s="35" t="s">
        <v>83</v>
      </c>
      <c r="F654" s="36" t="n">
        <v>45947</v>
      </c>
      <c r="G654" s="35" t="n">
        <v>2</v>
      </c>
      <c r="H654" s="35" t="n">
        <v>2</v>
      </c>
      <c r="I654" s="35" t="n">
        <v>2</v>
      </c>
      <c r="J654" s="35" t="n">
        <v>2</v>
      </c>
      <c r="K654" s="35" t="n">
        <v>2</v>
      </c>
      <c r="L654" s="35" t="n">
        <v>3</v>
      </c>
      <c r="M654" s="50" t="n">
        <f aca="false">IF(COUNT(G654:L654)&lt;6,"",ROUND((G654*Rubric!$D$5+H654*Rubric!$D$6+I654*Rubric!$D$7+J654*Rubric!$D$8+K654*Rubric!$D$9+L654*Rubric!$D$10)/5*100,1))</f>
        <v>42</v>
      </c>
      <c r="N654" s="37" t="str">
        <f aca="false">IF(OR(B654="",D654=""),"",IFERROR(IF(IF(E654="Primary",INDEX(Applications!$I$5:$I$600,MATCH(B654,Applications!$A$5:$A$600,0)),IF(E654="Secondary",INDEX(Applications!$J$5:$J$600,MATCH(B654,Applications!$A$5:$A$600,0)),INDEX(Applications!$K$5:$K$600,MATCH(B654,Applications!$A$5:$A$600,0))))=D654,"OK","Not assigned"),"Check ID"))</f>
        <v>OK</v>
      </c>
      <c r="O654" s="7"/>
    </row>
    <row r="655" customFormat="false" ht="15" hidden="false" customHeight="false" outlineLevel="0" collapsed="false">
      <c r="A655" s="35" t="s">
        <v>2052</v>
      </c>
      <c r="B655" s="35" t="s">
        <v>284</v>
      </c>
      <c r="C655" s="37" t="str">
        <f aca="false">IF(B655="","",IFERROR(INDEX(Applications!$B$5:$B$600,MATCH(B655,Applications!$A$5:$A$600,0)),"Application ID not found"))</f>
        <v>Thistle Pantry Network</v>
      </c>
      <c r="D655" s="35" t="s">
        <v>88</v>
      </c>
      <c r="E655" s="35" t="s">
        <v>80</v>
      </c>
      <c r="F655" s="36" t="n">
        <v>45947</v>
      </c>
      <c r="G655" s="35" t="n">
        <v>4</v>
      </c>
      <c r="H655" s="35" t="n">
        <v>3</v>
      </c>
      <c r="I655" s="35" t="n">
        <v>3</v>
      </c>
      <c r="J655" s="35" t="n">
        <v>2</v>
      </c>
      <c r="K655" s="35" t="n">
        <v>3</v>
      </c>
      <c r="L655" s="35" t="n">
        <v>3</v>
      </c>
      <c r="M655" s="50" t="n">
        <f aca="false">IF(COUNT(G655:L655)&lt;6,"",ROUND((G655*Rubric!$D$5+H655*Rubric!$D$6+I655*Rubric!$D$7+J655*Rubric!$D$8+K655*Rubric!$D$9+L655*Rubric!$D$10)/5*100,1))</f>
        <v>62</v>
      </c>
      <c r="N655" s="37" t="str">
        <f aca="false">IF(OR(B655="",D655=""),"",IFERROR(IF(IF(E655="Primary",INDEX(Applications!$I$5:$I$600,MATCH(B655,Applications!$A$5:$A$600,0)),IF(E655="Secondary",INDEX(Applications!$J$5:$J$600,MATCH(B655,Applications!$A$5:$A$600,0)),INDEX(Applications!$K$5:$K$600,MATCH(B655,Applications!$A$5:$A$600,0))))=D655,"OK","Not assigned"),"Check ID"))</f>
        <v>OK</v>
      </c>
      <c r="O655" s="7"/>
    </row>
    <row r="656" customFormat="false" ht="15" hidden="false" customHeight="false" outlineLevel="0" collapsed="false">
      <c r="A656" s="35" t="s">
        <v>2053</v>
      </c>
      <c r="B656" s="35" t="s">
        <v>484</v>
      </c>
      <c r="C656" s="37" t="str">
        <f aca="false">IF(B656="","",IFERROR(INDEX(Applications!$B$5:$B$600,MATCH(B656,Applications!$A$5:$A$600,0)),"Application ID not found"))</f>
        <v>Kestrel Bakery Collective</v>
      </c>
      <c r="D656" s="35" t="s">
        <v>88</v>
      </c>
      <c r="E656" s="35" t="s">
        <v>83</v>
      </c>
      <c r="F656" s="36" t="n">
        <v>45947</v>
      </c>
      <c r="G656" s="35" t="n">
        <v>3</v>
      </c>
      <c r="H656" s="35" t="n">
        <v>3</v>
      </c>
      <c r="I656" s="35" t="n">
        <v>3</v>
      </c>
      <c r="J656" s="35" t="n">
        <v>3</v>
      </c>
      <c r="K656" s="35" t="n">
        <v>3</v>
      </c>
      <c r="L656" s="35" t="n">
        <v>3</v>
      </c>
      <c r="M656" s="50" t="n">
        <f aca="false">IF(COUNT(G656:L656)&lt;6,"",ROUND((G656*Rubric!$D$5+H656*Rubric!$D$6+I656*Rubric!$D$7+J656*Rubric!$D$8+K656*Rubric!$D$9+L656*Rubric!$D$10)/5*100,1))</f>
        <v>60</v>
      </c>
      <c r="N656" s="37" t="str">
        <f aca="false">IF(OR(B656="",D656=""),"",IFERROR(IF(IF(E656="Primary",INDEX(Applications!$I$5:$I$600,MATCH(B656,Applications!$A$5:$A$600,0)),IF(E656="Secondary",INDEX(Applications!$J$5:$J$600,MATCH(B656,Applications!$A$5:$A$600,0)),INDEX(Applications!$K$5:$K$600,MATCH(B656,Applications!$A$5:$A$600,0))))=D656,"OK","Not assigned"),"Check ID"))</f>
        <v>OK</v>
      </c>
      <c r="O656" s="7"/>
    </row>
    <row r="657" customFormat="false" ht="15" hidden="false" customHeight="false" outlineLevel="0" collapsed="false">
      <c r="A657" s="35" t="s">
        <v>2054</v>
      </c>
      <c r="B657" s="35" t="s">
        <v>1333</v>
      </c>
      <c r="C657" s="37" t="str">
        <f aca="false">IF(B657="","",IFERROR(INDEX(Applications!$B$5:$B$600,MATCH(B657,Applications!$A$5:$A$600,0)),"Application ID not found"))</f>
        <v>Willow Run Food Shelf</v>
      </c>
      <c r="D657" s="35" t="s">
        <v>88</v>
      </c>
      <c r="E657" s="35" t="s">
        <v>83</v>
      </c>
      <c r="F657" s="36" t="n">
        <v>45947</v>
      </c>
      <c r="G657" s="35" t="n">
        <v>5</v>
      </c>
      <c r="H657" s="35" t="n">
        <v>4</v>
      </c>
      <c r="I657" s="35" t="n">
        <v>4</v>
      </c>
      <c r="J657" s="35" t="n">
        <v>5</v>
      </c>
      <c r="K657" s="35" t="n">
        <v>4</v>
      </c>
      <c r="L657" s="35" t="n">
        <v>5</v>
      </c>
      <c r="M657" s="50" t="n">
        <f aca="false">IF(COUNT(G657:L657)&lt;6,"",ROUND((G657*Rubric!$D$5+H657*Rubric!$D$6+I657*Rubric!$D$7+J657*Rubric!$D$8+K657*Rubric!$D$9+L657*Rubric!$D$10)/5*100,1))</f>
        <v>90</v>
      </c>
      <c r="N657" s="37" t="str">
        <f aca="false">IF(OR(B657="",D657=""),"",IFERROR(IF(IF(E657="Primary",INDEX(Applications!$I$5:$I$600,MATCH(B657,Applications!$A$5:$A$600,0)),IF(E657="Secondary",INDEX(Applications!$J$5:$J$600,MATCH(B657,Applications!$A$5:$A$600,0)),INDEX(Applications!$K$5:$K$600,MATCH(B657,Applications!$A$5:$A$600,0))))=D657,"OK","Not assigned"),"Check ID"))</f>
        <v>OK</v>
      </c>
      <c r="O657" s="7"/>
    </row>
    <row r="658" customFormat="false" ht="15" hidden="false" customHeight="false" outlineLevel="0" collapsed="false">
      <c r="A658" s="35" t="s">
        <v>2055</v>
      </c>
      <c r="B658" s="35" t="s">
        <v>384</v>
      </c>
      <c r="C658" s="37" t="str">
        <f aca="false">IF(B658="","",IFERROR(INDEX(Applications!$B$5:$B$600,MATCH(B658,Applications!$A$5:$A$600,0)),"Application ID not found"))</f>
        <v>Jaipur Pantry Network</v>
      </c>
      <c r="D658" s="35" t="s">
        <v>88</v>
      </c>
      <c r="E658" s="35" t="s">
        <v>83</v>
      </c>
      <c r="F658" s="36" t="n">
        <v>45947</v>
      </c>
      <c r="G658" s="35" t="n">
        <v>3</v>
      </c>
      <c r="H658" s="35" t="n">
        <v>4</v>
      </c>
      <c r="I658" s="35" t="n">
        <v>3</v>
      </c>
      <c r="J658" s="35" t="n">
        <v>3</v>
      </c>
      <c r="K658" s="35" t="n">
        <v>3</v>
      </c>
      <c r="L658" s="35" t="n">
        <v>3</v>
      </c>
      <c r="M658" s="50" t="n">
        <f aca="false">IF(COUNT(G658:L658)&lt;6,"",ROUND((G658*Rubric!$D$5+H658*Rubric!$D$6+I658*Rubric!$D$7+J658*Rubric!$D$8+K658*Rubric!$D$9+L658*Rubric!$D$10)/5*100,1))</f>
        <v>64</v>
      </c>
      <c r="N658" s="37" t="str">
        <f aca="false">IF(OR(B658="",D658=""),"",IFERROR(IF(IF(E658="Primary",INDEX(Applications!$I$5:$I$600,MATCH(B658,Applications!$A$5:$A$600,0)),IF(E658="Secondary",INDEX(Applications!$J$5:$J$600,MATCH(B658,Applications!$A$5:$A$600,0)),INDEX(Applications!$K$5:$K$600,MATCH(B658,Applications!$A$5:$A$600,0))))=D658,"OK","Not assigned"),"Check ID"))</f>
        <v>OK</v>
      </c>
      <c r="O658" s="7"/>
    </row>
    <row r="659" customFormat="false" ht="15" hidden="false" customHeight="false" outlineLevel="0" collapsed="false">
      <c r="A659" s="35" t="s">
        <v>2056</v>
      </c>
      <c r="B659" s="35" t="s">
        <v>518</v>
      </c>
      <c r="C659" s="37" t="str">
        <f aca="false">IF(B659="","",IFERROR(INDEX(Applications!$B$5:$B$600,MATCH(B659,Applications!$A$5:$A$600,0)),"Application ID not found"))</f>
        <v>Copper Hill Meals Project</v>
      </c>
      <c r="D659" s="35" t="s">
        <v>91</v>
      </c>
      <c r="E659" s="35" t="s">
        <v>80</v>
      </c>
      <c r="F659" s="36" t="n">
        <v>45947</v>
      </c>
      <c r="G659" s="35" t="n">
        <v>5</v>
      </c>
      <c r="H659" s="35" t="n">
        <v>4</v>
      </c>
      <c r="I659" s="35" t="n">
        <v>5</v>
      </c>
      <c r="J659" s="35" t="n">
        <v>4</v>
      </c>
      <c r="K659" s="35" t="n">
        <v>4</v>
      </c>
      <c r="L659" s="35" t="n">
        <v>4</v>
      </c>
      <c r="M659" s="50" t="n">
        <f aca="false">IF(COUNT(G659:L659)&lt;6,"",ROUND((G659*Rubric!$D$5+H659*Rubric!$D$6+I659*Rubric!$D$7+J659*Rubric!$D$8+K659*Rubric!$D$9+L659*Rubric!$D$10)/5*100,1))</f>
        <v>89</v>
      </c>
      <c r="N659" s="37" t="str">
        <f aca="false">IF(OR(B659="",D659=""),"",IFERROR(IF(IF(E659="Primary",INDEX(Applications!$I$5:$I$600,MATCH(B659,Applications!$A$5:$A$600,0)),IF(E659="Secondary",INDEX(Applications!$J$5:$J$600,MATCH(B659,Applications!$A$5:$A$600,0)),INDEX(Applications!$K$5:$K$600,MATCH(B659,Applications!$A$5:$A$600,0))))=D659,"OK","Not assigned"),"Check ID"))</f>
        <v>OK</v>
      </c>
      <c r="O659" s="7"/>
    </row>
    <row r="660" customFormat="false" ht="15" hidden="false" customHeight="false" outlineLevel="0" collapsed="false">
      <c r="A660" s="35" t="s">
        <v>2057</v>
      </c>
      <c r="B660" s="35" t="s">
        <v>321</v>
      </c>
      <c r="C660" s="37" t="str">
        <f aca="false">IF(B660="","",IFERROR(INDEX(Applications!$B$5:$B$600,MATCH(B660,Applications!$A$5:$A$600,0)),"Application ID not found"))</f>
        <v>Wichita Food Ventures</v>
      </c>
      <c r="D660" s="35" t="s">
        <v>91</v>
      </c>
      <c r="E660" s="35" t="s">
        <v>80</v>
      </c>
      <c r="F660" s="36" t="n">
        <v>45947</v>
      </c>
      <c r="G660" s="35" t="n">
        <v>2</v>
      </c>
      <c r="H660" s="35" t="n">
        <v>3</v>
      </c>
      <c r="I660" s="35" t="n">
        <v>2</v>
      </c>
      <c r="J660" s="35" t="n">
        <v>3</v>
      </c>
      <c r="K660" s="35" t="n">
        <v>2</v>
      </c>
      <c r="L660" s="35" t="n">
        <v>3</v>
      </c>
      <c r="M660" s="50" t="n">
        <f aca="false">IF(COUNT(G660:L660)&lt;6,"",ROUND((G660*Rubric!$D$5+H660*Rubric!$D$6+I660*Rubric!$D$7+J660*Rubric!$D$8+K660*Rubric!$D$9+L660*Rubric!$D$10)/5*100,1))</f>
        <v>49</v>
      </c>
      <c r="N660" s="37" t="str">
        <f aca="false">IF(OR(B660="",D660=""),"",IFERROR(IF(IF(E660="Primary",INDEX(Applications!$I$5:$I$600,MATCH(B660,Applications!$A$5:$A$600,0)),IF(E660="Secondary",INDEX(Applications!$J$5:$J$600,MATCH(B660,Applications!$A$5:$A$600,0)),INDEX(Applications!$K$5:$K$600,MATCH(B660,Applications!$A$5:$A$600,0))))=D660,"OK","Not assigned"),"Check ID"))</f>
        <v>OK</v>
      </c>
      <c r="O660" s="7"/>
    </row>
    <row r="661" customFormat="false" ht="15" hidden="false" customHeight="false" outlineLevel="0" collapsed="false">
      <c r="A661" s="35" t="s">
        <v>2058</v>
      </c>
      <c r="B661" s="35" t="s">
        <v>424</v>
      </c>
      <c r="C661" s="37" t="str">
        <f aca="false">IF(B661="","",IFERROR(INDEX(Applications!$B$5:$B$600,MATCH(B661,Applications!$A$5:$A$600,0)),"Application ID not found"))</f>
        <v>Omaha Youth Food Lab</v>
      </c>
      <c r="D661" s="35" t="s">
        <v>91</v>
      </c>
      <c r="E661" s="35" t="s">
        <v>83</v>
      </c>
      <c r="F661" s="36" t="n">
        <v>45947</v>
      </c>
      <c r="G661" s="35" t="n">
        <v>3</v>
      </c>
      <c r="H661" s="35" t="n">
        <v>4</v>
      </c>
      <c r="I661" s="35" t="n">
        <v>4</v>
      </c>
      <c r="J661" s="35" t="n">
        <v>3</v>
      </c>
      <c r="K661" s="35" t="n">
        <v>4</v>
      </c>
      <c r="L661" s="35" t="n">
        <v>4</v>
      </c>
      <c r="M661" s="50" t="n">
        <f aca="false">IF(COUNT(G661:L661)&lt;6,"",ROUND((G661*Rubric!$D$5+H661*Rubric!$D$6+I661*Rubric!$D$7+J661*Rubric!$D$8+K661*Rubric!$D$9+L661*Rubric!$D$10)/5*100,1))</f>
        <v>72</v>
      </c>
      <c r="N661" s="37" t="str">
        <f aca="false">IF(OR(B661="",D661=""),"",IFERROR(IF(IF(E661="Primary",INDEX(Applications!$I$5:$I$600,MATCH(B661,Applications!$A$5:$A$600,0)),IF(E661="Secondary",INDEX(Applications!$J$5:$J$600,MATCH(B661,Applications!$A$5:$A$600,0)),INDEX(Applications!$K$5:$K$600,MATCH(B661,Applications!$A$5:$A$600,0))))=D661,"OK","Not assigned"),"Check ID"))</f>
        <v>OK</v>
      </c>
      <c r="O661" s="7"/>
    </row>
    <row r="662" customFormat="false" ht="15" hidden="false" customHeight="false" outlineLevel="0" collapsed="false">
      <c r="A662" s="35" t="s">
        <v>2059</v>
      </c>
      <c r="B662" s="35" t="s">
        <v>559</v>
      </c>
      <c r="C662" s="37" t="str">
        <f aca="false">IF(B662="","",IFERROR(INDEX(Applications!$B$5:$B$600,MATCH(B662,Applications!$A$5:$A$600,0)),"Application ID not found"))</f>
        <v>Stonebridge Seed Library</v>
      </c>
      <c r="D662" s="35" t="s">
        <v>91</v>
      </c>
      <c r="E662" s="35" t="s">
        <v>83</v>
      </c>
      <c r="F662" s="36" t="n">
        <v>45947</v>
      </c>
      <c r="G662" s="35" t="n">
        <v>4</v>
      </c>
      <c r="H662" s="35" t="n">
        <v>3</v>
      </c>
      <c r="I662" s="35" t="n">
        <v>4</v>
      </c>
      <c r="J662" s="35" t="n">
        <v>4</v>
      </c>
      <c r="K662" s="35" t="n">
        <v>4</v>
      </c>
      <c r="L662" s="35" t="n">
        <v>3</v>
      </c>
      <c r="M662" s="50" t="n">
        <f aca="false">IF(COUNT(G662:L662)&lt;6,"",ROUND((G662*Rubric!$D$5+H662*Rubric!$D$6+I662*Rubric!$D$7+J662*Rubric!$D$8+K662*Rubric!$D$9+L662*Rubric!$D$10)/5*100,1))</f>
        <v>74</v>
      </c>
      <c r="N662" s="37" t="str">
        <f aca="false">IF(OR(B662="",D662=""),"",IFERROR(IF(IF(E662="Primary",INDEX(Applications!$I$5:$I$600,MATCH(B662,Applications!$A$5:$A$600,0)),IF(E662="Secondary",INDEX(Applications!$J$5:$J$600,MATCH(B662,Applications!$A$5:$A$600,0)),INDEX(Applications!$K$5:$K$600,MATCH(B662,Applications!$A$5:$A$600,0))))=D662,"OK","Not assigned"),"Check ID"))</f>
        <v>OK</v>
      </c>
      <c r="O662" s="7"/>
    </row>
    <row r="663" customFormat="false" ht="15" hidden="false" customHeight="false" outlineLevel="0" collapsed="false">
      <c r="A663" s="35" t="s">
        <v>2060</v>
      </c>
      <c r="B663" s="35" t="s">
        <v>552</v>
      </c>
      <c r="C663" s="37" t="str">
        <f aca="false">IF(B663="","",IFERROR(INDEX(Applications!$B$5:$B$600,MATCH(B663,Applications!$A$5:$A$600,0)),"Application ID not found"))</f>
        <v>Recife Farm School</v>
      </c>
      <c r="D663" s="35" t="s">
        <v>91</v>
      </c>
      <c r="E663" s="35" t="s">
        <v>83</v>
      </c>
      <c r="F663" s="36" t="n">
        <v>45947</v>
      </c>
      <c r="G663" s="35" t="n">
        <v>3</v>
      </c>
      <c r="H663" s="35" t="n">
        <v>3</v>
      </c>
      <c r="I663" s="35" t="n">
        <v>4</v>
      </c>
      <c r="J663" s="35" t="n">
        <v>3</v>
      </c>
      <c r="K663" s="35" t="n">
        <v>3</v>
      </c>
      <c r="L663" s="35" t="n">
        <v>3</v>
      </c>
      <c r="M663" s="50" t="n">
        <f aca="false">IF(COUNT(G663:L663)&lt;6,"",ROUND((G663*Rubric!$D$5+H663*Rubric!$D$6+I663*Rubric!$D$7+J663*Rubric!$D$8+K663*Rubric!$D$9+L663*Rubric!$D$10)/5*100,1))</f>
        <v>64</v>
      </c>
      <c r="N663" s="37" t="str">
        <f aca="false">IF(OR(B663="",D663=""),"",IFERROR(IF(IF(E663="Primary",INDEX(Applications!$I$5:$I$600,MATCH(B663,Applications!$A$5:$A$600,0)),IF(E663="Secondary",INDEX(Applications!$J$5:$J$600,MATCH(B663,Applications!$A$5:$A$600,0)),INDEX(Applications!$K$5:$K$600,MATCH(B663,Applications!$A$5:$A$600,0))))=D663,"OK","Not assigned"),"Check ID"))</f>
        <v>OK</v>
      </c>
      <c r="O663" s="7"/>
    </row>
    <row r="664" customFormat="false" ht="15" hidden="false" customHeight="false" outlineLevel="0" collapsed="false">
      <c r="A664" s="35" t="s">
        <v>2061</v>
      </c>
      <c r="B664" s="35" t="s">
        <v>1145</v>
      </c>
      <c r="C664" s="37" t="str">
        <f aca="false">IF(B664="","",IFERROR(INDEX(Applications!$B$5:$B$600,MATCH(B664,Applications!$A$5:$A$600,0)),"Application ID not found"))</f>
        <v>Louisville Food Shelf</v>
      </c>
      <c r="D664" s="35" t="s">
        <v>91</v>
      </c>
      <c r="E664" s="35" t="s">
        <v>80</v>
      </c>
      <c r="F664" s="36" t="n">
        <v>45947</v>
      </c>
      <c r="G664" s="35" t="n">
        <v>3</v>
      </c>
      <c r="H664" s="35" t="n">
        <v>3</v>
      </c>
      <c r="I664" s="35" t="n">
        <v>4</v>
      </c>
      <c r="J664" s="35" t="n">
        <v>3</v>
      </c>
      <c r="K664" s="35" t="n">
        <v>3</v>
      </c>
      <c r="L664" s="35" t="n">
        <v>3</v>
      </c>
      <c r="M664" s="50" t="n">
        <f aca="false">IF(COUNT(G664:L664)&lt;6,"",ROUND((G664*Rubric!$D$5+H664*Rubric!$D$6+I664*Rubric!$D$7+J664*Rubric!$D$8+K664*Rubric!$D$9+L664*Rubric!$D$10)/5*100,1))</f>
        <v>64</v>
      </c>
      <c r="N664" s="37" t="str">
        <f aca="false">IF(OR(B664="",D664=""),"",IFERROR(IF(IF(E664="Primary",INDEX(Applications!$I$5:$I$600,MATCH(B664,Applications!$A$5:$A$600,0)),IF(E664="Secondary",INDEX(Applications!$J$5:$J$600,MATCH(B664,Applications!$A$5:$A$600,0)),INDEX(Applications!$K$5:$K$600,MATCH(B664,Applications!$A$5:$A$600,0))))=D664,"OK","Not assigned"),"Check ID"))</f>
        <v>OK</v>
      </c>
      <c r="O664" s="7"/>
    </row>
    <row r="665" customFormat="false" ht="15" hidden="false" customHeight="false" outlineLevel="0" collapsed="false">
      <c r="A665" s="35" t="s">
        <v>2062</v>
      </c>
      <c r="B665" s="35" t="s">
        <v>1207</v>
      </c>
      <c r="C665" s="37" t="str">
        <f aca="false">IF(B665="","",IFERROR(INDEX(Applications!$B$5:$B$600,MATCH(B665,Applications!$A$5:$A$600,0)),"Application ID not found"))</f>
        <v>Columbus Food Bank</v>
      </c>
      <c r="D665" s="35" t="s">
        <v>91</v>
      </c>
      <c r="E665" s="35" t="s">
        <v>80</v>
      </c>
      <c r="F665" s="36" t="n">
        <v>45947</v>
      </c>
      <c r="G665" s="35" t="n">
        <v>4</v>
      </c>
      <c r="H665" s="35" t="n">
        <v>2</v>
      </c>
      <c r="I665" s="35" t="n">
        <v>4</v>
      </c>
      <c r="J665" s="35" t="n">
        <v>4</v>
      </c>
      <c r="K665" s="35" t="n">
        <v>3</v>
      </c>
      <c r="L665" s="35" t="n">
        <v>3</v>
      </c>
      <c r="M665" s="50" t="n">
        <f aca="false">IF(COUNT(G665:L665)&lt;6,"",ROUND((G665*Rubric!$D$5+H665*Rubric!$D$6+I665*Rubric!$D$7+J665*Rubric!$D$8+K665*Rubric!$D$9+L665*Rubric!$D$10)/5*100,1))</f>
        <v>68</v>
      </c>
      <c r="N665" s="37" t="str">
        <f aca="false">IF(OR(B665="",D665=""),"",IFERROR(IF(IF(E665="Primary",INDEX(Applications!$I$5:$I$600,MATCH(B665,Applications!$A$5:$A$600,0)),IF(E665="Secondary",INDEX(Applications!$J$5:$J$600,MATCH(B665,Applications!$A$5:$A$600,0)),INDEX(Applications!$K$5:$K$600,MATCH(B665,Applications!$A$5:$A$600,0))))=D665,"OK","Not assigned"),"Check ID"))</f>
        <v>OK</v>
      </c>
      <c r="O665" s="7"/>
    </row>
    <row r="666" customFormat="false" ht="15" hidden="false" customHeight="false" outlineLevel="0" collapsed="false">
      <c r="A666" s="35" t="s">
        <v>2063</v>
      </c>
      <c r="B666" s="35" t="s">
        <v>368</v>
      </c>
      <c r="C666" s="37" t="str">
        <f aca="false">IF(B666="","",IFERROR(INDEX(Applications!$B$5:$B$600,MATCH(B666,Applications!$A$5:$A$600,0)),"Application ID not found"))</f>
        <v>Harbor Mobile Market</v>
      </c>
      <c r="D666" s="35" t="s">
        <v>91</v>
      </c>
      <c r="E666" s="35" t="s">
        <v>80</v>
      </c>
      <c r="F666" s="36" t="n">
        <v>45947</v>
      </c>
      <c r="G666" s="35" t="n">
        <v>3</v>
      </c>
      <c r="H666" s="35" t="n">
        <v>4</v>
      </c>
      <c r="I666" s="35" t="n">
        <v>3</v>
      </c>
      <c r="J666" s="35" t="n">
        <v>4</v>
      </c>
      <c r="K666" s="35" t="n">
        <v>4</v>
      </c>
      <c r="L666" s="35" t="n">
        <v>4</v>
      </c>
      <c r="M666" s="50" t="n">
        <f aca="false">IF(COUNT(G666:L666)&lt;6,"",ROUND((G666*Rubric!$D$5+H666*Rubric!$D$6+I666*Rubric!$D$7+J666*Rubric!$D$8+K666*Rubric!$D$9+L666*Rubric!$D$10)/5*100,1))</f>
        <v>71</v>
      </c>
      <c r="N666" s="37" t="str">
        <f aca="false">IF(OR(B666="",D666=""),"",IFERROR(IF(IF(E666="Primary",INDEX(Applications!$I$5:$I$600,MATCH(B666,Applications!$A$5:$A$600,0)),IF(E666="Secondary",INDEX(Applications!$J$5:$J$600,MATCH(B666,Applications!$A$5:$A$600,0)),INDEX(Applications!$K$5:$K$600,MATCH(B666,Applications!$A$5:$A$600,0))))=D666,"OK","Not assigned"),"Check ID"))</f>
        <v>OK</v>
      </c>
      <c r="O666" s="7"/>
    </row>
    <row r="667" customFormat="false" ht="15" hidden="false" customHeight="false" outlineLevel="0" collapsed="false">
      <c r="A667" s="35" t="s">
        <v>2064</v>
      </c>
      <c r="B667" s="35" t="s">
        <v>1291</v>
      </c>
      <c r="C667" s="37" t="str">
        <f aca="false">IF(B667="","",IFERROR(INDEX(Applications!$B$5:$B$600,MATCH(B667,Applications!$A$5:$A$600,0)),"Application ID not found"))</f>
        <v>Fairmount Family Center</v>
      </c>
      <c r="D667" s="35" t="s">
        <v>91</v>
      </c>
      <c r="E667" s="35" t="s">
        <v>83</v>
      </c>
      <c r="F667" s="36" t="n">
        <v>45947</v>
      </c>
      <c r="G667" s="35" t="n">
        <v>4</v>
      </c>
      <c r="H667" s="35" t="n">
        <v>4</v>
      </c>
      <c r="I667" s="35" t="n">
        <v>3</v>
      </c>
      <c r="J667" s="35" t="n">
        <v>4</v>
      </c>
      <c r="K667" s="35" t="n">
        <v>4</v>
      </c>
      <c r="L667" s="35" t="n">
        <v>4</v>
      </c>
      <c r="M667" s="50" t="n">
        <f aca="false">IF(COUNT(G667:L667)&lt;6,"",ROUND((G667*Rubric!$D$5+H667*Rubric!$D$6+I667*Rubric!$D$7+J667*Rubric!$D$8+K667*Rubric!$D$9+L667*Rubric!$D$10)/5*100,1))</f>
        <v>76</v>
      </c>
      <c r="N667" s="37" t="str">
        <f aca="false">IF(OR(B667="",D667=""),"",IFERROR(IF(IF(E667="Primary",INDEX(Applications!$I$5:$I$600,MATCH(B667,Applications!$A$5:$A$600,0)),IF(E667="Secondary",INDEX(Applications!$J$5:$J$600,MATCH(B667,Applications!$A$5:$A$600,0)),INDEX(Applications!$K$5:$K$600,MATCH(B667,Applications!$A$5:$A$600,0))))=D667,"OK","Not assigned"),"Check ID"))</f>
        <v>OK</v>
      </c>
      <c r="O667" s="7"/>
    </row>
    <row r="668" customFormat="false" ht="15" hidden="false" customHeight="false" outlineLevel="0" collapsed="false">
      <c r="A668" s="35" t="s">
        <v>2065</v>
      </c>
      <c r="B668" s="35" t="s">
        <v>645</v>
      </c>
      <c r="C668" s="37" t="str">
        <f aca="false">IF(B668="","",IFERROR(INDEX(Applications!$B$5:$B$600,MATCH(B668,Applications!$A$5:$A$600,0)),"Application ID not found"))</f>
        <v>Louisville Market Gardens</v>
      </c>
      <c r="D668" s="35" t="s">
        <v>91</v>
      </c>
      <c r="E668" s="35" t="s">
        <v>80</v>
      </c>
      <c r="F668" s="36" t="n">
        <v>45947</v>
      </c>
      <c r="G668" s="35" t="n">
        <v>3</v>
      </c>
      <c r="H668" s="35" t="n">
        <v>3</v>
      </c>
      <c r="I668" s="35" t="n">
        <v>4</v>
      </c>
      <c r="J668" s="35" t="n">
        <v>3</v>
      </c>
      <c r="K668" s="35" t="n">
        <v>3</v>
      </c>
      <c r="L668" s="35" t="n">
        <v>4</v>
      </c>
      <c r="M668" s="50" t="n">
        <f aca="false">IF(COUNT(G668:L668)&lt;6,"",ROUND((G668*Rubric!$D$5+H668*Rubric!$D$6+I668*Rubric!$D$7+J668*Rubric!$D$8+K668*Rubric!$D$9+L668*Rubric!$D$10)/5*100,1))</f>
        <v>66</v>
      </c>
      <c r="N668" s="37" t="str">
        <f aca="false">IF(OR(B668="",D668=""),"",IFERROR(IF(IF(E668="Primary",INDEX(Applications!$I$5:$I$600,MATCH(B668,Applications!$A$5:$A$600,0)),IF(E668="Secondary",INDEX(Applications!$J$5:$J$600,MATCH(B668,Applications!$A$5:$A$600,0)),INDEX(Applications!$K$5:$K$600,MATCH(B668,Applications!$A$5:$A$600,0))))=D668,"OK","Not assigned"),"Check ID"))</f>
        <v>OK</v>
      </c>
      <c r="O668" s="7"/>
    </row>
    <row r="669" customFormat="false" ht="15" hidden="false" customHeight="false" outlineLevel="0" collapsed="false">
      <c r="A669" s="35" t="s">
        <v>2066</v>
      </c>
      <c r="B669" s="35" t="s">
        <v>396</v>
      </c>
      <c r="C669" s="37" t="str">
        <f aca="false">IF(B669="","",IFERROR(INDEX(Applications!$B$5:$B$600,MATCH(B669,Applications!$A$5:$A$600,0)),"Application ID not found"))</f>
        <v>Dublin Food Bank</v>
      </c>
      <c r="D669" s="35" t="s">
        <v>91</v>
      </c>
      <c r="E669" s="35" t="s">
        <v>83</v>
      </c>
      <c r="F669" s="36" t="n">
        <v>45947</v>
      </c>
      <c r="G669" s="35" t="n">
        <v>3</v>
      </c>
      <c r="H669" s="35" t="n">
        <v>3</v>
      </c>
      <c r="I669" s="35" t="n">
        <v>3</v>
      </c>
      <c r="J669" s="35" t="n">
        <v>3</v>
      </c>
      <c r="K669" s="35" t="n">
        <v>3</v>
      </c>
      <c r="L669" s="35" t="n">
        <v>3</v>
      </c>
      <c r="M669" s="50" t="n">
        <f aca="false">IF(COUNT(G669:L669)&lt;6,"",ROUND((G669*Rubric!$D$5+H669*Rubric!$D$6+I669*Rubric!$D$7+J669*Rubric!$D$8+K669*Rubric!$D$9+L669*Rubric!$D$10)/5*100,1))</f>
        <v>60</v>
      </c>
      <c r="N669" s="37" t="str">
        <f aca="false">IF(OR(B669="",D669=""),"",IFERROR(IF(IF(E669="Primary",INDEX(Applications!$I$5:$I$600,MATCH(B669,Applications!$A$5:$A$600,0)),IF(E669="Secondary",INDEX(Applications!$J$5:$J$600,MATCH(B669,Applications!$A$5:$A$600,0)),INDEX(Applications!$K$5:$K$600,MATCH(B669,Applications!$A$5:$A$600,0))))=D669,"OK","Not assigned"),"Check ID"))</f>
        <v>OK</v>
      </c>
      <c r="O669" s="7" t="s">
        <v>1437</v>
      </c>
    </row>
    <row r="670" customFormat="false" ht="15" hidden="false" customHeight="false" outlineLevel="0" collapsed="false">
      <c r="A670" s="35" t="s">
        <v>2067</v>
      </c>
      <c r="B670" s="35" t="s">
        <v>945</v>
      </c>
      <c r="C670" s="37" t="str">
        <f aca="false">IF(B670="","",IFERROR(INDEX(Applications!$B$5:$B$600,MATCH(B670,Applications!$A$5:$A$600,0)),"Application ID not found"))</f>
        <v>Puebla Farm Collective</v>
      </c>
      <c r="D670" s="35" t="s">
        <v>91</v>
      </c>
      <c r="E670" s="35" t="s">
        <v>80</v>
      </c>
      <c r="F670" s="36" t="n">
        <v>45947</v>
      </c>
      <c r="G670" s="35" t="n">
        <v>3</v>
      </c>
      <c r="H670" s="35" t="n">
        <v>3</v>
      </c>
      <c r="I670" s="35" t="n">
        <v>2</v>
      </c>
      <c r="J670" s="35" t="n">
        <v>2</v>
      </c>
      <c r="K670" s="35" t="n">
        <v>2</v>
      </c>
      <c r="L670" s="35" t="n">
        <v>2</v>
      </c>
      <c r="M670" s="50" t="n">
        <f aca="false">IF(COUNT(G670:L670)&lt;6,"",ROUND((G670*Rubric!$D$5+H670*Rubric!$D$6+I670*Rubric!$D$7+J670*Rubric!$D$8+K670*Rubric!$D$9+L670*Rubric!$D$10)/5*100,1))</f>
        <v>49</v>
      </c>
      <c r="N670" s="37" t="str">
        <f aca="false">IF(OR(B670="",D670=""),"",IFERROR(IF(IF(E670="Primary",INDEX(Applications!$I$5:$I$600,MATCH(B670,Applications!$A$5:$A$600,0)),IF(E670="Secondary",INDEX(Applications!$J$5:$J$600,MATCH(B670,Applications!$A$5:$A$600,0)),INDEX(Applications!$K$5:$K$600,MATCH(B670,Applications!$A$5:$A$600,0))))=D670,"OK","Not assigned"),"Check ID"))</f>
        <v>OK</v>
      </c>
      <c r="O670" s="7"/>
    </row>
    <row r="671" customFormat="false" ht="15" hidden="false" customHeight="false" outlineLevel="0" collapsed="false">
      <c r="A671" s="35" t="s">
        <v>2068</v>
      </c>
      <c r="B671" s="35" t="s">
        <v>1055</v>
      </c>
      <c r="C671" s="37" t="str">
        <f aca="false">IF(B671="","",IFERROR(INDEX(Applications!$B$5:$B$600,MATCH(B671,Applications!$A$5:$A$600,0)),"Application ID not found"))</f>
        <v>Fresno Food Bank</v>
      </c>
      <c r="D671" s="35" t="s">
        <v>91</v>
      </c>
      <c r="E671" s="35" t="s">
        <v>80</v>
      </c>
      <c r="F671" s="36" t="n">
        <v>45947</v>
      </c>
      <c r="G671" s="35" t="n">
        <v>4</v>
      </c>
      <c r="H671" s="35" t="n">
        <v>4</v>
      </c>
      <c r="I671" s="35" t="n">
        <v>4</v>
      </c>
      <c r="J671" s="35" t="n">
        <v>4</v>
      </c>
      <c r="K671" s="35" t="n">
        <v>4</v>
      </c>
      <c r="L671" s="35" t="n">
        <v>4</v>
      </c>
      <c r="M671" s="50" t="n">
        <f aca="false">IF(COUNT(G671:L671)&lt;6,"",ROUND((G671*Rubric!$D$5+H671*Rubric!$D$6+I671*Rubric!$D$7+J671*Rubric!$D$8+K671*Rubric!$D$9+L671*Rubric!$D$10)/5*100,1))</f>
        <v>80</v>
      </c>
      <c r="N671" s="37" t="str">
        <f aca="false">IF(OR(B671="",D671=""),"",IFERROR(IF(IF(E671="Primary",INDEX(Applications!$I$5:$I$600,MATCH(B671,Applications!$A$5:$A$600,0)),IF(E671="Secondary",INDEX(Applications!$J$5:$J$600,MATCH(B671,Applications!$A$5:$A$600,0)),INDEX(Applications!$K$5:$K$600,MATCH(B671,Applications!$A$5:$A$600,0))))=D671,"OK","Not assigned"),"Check ID"))</f>
        <v>OK</v>
      </c>
      <c r="O671" s="7"/>
    </row>
    <row r="672" customFormat="false" ht="15" hidden="false" customHeight="false" outlineLevel="0" collapsed="false">
      <c r="A672" s="35" t="s">
        <v>2069</v>
      </c>
      <c r="B672" s="35" t="s">
        <v>1095</v>
      </c>
      <c r="C672" s="37" t="str">
        <f aca="false">IF(B672="","",IFERROR(INDEX(Applications!$B$5:$B$600,MATCH(B672,Applications!$A$5:$A$600,0)),"Application ID not found"))</f>
        <v>Open Door Mobile Market</v>
      </c>
      <c r="D672" s="35" t="s">
        <v>91</v>
      </c>
      <c r="E672" s="35" t="s">
        <v>83</v>
      </c>
      <c r="F672" s="36" t="n">
        <v>45947</v>
      </c>
      <c r="G672" s="35" t="n">
        <v>3</v>
      </c>
      <c r="H672" s="35" t="n">
        <v>2</v>
      </c>
      <c r="I672" s="35" t="n">
        <v>3</v>
      </c>
      <c r="J672" s="35" t="n">
        <v>3</v>
      </c>
      <c r="K672" s="35" t="n">
        <v>3</v>
      </c>
      <c r="L672" s="35" t="n">
        <v>3</v>
      </c>
      <c r="M672" s="50" t="n">
        <f aca="false">IF(COUNT(G672:L672)&lt;6,"",ROUND((G672*Rubric!$D$5+H672*Rubric!$D$6+I672*Rubric!$D$7+J672*Rubric!$D$8+K672*Rubric!$D$9+L672*Rubric!$D$10)/5*100,1))</f>
        <v>56</v>
      </c>
      <c r="N672" s="37" t="str">
        <f aca="false">IF(OR(B672="",D672=""),"",IFERROR(IF(IF(E672="Primary",INDEX(Applications!$I$5:$I$600,MATCH(B672,Applications!$A$5:$A$600,0)),IF(E672="Secondary",INDEX(Applications!$J$5:$J$600,MATCH(B672,Applications!$A$5:$A$600,0)),INDEX(Applications!$K$5:$K$600,MATCH(B672,Applications!$A$5:$A$600,0))))=D672,"OK","Not assigned"),"Check ID"))</f>
        <v>OK</v>
      </c>
      <c r="O672" s="7" t="s">
        <v>1398</v>
      </c>
    </row>
    <row r="673" customFormat="false" ht="15" hidden="false" customHeight="false" outlineLevel="0" collapsed="false">
      <c r="A673" s="35" t="s">
        <v>2070</v>
      </c>
      <c r="B673" s="35" t="s">
        <v>1039</v>
      </c>
      <c r="C673" s="37" t="str">
        <f aca="false">IF(B673="","",IFERROR(INDEX(Applications!$B$5:$B$600,MATCH(B673,Applications!$A$5:$A$600,0)),"Application ID not found"))</f>
        <v>Peoria Youth Food Lab</v>
      </c>
      <c r="D673" s="35" t="s">
        <v>94</v>
      </c>
      <c r="E673" s="35" t="s">
        <v>80</v>
      </c>
      <c r="F673" s="36" t="n">
        <v>45947</v>
      </c>
      <c r="G673" s="35" t="n">
        <v>3</v>
      </c>
      <c r="H673" s="35" t="n">
        <v>2</v>
      </c>
      <c r="I673" s="35" t="n">
        <v>2</v>
      </c>
      <c r="J673" s="35" t="n">
        <v>3</v>
      </c>
      <c r="K673" s="35" t="n">
        <v>3</v>
      </c>
      <c r="L673" s="35" t="n">
        <v>3</v>
      </c>
      <c r="M673" s="50" t="n">
        <f aca="false">IF(COUNT(G673:L673)&lt;6,"",ROUND((G673*Rubric!$D$5+H673*Rubric!$D$6+I673*Rubric!$D$7+J673*Rubric!$D$8+K673*Rubric!$D$9+L673*Rubric!$D$10)/5*100,1))</f>
        <v>52</v>
      </c>
      <c r="N673" s="37" t="str">
        <f aca="false">IF(OR(B673="",D673=""),"",IFERROR(IF(IF(E673="Primary",INDEX(Applications!$I$5:$I$600,MATCH(B673,Applications!$A$5:$A$600,0)),IF(E673="Secondary",INDEX(Applications!$J$5:$J$600,MATCH(B673,Applications!$A$5:$A$600,0)),INDEX(Applications!$K$5:$K$600,MATCH(B673,Applications!$A$5:$A$600,0))))=D673,"OK","Not assigned"),"Check ID"))</f>
        <v>OK</v>
      </c>
      <c r="O673" s="7"/>
    </row>
    <row r="674" customFormat="false" ht="15" hidden="false" customHeight="false" outlineLevel="0" collapsed="false">
      <c r="A674" s="35" t="s">
        <v>2071</v>
      </c>
      <c r="B674" s="35" t="s">
        <v>313</v>
      </c>
      <c r="C674" s="37" t="str">
        <f aca="false">IF(B674="","",IFERROR(INDEX(Applications!$B$5:$B$600,MATCH(B674,Applications!$A$5:$A$600,0)),"Application ID not found"))</f>
        <v>Maple Street Mobile Market</v>
      </c>
      <c r="D674" s="35" t="s">
        <v>94</v>
      </c>
      <c r="E674" s="35" t="s">
        <v>80</v>
      </c>
      <c r="F674" s="36" t="n">
        <v>45947</v>
      </c>
      <c r="G674" s="35" t="n">
        <v>3</v>
      </c>
      <c r="H674" s="35" t="n">
        <v>3</v>
      </c>
      <c r="I674" s="35" t="n">
        <v>3</v>
      </c>
      <c r="J674" s="35" t="n">
        <v>3</v>
      </c>
      <c r="K674" s="35" t="n">
        <v>2</v>
      </c>
      <c r="L674" s="35" t="n">
        <v>3</v>
      </c>
      <c r="M674" s="50" t="n">
        <f aca="false">IF(COUNT(G674:L674)&lt;6,"",ROUND((G674*Rubric!$D$5+H674*Rubric!$D$6+I674*Rubric!$D$7+J674*Rubric!$D$8+K674*Rubric!$D$9+L674*Rubric!$D$10)/5*100,1))</f>
        <v>58</v>
      </c>
      <c r="N674" s="37" t="str">
        <f aca="false">IF(OR(B674="",D674=""),"",IFERROR(IF(IF(E674="Primary",INDEX(Applications!$I$5:$I$600,MATCH(B674,Applications!$A$5:$A$600,0)),IF(E674="Secondary",INDEX(Applications!$J$5:$J$600,MATCH(B674,Applications!$A$5:$A$600,0)),INDEX(Applications!$K$5:$K$600,MATCH(B674,Applications!$A$5:$A$600,0))))=D674,"OK","Not assigned"),"Check ID"))</f>
        <v>OK</v>
      </c>
      <c r="O674" s="7"/>
    </row>
    <row r="675" customFormat="false" ht="15" hidden="false" customHeight="false" outlineLevel="0" collapsed="false">
      <c r="A675" s="35" t="s">
        <v>2072</v>
      </c>
      <c r="B675" s="35" t="s">
        <v>1287</v>
      </c>
      <c r="C675" s="37" t="str">
        <f aca="false">IF(B675="","",IFERROR(INDEX(Applications!$B$5:$B$600,MATCH(B675,Applications!$A$5:$A$600,0)),"Application ID not found"))</f>
        <v>Eastside Family Center</v>
      </c>
      <c r="D675" s="35" t="s">
        <v>94</v>
      </c>
      <c r="E675" s="35" t="s">
        <v>80</v>
      </c>
      <c r="F675" s="36" t="n">
        <v>45947</v>
      </c>
      <c r="G675" s="35" t="n">
        <v>3</v>
      </c>
      <c r="H675" s="35" t="n">
        <v>3</v>
      </c>
      <c r="I675" s="35" t="n">
        <v>4</v>
      </c>
      <c r="J675" s="35" t="n">
        <v>3</v>
      </c>
      <c r="K675" s="35" t="n">
        <v>3</v>
      </c>
      <c r="L675" s="35" t="n">
        <v>3</v>
      </c>
      <c r="M675" s="50" t="n">
        <f aca="false">IF(COUNT(G675:L675)&lt;6,"",ROUND((G675*Rubric!$D$5+H675*Rubric!$D$6+I675*Rubric!$D$7+J675*Rubric!$D$8+K675*Rubric!$D$9+L675*Rubric!$D$10)/5*100,1))</f>
        <v>64</v>
      </c>
      <c r="N675" s="37" t="str">
        <f aca="false">IF(OR(B675="",D675=""),"",IFERROR(IF(IF(E675="Primary",INDEX(Applications!$I$5:$I$600,MATCH(B675,Applications!$A$5:$A$600,0)),IF(E675="Secondary",INDEX(Applications!$J$5:$J$600,MATCH(B675,Applications!$A$5:$A$600,0)),INDEX(Applications!$K$5:$K$600,MATCH(B675,Applications!$A$5:$A$600,0))))=D675,"OK","Not assigned"),"Check ID"))</f>
        <v>OK</v>
      </c>
      <c r="O675" s="7" t="s">
        <v>1402</v>
      </c>
    </row>
    <row r="676" customFormat="false" ht="15" hidden="false" customHeight="false" outlineLevel="0" collapsed="false">
      <c r="A676" s="35" t="s">
        <v>2073</v>
      </c>
      <c r="B676" s="35" t="s">
        <v>494</v>
      </c>
      <c r="C676" s="37" t="str">
        <f aca="false">IF(B676="","",IFERROR(INDEX(Applications!$B$5:$B$600,MATCH(B676,Applications!$A$5:$A$600,0)),"Application ID not found"))</f>
        <v>Milwaukee Farm Collective</v>
      </c>
      <c r="D676" s="35" t="s">
        <v>94</v>
      </c>
      <c r="E676" s="35" t="s">
        <v>80</v>
      </c>
      <c r="F676" s="36" t="n">
        <v>45947</v>
      </c>
      <c r="G676" s="35" t="n">
        <v>3</v>
      </c>
      <c r="H676" s="35" t="n">
        <v>3</v>
      </c>
      <c r="I676" s="35" t="n">
        <v>3</v>
      </c>
      <c r="J676" s="35" t="n">
        <v>3</v>
      </c>
      <c r="K676" s="35" t="n">
        <v>4</v>
      </c>
      <c r="L676" s="35" t="n">
        <v>2</v>
      </c>
      <c r="M676" s="50" t="n">
        <f aca="false">IF(COUNT(G676:L676)&lt;6,"",ROUND((G676*Rubric!$D$5+H676*Rubric!$D$6+I676*Rubric!$D$7+J676*Rubric!$D$8+K676*Rubric!$D$9+L676*Rubric!$D$10)/5*100,1))</f>
        <v>60</v>
      </c>
      <c r="N676" s="37" t="str">
        <f aca="false">IF(OR(B676="",D676=""),"",IFERROR(IF(IF(E676="Primary",INDEX(Applications!$I$5:$I$600,MATCH(B676,Applications!$A$5:$A$600,0)),IF(E676="Secondary",INDEX(Applications!$J$5:$J$600,MATCH(B676,Applications!$A$5:$A$600,0)),INDEX(Applications!$K$5:$K$600,MATCH(B676,Applications!$A$5:$A$600,0))))=D676,"OK","Not assigned"),"Check ID"))</f>
        <v>OK</v>
      </c>
      <c r="O676" s="7"/>
    </row>
    <row r="677" customFormat="false" ht="15" hidden="false" customHeight="false" outlineLevel="0" collapsed="false">
      <c r="A677" s="35" t="s">
        <v>2074</v>
      </c>
      <c r="B677" s="35" t="s">
        <v>823</v>
      </c>
      <c r="C677" s="37" t="str">
        <f aca="false">IF(B677="","",IFERROR(INDEX(Applications!$B$5:$B$600,MATCH(B677,Applications!$A$5:$A$600,0)),"Application ID not found"))</f>
        <v>Fresno Pantry Network</v>
      </c>
      <c r="D677" s="35" t="s">
        <v>94</v>
      </c>
      <c r="E677" s="35" t="s">
        <v>83</v>
      </c>
      <c r="F677" s="36" t="n">
        <v>45947</v>
      </c>
      <c r="G677" s="35" t="n">
        <v>5</v>
      </c>
      <c r="H677" s="35" t="n">
        <v>4</v>
      </c>
      <c r="I677" s="35" t="n">
        <v>5</v>
      </c>
      <c r="J677" s="35" t="n">
        <v>5</v>
      </c>
      <c r="K677" s="35" t="n">
        <v>5</v>
      </c>
      <c r="L677" s="35" t="n">
        <v>5</v>
      </c>
      <c r="M677" s="50" t="n">
        <f aca="false">IF(COUNT(G677:L677)&lt;6,"",ROUND((G677*Rubric!$D$5+H677*Rubric!$D$6+I677*Rubric!$D$7+J677*Rubric!$D$8+K677*Rubric!$D$9+L677*Rubric!$D$10)/5*100,1))</f>
        <v>96</v>
      </c>
      <c r="N677" s="37" t="str">
        <f aca="false">IF(OR(B677="",D677=""),"",IFERROR(IF(IF(E677="Primary",INDEX(Applications!$I$5:$I$600,MATCH(B677,Applications!$A$5:$A$600,0)),IF(E677="Secondary",INDEX(Applications!$J$5:$J$600,MATCH(B677,Applications!$A$5:$A$600,0)),INDEX(Applications!$K$5:$K$600,MATCH(B677,Applications!$A$5:$A$600,0))))=D677,"OK","Not assigned"),"Check ID"))</f>
        <v>OK</v>
      </c>
      <c r="O677" s="7"/>
    </row>
    <row r="678" customFormat="false" ht="15" hidden="false" customHeight="false" outlineLevel="0" collapsed="false">
      <c r="A678" s="35" t="s">
        <v>2075</v>
      </c>
      <c r="B678" s="35" t="s">
        <v>1067</v>
      </c>
      <c r="C678" s="37" t="str">
        <f aca="false">IF(B678="","",IFERROR(INDEX(Applications!$B$5:$B$600,MATCH(B678,Applications!$A$5:$A$600,0)),"Application ID not found"))</f>
        <v>Good Neighbor Growers Cooperative</v>
      </c>
      <c r="D678" s="35" t="s">
        <v>94</v>
      </c>
      <c r="E678" s="35" t="s">
        <v>83</v>
      </c>
      <c r="F678" s="36" t="n">
        <v>45947</v>
      </c>
      <c r="G678" s="35" t="n">
        <v>2</v>
      </c>
      <c r="H678" s="35" t="n">
        <v>2</v>
      </c>
      <c r="I678" s="35" t="n">
        <v>3</v>
      </c>
      <c r="J678" s="35" t="n">
        <v>3</v>
      </c>
      <c r="K678" s="35" t="n">
        <v>4</v>
      </c>
      <c r="L678" s="35" t="n">
        <v>3</v>
      </c>
      <c r="M678" s="50" t="n">
        <f aca="false">IF(COUNT(G678:L678)&lt;6,"",ROUND((G678*Rubric!$D$5+H678*Rubric!$D$6+I678*Rubric!$D$7+J678*Rubric!$D$8+K678*Rubric!$D$9+L678*Rubric!$D$10)/5*100,1))</f>
        <v>53</v>
      </c>
      <c r="N678" s="37" t="str">
        <f aca="false">IF(OR(B678="",D678=""),"",IFERROR(IF(IF(E678="Primary",INDEX(Applications!$I$5:$I$600,MATCH(B678,Applications!$A$5:$A$600,0)),IF(E678="Secondary",INDEX(Applications!$J$5:$J$600,MATCH(B678,Applications!$A$5:$A$600,0)),INDEX(Applications!$K$5:$K$600,MATCH(B678,Applications!$A$5:$A$600,0))))=D678,"OK","Not assigned"),"Check ID"))</f>
        <v>OK</v>
      </c>
      <c r="O678" s="7"/>
    </row>
    <row r="679" customFormat="false" ht="15" hidden="false" customHeight="false" outlineLevel="0" collapsed="false">
      <c r="A679" s="35" t="s">
        <v>2076</v>
      </c>
      <c r="B679" s="35" t="s">
        <v>230</v>
      </c>
      <c r="C679" s="37" t="str">
        <f aca="false">IF(B679="","",IFERROR(INDEX(Applications!$B$5:$B$600,MATCH(B679,Applications!$A$5:$A$600,0)),"Application ID not found"))</f>
        <v>Halifax Food Ventures</v>
      </c>
      <c r="D679" s="35" t="s">
        <v>94</v>
      </c>
      <c r="E679" s="35" t="s">
        <v>80</v>
      </c>
      <c r="F679" s="36" t="n">
        <v>45947</v>
      </c>
      <c r="G679" s="35" t="n">
        <v>5</v>
      </c>
      <c r="H679" s="35" t="n">
        <v>4</v>
      </c>
      <c r="I679" s="35" t="n">
        <v>5</v>
      </c>
      <c r="J679" s="35" t="n">
        <v>5</v>
      </c>
      <c r="K679" s="35" t="n">
        <v>4</v>
      </c>
      <c r="L679" s="35" t="n">
        <v>4</v>
      </c>
      <c r="M679" s="50" t="n">
        <f aca="false">IF(COUNT(G679:L679)&lt;6,"",ROUND((G679*Rubric!$D$5+H679*Rubric!$D$6+I679*Rubric!$D$7+J679*Rubric!$D$8+K679*Rubric!$D$9+L679*Rubric!$D$10)/5*100,1))</f>
        <v>92</v>
      </c>
      <c r="N679" s="37" t="str">
        <f aca="false">IF(OR(B679="",D679=""),"",IFERROR(IF(IF(E679="Primary",INDEX(Applications!$I$5:$I$600,MATCH(B679,Applications!$A$5:$A$600,0)),IF(E679="Secondary",INDEX(Applications!$J$5:$J$600,MATCH(B679,Applications!$A$5:$A$600,0)),INDEX(Applications!$K$5:$K$600,MATCH(B679,Applications!$A$5:$A$600,0))))=D679,"OK","Not assigned"),"Check ID"))</f>
        <v>OK</v>
      </c>
      <c r="O679" s="7"/>
    </row>
    <row r="680" customFormat="false" ht="15" hidden="false" customHeight="false" outlineLevel="0" collapsed="false">
      <c r="A680" s="35" t="s">
        <v>2077</v>
      </c>
      <c r="B680" s="35" t="s">
        <v>1103</v>
      </c>
      <c r="C680" s="37" t="str">
        <f aca="false">IF(B680="","",IFERROR(INDEX(Applications!$B$5:$B$600,MATCH(B680,Applications!$A$5:$A$600,0)),"Application ID not found"))</f>
        <v>Hamilton Bakery Collective</v>
      </c>
      <c r="D680" s="35" t="s">
        <v>94</v>
      </c>
      <c r="E680" s="35" t="s">
        <v>83</v>
      </c>
      <c r="F680" s="36" t="n">
        <v>45947</v>
      </c>
      <c r="G680" s="35" t="n">
        <v>5</v>
      </c>
      <c r="H680" s="35" t="n">
        <v>4</v>
      </c>
      <c r="I680" s="35" t="n">
        <v>4</v>
      </c>
      <c r="J680" s="35" t="n">
        <v>5</v>
      </c>
      <c r="K680" s="35" t="n">
        <v>4</v>
      </c>
      <c r="L680" s="35" t="n">
        <v>5</v>
      </c>
      <c r="M680" s="50" t="n">
        <f aca="false">IF(COUNT(G680:L680)&lt;6,"",ROUND((G680*Rubric!$D$5+H680*Rubric!$D$6+I680*Rubric!$D$7+J680*Rubric!$D$8+K680*Rubric!$D$9+L680*Rubric!$D$10)/5*100,1))</f>
        <v>90</v>
      </c>
      <c r="N680" s="37" t="str">
        <f aca="false">IF(OR(B680="",D680=""),"",IFERROR(IF(IF(E680="Primary",INDEX(Applications!$I$5:$I$600,MATCH(B680,Applications!$A$5:$A$600,0)),IF(E680="Secondary",INDEX(Applications!$J$5:$J$600,MATCH(B680,Applications!$A$5:$A$600,0)),INDEX(Applications!$K$5:$K$600,MATCH(B680,Applications!$A$5:$A$600,0))))=D680,"OK","Not assigned"),"Check ID"))</f>
        <v>OK</v>
      </c>
      <c r="O680" s="7"/>
    </row>
    <row r="681" customFormat="false" ht="15" hidden="false" customHeight="false" outlineLevel="0" collapsed="false">
      <c r="A681" s="35" t="s">
        <v>2078</v>
      </c>
      <c r="B681" s="35" t="s">
        <v>315</v>
      </c>
      <c r="C681" s="37" t="str">
        <f aca="false">IF(B681="","",IFERROR(INDEX(Applications!$B$5:$B$600,MATCH(B681,Applications!$A$5:$A$600,0)),"Application ID not found"))</f>
        <v>Riverbend Pantry Network</v>
      </c>
      <c r="D681" s="35" t="s">
        <v>94</v>
      </c>
      <c r="E681" s="35" t="s">
        <v>83</v>
      </c>
      <c r="F681" s="36" t="n">
        <v>45947</v>
      </c>
      <c r="G681" s="35" t="n">
        <v>4</v>
      </c>
      <c r="H681" s="35" t="n">
        <v>3</v>
      </c>
      <c r="I681" s="35" t="n">
        <v>3</v>
      </c>
      <c r="J681" s="35" t="n">
        <v>3</v>
      </c>
      <c r="K681" s="35" t="n">
        <v>4</v>
      </c>
      <c r="L681" s="35" t="n">
        <v>3</v>
      </c>
      <c r="M681" s="50" t="n">
        <f aca="false">IF(COUNT(G681:L681)&lt;6,"",ROUND((G681*Rubric!$D$5+H681*Rubric!$D$6+I681*Rubric!$D$7+J681*Rubric!$D$8+K681*Rubric!$D$9+L681*Rubric!$D$10)/5*100,1))</f>
        <v>67</v>
      </c>
      <c r="N681" s="37" t="str">
        <f aca="false">IF(OR(B681="",D681=""),"",IFERROR(IF(IF(E681="Primary",INDEX(Applications!$I$5:$I$600,MATCH(B681,Applications!$A$5:$A$600,0)),IF(E681="Secondary",INDEX(Applications!$J$5:$J$600,MATCH(B681,Applications!$A$5:$A$600,0)),INDEX(Applications!$K$5:$K$600,MATCH(B681,Applications!$A$5:$A$600,0))))=D681,"OK","Not assigned"),"Check ID"))</f>
        <v>OK</v>
      </c>
      <c r="O681" s="7"/>
    </row>
    <row r="682" customFormat="false" ht="15" hidden="false" customHeight="false" outlineLevel="0" collapsed="false">
      <c r="A682" s="35" t="s">
        <v>2079</v>
      </c>
      <c r="B682" s="35" t="s">
        <v>486</v>
      </c>
      <c r="C682" s="37" t="str">
        <f aca="false">IF(B682="","",IFERROR(INDEX(Applications!$B$5:$B$600,MATCH(B682,Applications!$A$5:$A$600,0)),"Application ID not found"))</f>
        <v>Louisville Youth Food Lab</v>
      </c>
      <c r="D682" s="35" t="s">
        <v>94</v>
      </c>
      <c r="E682" s="35" t="s">
        <v>83</v>
      </c>
      <c r="F682" s="36" t="n">
        <v>45947</v>
      </c>
      <c r="G682" s="35" t="n">
        <v>3</v>
      </c>
      <c r="H682" s="35" t="n">
        <v>3</v>
      </c>
      <c r="I682" s="35" t="n">
        <v>4</v>
      </c>
      <c r="J682" s="35" t="n">
        <v>3</v>
      </c>
      <c r="K682" s="35" t="n">
        <v>3</v>
      </c>
      <c r="L682" s="35" t="n">
        <v>3</v>
      </c>
      <c r="M682" s="50" t="n">
        <f aca="false">IF(COUNT(G682:L682)&lt;6,"",ROUND((G682*Rubric!$D$5+H682*Rubric!$D$6+I682*Rubric!$D$7+J682*Rubric!$D$8+K682*Rubric!$D$9+L682*Rubric!$D$10)/5*100,1))</f>
        <v>64</v>
      </c>
      <c r="N682" s="37" t="str">
        <f aca="false">IF(OR(B682="",D682=""),"",IFERROR(IF(IF(E682="Primary",INDEX(Applications!$I$5:$I$600,MATCH(B682,Applications!$A$5:$A$600,0)),IF(E682="Secondary",INDEX(Applications!$J$5:$J$600,MATCH(B682,Applications!$A$5:$A$600,0)),INDEX(Applications!$K$5:$K$600,MATCH(B682,Applications!$A$5:$A$600,0))))=D682,"OK","Not assigned"),"Check ID"))</f>
        <v>OK</v>
      </c>
      <c r="O682" s="7" t="s">
        <v>1428</v>
      </c>
    </row>
    <row r="683" customFormat="false" ht="15" hidden="false" customHeight="false" outlineLevel="0" collapsed="false">
      <c r="A683" s="35" t="s">
        <v>2080</v>
      </c>
      <c r="B683" s="35" t="s">
        <v>1299</v>
      </c>
      <c r="C683" s="37" t="str">
        <f aca="false">IF(B683="","",IFERROR(INDEX(Applications!$B$5:$B$600,MATCH(B683,Applications!$A$5:$A$600,0)),"Application ID not found"))</f>
        <v>Pune Meals Project</v>
      </c>
      <c r="D683" s="35" t="s">
        <v>94</v>
      </c>
      <c r="E683" s="35" t="s">
        <v>80</v>
      </c>
      <c r="F683" s="36" t="n">
        <v>45947</v>
      </c>
      <c r="G683" s="35" t="n">
        <v>4</v>
      </c>
      <c r="H683" s="35" t="n">
        <v>4</v>
      </c>
      <c r="I683" s="35" t="n">
        <v>4</v>
      </c>
      <c r="J683" s="35" t="n">
        <v>4</v>
      </c>
      <c r="K683" s="35" t="n">
        <v>3</v>
      </c>
      <c r="L683" s="35" t="n">
        <v>3</v>
      </c>
      <c r="M683" s="50" t="n">
        <f aca="false">IF(COUNT(G683:L683)&lt;6,"",ROUND((G683*Rubric!$D$5+H683*Rubric!$D$6+I683*Rubric!$D$7+J683*Rubric!$D$8+K683*Rubric!$D$9+L683*Rubric!$D$10)/5*100,1))</f>
        <v>76</v>
      </c>
      <c r="N683" s="37" t="str">
        <f aca="false">IF(OR(B683="",D683=""),"",IFERROR(IF(IF(E683="Primary",INDEX(Applications!$I$5:$I$600,MATCH(B683,Applications!$A$5:$A$600,0)),IF(E683="Secondary",INDEX(Applications!$J$5:$J$600,MATCH(B683,Applications!$A$5:$A$600,0)),INDEX(Applications!$K$5:$K$600,MATCH(B683,Applications!$A$5:$A$600,0))))=D683,"OK","Not assigned"),"Check ID"))</f>
        <v>OK</v>
      </c>
      <c r="O683" s="7"/>
    </row>
    <row r="684" customFormat="false" ht="15" hidden="false" customHeight="false" outlineLevel="0" collapsed="false">
      <c r="A684" s="35" t="s">
        <v>2081</v>
      </c>
      <c r="B684" s="35" t="s">
        <v>436</v>
      </c>
      <c r="C684" s="37" t="str">
        <f aca="false">IF(B684="","",IFERROR(INDEX(Applications!$B$5:$B$600,MATCH(B684,Applications!$A$5:$A$600,0)),"Application ID not found"))</f>
        <v>Marigold Pantry Network</v>
      </c>
      <c r="D684" s="35" t="s">
        <v>94</v>
      </c>
      <c r="E684" s="35" t="s">
        <v>86</v>
      </c>
      <c r="F684" s="36" t="n">
        <v>45947</v>
      </c>
      <c r="G684" s="35" t="n">
        <v>3</v>
      </c>
      <c r="H684" s="35" t="n">
        <v>4</v>
      </c>
      <c r="I684" s="35" t="n">
        <v>4</v>
      </c>
      <c r="J684" s="35" t="n">
        <v>4</v>
      </c>
      <c r="K684" s="35" t="n">
        <v>4</v>
      </c>
      <c r="L684" s="35" t="n">
        <v>5</v>
      </c>
      <c r="M684" s="50" t="n">
        <f aca="false">IF(COUNT(G684:L684)&lt;6,"",ROUND((G684*Rubric!$D$5+H684*Rubric!$D$6+I684*Rubric!$D$7+J684*Rubric!$D$8+K684*Rubric!$D$9+L684*Rubric!$D$10)/5*100,1))</f>
        <v>77</v>
      </c>
      <c r="N684" s="37" t="str">
        <f aca="false">IF(OR(B684="",D684=""),"",IFERROR(IF(IF(E684="Primary",INDEX(Applications!$I$5:$I$600,MATCH(B684,Applications!$A$5:$A$600,0)),IF(E684="Secondary",INDEX(Applications!$J$5:$J$600,MATCH(B684,Applications!$A$5:$A$600,0)),INDEX(Applications!$K$5:$K$600,MATCH(B684,Applications!$A$5:$A$600,0))))=D684,"OK","Not assigned"),"Check ID"))</f>
        <v>OK</v>
      </c>
      <c r="O684" s="7"/>
    </row>
    <row r="685" customFormat="false" ht="15" hidden="false" customHeight="false" outlineLevel="0" collapsed="false">
      <c r="A685" s="35" t="s">
        <v>2082</v>
      </c>
      <c r="B685" s="35" t="s">
        <v>245</v>
      </c>
      <c r="C685" s="37" t="str">
        <f aca="false">IF(B685="","",IFERROR(INDEX(Applications!$B$5:$B$600,MATCH(B685,Applications!$A$5:$A$600,0)),"Application ID not found"))</f>
        <v>Bogotá Bakery Collective</v>
      </c>
      <c r="D685" s="35" t="s">
        <v>85</v>
      </c>
      <c r="E685" s="35" t="s">
        <v>83</v>
      </c>
      <c r="F685" s="36" t="n">
        <v>45947</v>
      </c>
      <c r="G685" s="35" t="n">
        <v>4</v>
      </c>
      <c r="H685" s="35" t="n">
        <v>3</v>
      </c>
      <c r="I685" s="35" t="n">
        <v>3</v>
      </c>
      <c r="J685" s="35" t="n">
        <v>3</v>
      </c>
      <c r="K685" s="35" t="n">
        <v>3</v>
      </c>
      <c r="L685" s="35" t="n">
        <v>3</v>
      </c>
      <c r="M685" s="50" t="n">
        <f aca="false">IF(COUNT(G685:L685)&lt;6,"",ROUND((G685*Rubric!$D$5+H685*Rubric!$D$6+I685*Rubric!$D$7+J685*Rubric!$D$8+K685*Rubric!$D$9+L685*Rubric!$D$10)/5*100,1))</f>
        <v>65</v>
      </c>
      <c r="N685" s="37" t="str">
        <f aca="false">IF(OR(B685="",D685=""),"",IFERROR(IF(IF(E685="Primary",INDEX(Applications!$I$5:$I$600,MATCH(B685,Applications!$A$5:$A$600,0)),IF(E685="Secondary",INDEX(Applications!$J$5:$J$600,MATCH(B685,Applications!$A$5:$A$600,0)),INDEX(Applications!$K$5:$K$600,MATCH(B685,Applications!$A$5:$A$600,0))))=D685,"OK","Not assigned"),"Check ID"))</f>
        <v>OK</v>
      </c>
      <c r="O685" s="7" t="s">
        <v>1426</v>
      </c>
    </row>
    <row r="686" customFormat="false" ht="15" hidden="false" customHeight="false" outlineLevel="0" collapsed="false">
      <c r="A686" s="35" t="s">
        <v>2083</v>
      </c>
      <c r="B686" s="35" t="s">
        <v>1079</v>
      </c>
      <c r="C686" s="37" t="str">
        <f aca="false">IF(B686="","",IFERROR(INDEX(Applications!$B$5:$B$600,MATCH(B686,Applications!$A$5:$A$600,0)),"Application ID not found"))</f>
        <v>Atlanta Mobile Market</v>
      </c>
      <c r="D686" s="35" t="s">
        <v>85</v>
      </c>
      <c r="E686" s="35" t="s">
        <v>83</v>
      </c>
      <c r="F686" s="36" t="n">
        <v>45947</v>
      </c>
      <c r="G686" s="35" t="n">
        <v>3</v>
      </c>
      <c r="H686" s="35" t="n">
        <v>3</v>
      </c>
      <c r="I686" s="35" t="n">
        <v>3</v>
      </c>
      <c r="J686" s="35" t="n">
        <v>3</v>
      </c>
      <c r="K686" s="35" t="n">
        <v>3</v>
      </c>
      <c r="L686" s="35" t="n">
        <v>3</v>
      </c>
      <c r="M686" s="50" t="n">
        <f aca="false">IF(COUNT(G686:L686)&lt;6,"",ROUND((G686*Rubric!$D$5+H686*Rubric!$D$6+I686*Rubric!$D$7+J686*Rubric!$D$8+K686*Rubric!$D$9+L686*Rubric!$D$10)/5*100,1))</f>
        <v>60</v>
      </c>
      <c r="N686" s="37" t="str">
        <f aca="false">IF(OR(B686="",D686=""),"",IFERROR(IF(IF(E686="Primary",INDEX(Applications!$I$5:$I$600,MATCH(B686,Applications!$A$5:$A$600,0)),IF(E686="Secondary",INDEX(Applications!$J$5:$J$600,MATCH(B686,Applications!$A$5:$A$600,0)),INDEX(Applications!$K$5:$K$600,MATCH(B686,Applications!$A$5:$A$600,0))))=D686,"OK","Not assigned"),"Check ID"))</f>
        <v>OK</v>
      </c>
      <c r="O686" s="7"/>
    </row>
    <row r="687" customFormat="false" ht="15" hidden="false" customHeight="false" outlineLevel="0" collapsed="false">
      <c r="A687" s="35" t="s">
        <v>2084</v>
      </c>
      <c r="B687" s="35" t="s">
        <v>235</v>
      </c>
      <c r="C687" s="37" t="str">
        <f aca="false">IF(B687="","",IFERROR(INDEX(Applications!$B$5:$B$600,MATCH(B687,Applications!$A$5:$A$600,0)),"Application ID not found"))</f>
        <v>Akron Youth Food Lab</v>
      </c>
      <c r="D687" s="35" t="s">
        <v>85</v>
      </c>
      <c r="E687" s="35" t="s">
        <v>83</v>
      </c>
      <c r="F687" s="36" t="n">
        <v>45947</v>
      </c>
      <c r="G687" s="35" t="n">
        <v>3</v>
      </c>
      <c r="H687" s="35" t="n">
        <v>3</v>
      </c>
      <c r="I687" s="35" t="n">
        <v>4</v>
      </c>
      <c r="J687" s="35" t="n">
        <v>3</v>
      </c>
      <c r="K687" s="35" t="n">
        <v>4</v>
      </c>
      <c r="L687" s="35" t="n">
        <v>3</v>
      </c>
      <c r="M687" s="50" t="n">
        <f aca="false">IF(COUNT(G687:L687)&lt;6,"",ROUND((G687*Rubric!$D$5+H687*Rubric!$D$6+I687*Rubric!$D$7+J687*Rubric!$D$8+K687*Rubric!$D$9+L687*Rubric!$D$10)/5*100,1))</f>
        <v>66</v>
      </c>
      <c r="N687" s="37" t="str">
        <f aca="false">IF(OR(B687="",D687=""),"",IFERROR(IF(IF(E687="Primary",INDEX(Applications!$I$5:$I$600,MATCH(B687,Applications!$A$5:$A$600,0)),IF(E687="Secondary",INDEX(Applications!$J$5:$J$600,MATCH(B687,Applications!$A$5:$A$600,0)),INDEX(Applications!$K$5:$K$600,MATCH(B687,Applications!$A$5:$A$600,0))))=D687,"OK","Not assigned"),"Check ID"))</f>
        <v>OK</v>
      </c>
      <c r="O687" s="7"/>
    </row>
    <row r="688" customFormat="false" ht="15" hidden="false" customHeight="false" outlineLevel="0" collapsed="false">
      <c r="A688" s="35" t="s">
        <v>2085</v>
      </c>
      <c r="B688" s="35" t="s">
        <v>1211</v>
      </c>
      <c r="C688" s="37" t="str">
        <f aca="false">IF(B688="","",IFERROR(INDEX(Applications!$B$5:$B$600,MATCH(B688,Applications!$A$5:$A$600,0)),"Application ID not found"))</f>
        <v>Chicago Food Bank</v>
      </c>
      <c r="D688" s="35" t="s">
        <v>85</v>
      </c>
      <c r="E688" s="35" t="s">
        <v>83</v>
      </c>
      <c r="F688" s="36" t="n">
        <v>45947</v>
      </c>
      <c r="G688" s="35" t="n">
        <v>2</v>
      </c>
      <c r="H688" s="35" t="n">
        <v>2</v>
      </c>
      <c r="I688" s="35" t="n">
        <v>3</v>
      </c>
      <c r="J688" s="35" t="n">
        <v>2</v>
      </c>
      <c r="K688" s="35" t="n">
        <v>3</v>
      </c>
      <c r="L688" s="35" t="n">
        <v>3</v>
      </c>
      <c r="M688" s="50" t="n">
        <f aca="false">IF(COUNT(G688:L688)&lt;6,"",ROUND((G688*Rubric!$D$5+H688*Rubric!$D$6+I688*Rubric!$D$7+J688*Rubric!$D$8+K688*Rubric!$D$9+L688*Rubric!$D$10)/5*100,1))</f>
        <v>48</v>
      </c>
      <c r="N688" s="37" t="str">
        <f aca="false">IF(OR(B688="",D688=""),"",IFERROR(IF(IF(E688="Primary",INDEX(Applications!$I$5:$I$600,MATCH(B688,Applications!$A$5:$A$600,0)),IF(E688="Secondary",INDEX(Applications!$J$5:$J$600,MATCH(B688,Applications!$A$5:$A$600,0)),INDEX(Applications!$K$5:$K$600,MATCH(B688,Applications!$A$5:$A$600,0))))=D688,"OK","Not assigned"),"Check ID"))</f>
        <v>OK</v>
      </c>
      <c r="O688" s="7"/>
    </row>
    <row r="689" customFormat="false" ht="15" hidden="false" customHeight="false" outlineLevel="0" collapsed="false">
      <c r="A689" s="35" t="s">
        <v>2086</v>
      </c>
      <c r="B689" s="35" t="s">
        <v>1297</v>
      </c>
      <c r="C689" s="37" t="str">
        <f aca="false">IF(B689="","",IFERROR(INDEX(Applications!$B$5:$B$600,MATCH(B689,Applications!$A$5:$A$600,0)),"Application ID not found"))</f>
        <v>Tucson Kitchen Project</v>
      </c>
      <c r="D689" s="35" t="s">
        <v>85</v>
      </c>
      <c r="E689" s="35" t="s">
        <v>83</v>
      </c>
      <c r="F689" s="36" t="n">
        <v>45947</v>
      </c>
      <c r="G689" s="35" t="n">
        <v>4</v>
      </c>
      <c r="H689" s="35" t="n">
        <v>4</v>
      </c>
      <c r="I689" s="35" t="n">
        <v>3</v>
      </c>
      <c r="J689" s="35" t="n">
        <v>4</v>
      </c>
      <c r="K689" s="35" t="n">
        <v>3</v>
      </c>
      <c r="L689" s="35" t="n">
        <v>4</v>
      </c>
      <c r="M689" s="50" t="n">
        <f aca="false">IF(COUNT(G689:L689)&lt;6,"",ROUND((G689*Rubric!$D$5+H689*Rubric!$D$6+I689*Rubric!$D$7+J689*Rubric!$D$8+K689*Rubric!$D$9+L689*Rubric!$D$10)/5*100,1))</f>
        <v>74</v>
      </c>
      <c r="N689" s="37" t="str">
        <f aca="false">IF(OR(B689="",D689=""),"",IFERROR(IF(IF(E689="Primary",INDEX(Applications!$I$5:$I$600,MATCH(B689,Applications!$A$5:$A$600,0)),IF(E689="Secondary",INDEX(Applications!$J$5:$J$600,MATCH(B689,Applications!$A$5:$A$600,0)),INDEX(Applications!$K$5:$K$600,MATCH(B689,Applications!$A$5:$A$600,0))))=D689,"OK","Not assigned"),"Check ID"))</f>
        <v>OK</v>
      </c>
      <c r="O689" s="7"/>
    </row>
    <row r="690" customFormat="false" ht="15" hidden="false" customHeight="false" outlineLevel="0" collapsed="false">
      <c r="A690" s="35" t="s">
        <v>2087</v>
      </c>
      <c r="B690" s="35" t="s">
        <v>1289</v>
      </c>
      <c r="C690" s="37" t="str">
        <f aca="false">IF(B690="","",IFERROR(INDEX(Applications!$B$5:$B$600,MATCH(B690,Applications!$A$5:$A$600,0)),"Application ID not found"))</f>
        <v>Cape Town Mobile Market</v>
      </c>
      <c r="D690" s="35" t="s">
        <v>85</v>
      </c>
      <c r="E690" s="35" t="s">
        <v>83</v>
      </c>
      <c r="F690" s="36" t="n">
        <v>45947</v>
      </c>
      <c r="G690" s="35" t="n">
        <v>4</v>
      </c>
      <c r="H690" s="35" t="n">
        <v>4</v>
      </c>
      <c r="I690" s="35" t="n">
        <v>3</v>
      </c>
      <c r="J690" s="35" t="n">
        <v>4</v>
      </c>
      <c r="K690" s="35" t="n">
        <v>3</v>
      </c>
      <c r="L690" s="35" t="n">
        <v>3</v>
      </c>
      <c r="M690" s="50" t="n">
        <f aca="false">IF(COUNT(G690:L690)&lt;6,"",ROUND((G690*Rubric!$D$5+H690*Rubric!$D$6+I690*Rubric!$D$7+J690*Rubric!$D$8+K690*Rubric!$D$9+L690*Rubric!$D$10)/5*100,1))</f>
        <v>72</v>
      </c>
      <c r="N690" s="37" t="str">
        <f aca="false">IF(OR(B690="",D690=""),"",IFERROR(IF(IF(E690="Primary",INDEX(Applications!$I$5:$I$600,MATCH(B690,Applications!$A$5:$A$600,0)),IF(E690="Secondary",INDEX(Applications!$J$5:$J$600,MATCH(B690,Applications!$A$5:$A$600,0)),INDEX(Applications!$K$5:$K$600,MATCH(B690,Applications!$A$5:$A$600,0))))=D690,"OK","Not assigned"),"Check ID"))</f>
        <v>OK</v>
      </c>
      <c r="O690" s="7"/>
    </row>
    <row r="691" customFormat="false" ht="15" hidden="false" customHeight="false" outlineLevel="0" collapsed="false">
      <c r="A691" s="35" t="s">
        <v>2088</v>
      </c>
      <c r="B691" s="35" t="s">
        <v>492</v>
      </c>
      <c r="C691" s="37" t="str">
        <f aca="false">IF(B691="","",IFERROR(INDEX(Applications!$B$5:$B$600,MATCH(B691,Applications!$A$5:$A$600,0)),"Application ID not found"))</f>
        <v>Two Rivers Family Center</v>
      </c>
      <c r="D691" s="35" t="s">
        <v>85</v>
      </c>
      <c r="E691" s="35" t="s">
        <v>80</v>
      </c>
      <c r="F691" s="36" t="n">
        <v>45947</v>
      </c>
      <c r="G691" s="35" t="n">
        <v>2</v>
      </c>
      <c r="H691" s="35" t="n">
        <v>3</v>
      </c>
      <c r="I691" s="35" t="n">
        <v>3</v>
      </c>
      <c r="J691" s="35" t="n">
        <v>3</v>
      </c>
      <c r="K691" s="35" t="n">
        <v>3</v>
      </c>
      <c r="L691" s="35" t="n">
        <v>3</v>
      </c>
      <c r="M691" s="50" t="n">
        <f aca="false">IF(COUNT(G691:L691)&lt;6,"",ROUND((G691*Rubric!$D$5+H691*Rubric!$D$6+I691*Rubric!$D$7+J691*Rubric!$D$8+K691*Rubric!$D$9+L691*Rubric!$D$10)/5*100,1))</f>
        <v>55</v>
      </c>
      <c r="N691" s="37" t="str">
        <f aca="false">IF(OR(B691="",D691=""),"",IFERROR(IF(IF(E691="Primary",INDEX(Applications!$I$5:$I$600,MATCH(B691,Applications!$A$5:$A$600,0)),IF(E691="Secondary",INDEX(Applications!$J$5:$J$600,MATCH(B691,Applications!$A$5:$A$600,0)),INDEX(Applications!$K$5:$K$600,MATCH(B691,Applications!$A$5:$A$600,0))))=D691,"OK","Not assigned"),"Check ID"))</f>
        <v>OK</v>
      </c>
      <c r="O691" s="7"/>
    </row>
    <row r="692" customFormat="false" ht="15" hidden="false" customHeight="false" outlineLevel="0" collapsed="false">
      <c r="A692" s="35" t="s">
        <v>2089</v>
      </c>
      <c r="B692" s="35" t="s">
        <v>943</v>
      </c>
      <c r="C692" s="37" t="str">
        <f aca="false">IF(B692="","",IFERROR(INDEX(Applications!$B$5:$B$600,MATCH(B692,Applications!$A$5:$A$600,0)),"Application ID not found"))</f>
        <v>Halifax Pantry Network</v>
      </c>
      <c r="D692" s="35" t="s">
        <v>85</v>
      </c>
      <c r="E692" s="35" t="s">
        <v>83</v>
      </c>
      <c r="F692" s="36" t="n">
        <v>45947</v>
      </c>
      <c r="G692" s="35" t="n">
        <v>3</v>
      </c>
      <c r="H692" s="35" t="n">
        <v>3</v>
      </c>
      <c r="I692" s="35" t="n">
        <v>3</v>
      </c>
      <c r="J692" s="35" t="n">
        <v>3</v>
      </c>
      <c r="K692" s="35" t="n">
        <v>3</v>
      </c>
      <c r="L692" s="35" t="n">
        <v>3</v>
      </c>
      <c r="M692" s="50" t="n">
        <f aca="false">IF(COUNT(G692:L692)&lt;6,"",ROUND((G692*Rubric!$D$5+H692*Rubric!$D$6+I692*Rubric!$D$7+J692*Rubric!$D$8+K692*Rubric!$D$9+L692*Rubric!$D$10)/5*100,1))</f>
        <v>60</v>
      </c>
      <c r="N692" s="37" t="str">
        <f aca="false">IF(OR(B692="",D692=""),"",IFERROR(IF(IF(E692="Primary",INDEX(Applications!$I$5:$I$600,MATCH(B692,Applications!$A$5:$A$600,0)),IF(E692="Secondary",INDEX(Applications!$J$5:$J$600,MATCH(B692,Applications!$A$5:$A$600,0)),INDEX(Applications!$K$5:$K$600,MATCH(B692,Applications!$A$5:$A$600,0))))=D692,"OK","Not assigned"),"Check ID"))</f>
        <v>OK</v>
      </c>
      <c r="O692" s="7"/>
    </row>
    <row r="693" customFormat="false" ht="15" hidden="false" customHeight="false" outlineLevel="0" collapsed="false">
      <c r="A693" s="35" t="s">
        <v>2090</v>
      </c>
      <c r="B693" s="35" t="s">
        <v>349</v>
      </c>
      <c r="C693" s="37" t="str">
        <f aca="false">IF(B693="","",IFERROR(INDEX(Applications!$B$5:$B$600,MATCH(B693,Applications!$A$5:$A$600,0)),"Application ID not found"))</f>
        <v>Commonground Cafe Training Program</v>
      </c>
      <c r="D693" s="35" t="s">
        <v>85</v>
      </c>
      <c r="E693" s="35" t="s">
        <v>83</v>
      </c>
      <c r="F693" s="36" t="n">
        <v>45947</v>
      </c>
      <c r="G693" s="35" t="n">
        <v>3</v>
      </c>
      <c r="H693" s="35" t="n">
        <v>3</v>
      </c>
      <c r="I693" s="35" t="n">
        <v>3</v>
      </c>
      <c r="J693" s="35" t="n">
        <v>4</v>
      </c>
      <c r="K693" s="35" t="n">
        <v>3</v>
      </c>
      <c r="L693" s="35" t="n">
        <v>3</v>
      </c>
      <c r="M693" s="50" t="n">
        <f aca="false">IF(COUNT(G693:L693)&lt;6,"",ROUND((G693*Rubric!$D$5+H693*Rubric!$D$6+I693*Rubric!$D$7+J693*Rubric!$D$8+K693*Rubric!$D$9+L693*Rubric!$D$10)/5*100,1))</f>
        <v>63</v>
      </c>
      <c r="N693" s="37" t="str">
        <f aca="false">IF(OR(B693="",D693=""),"",IFERROR(IF(IF(E693="Primary",INDEX(Applications!$I$5:$I$600,MATCH(B693,Applications!$A$5:$A$600,0)),IF(E693="Secondary",INDEX(Applications!$J$5:$J$600,MATCH(B693,Applications!$A$5:$A$600,0)),INDEX(Applications!$K$5:$K$600,MATCH(B693,Applications!$A$5:$A$600,0))))=D693,"OK","Not assigned"),"Check ID"))</f>
        <v>OK</v>
      </c>
      <c r="O693" s="7"/>
    </row>
    <row r="694" customFormat="false" ht="15" hidden="false" customHeight="false" outlineLevel="0" collapsed="false">
      <c r="A694" s="35" t="s">
        <v>2091</v>
      </c>
      <c r="B694" s="35" t="s">
        <v>1195</v>
      </c>
      <c r="C694" s="37" t="str">
        <f aca="false">IF(B694="","",IFERROR(INDEX(Applications!$B$5:$B$600,MATCH(B694,Applications!$A$5:$A$600,0)),"Application ID not found"))</f>
        <v>Atlanta Farm Collective</v>
      </c>
      <c r="D694" s="35" t="s">
        <v>85</v>
      </c>
      <c r="E694" s="35" t="s">
        <v>83</v>
      </c>
      <c r="F694" s="36" t="n">
        <v>45947</v>
      </c>
      <c r="G694" s="35" t="n">
        <v>2</v>
      </c>
      <c r="H694" s="35" t="n">
        <v>2</v>
      </c>
      <c r="I694" s="35" t="n">
        <v>2</v>
      </c>
      <c r="J694" s="35" t="n">
        <v>2</v>
      </c>
      <c r="K694" s="35" t="n">
        <v>2</v>
      </c>
      <c r="L694" s="35" t="n">
        <v>2</v>
      </c>
      <c r="M694" s="50" t="n">
        <f aca="false">IF(COUNT(G694:L694)&lt;6,"",ROUND((G694*Rubric!$D$5+H694*Rubric!$D$6+I694*Rubric!$D$7+J694*Rubric!$D$8+K694*Rubric!$D$9+L694*Rubric!$D$10)/5*100,1))</f>
        <v>40</v>
      </c>
      <c r="N694" s="37" t="str">
        <f aca="false">IF(OR(B694="",D694=""),"",IFERROR(IF(IF(E694="Primary",INDEX(Applications!$I$5:$I$600,MATCH(B694,Applications!$A$5:$A$600,0)),IF(E694="Secondary",INDEX(Applications!$J$5:$J$600,MATCH(B694,Applications!$A$5:$A$600,0)),INDEX(Applications!$K$5:$K$600,MATCH(B694,Applications!$A$5:$A$600,0))))=D694,"OK","Not assigned"),"Check ID"))</f>
        <v>OK</v>
      </c>
      <c r="O694" s="7"/>
    </row>
    <row r="695" customFormat="false" ht="15" hidden="false" customHeight="false" outlineLevel="0" collapsed="false">
      <c r="A695" s="35" t="s">
        <v>2092</v>
      </c>
      <c r="B695" s="35" t="s">
        <v>436</v>
      </c>
      <c r="C695" s="37" t="str">
        <f aca="false">IF(B695="","",IFERROR(INDEX(Applications!$B$5:$B$600,MATCH(B695,Applications!$A$5:$A$600,0)),"Application ID not found"))</f>
        <v>Marigold Pantry Network</v>
      </c>
      <c r="D695" s="35" t="s">
        <v>85</v>
      </c>
      <c r="E695" s="35" t="s">
        <v>80</v>
      </c>
      <c r="F695" s="36" t="n">
        <v>45947</v>
      </c>
      <c r="G695" s="35" t="n">
        <v>4</v>
      </c>
      <c r="H695" s="35" t="n">
        <v>4</v>
      </c>
      <c r="I695" s="35" t="n">
        <v>4</v>
      </c>
      <c r="J695" s="35" t="n">
        <v>4</v>
      </c>
      <c r="K695" s="35" t="n">
        <v>4</v>
      </c>
      <c r="L695" s="35" t="n">
        <v>3</v>
      </c>
      <c r="M695" s="50" t="n">
        <f aca="false">IF(COUNT(G695:L695)&lt;6,"",ROUND((G695*Rubric!$D$5+H695*Rubric!$D$6+I695*Rubric!$D$7+J695*Rubric!$D$8+K695*Rubric!$D$9+L695*Rubric!$D$10)/5*100,1))</f>
        <v>78</v>
      </c>
      <c r="N695" s="37" t="str">
        <f aca="false">IF(OR(B695="",D695=""),"",IFERROR(IF(IF(E695="Primary",INDEX(Applications!$I$5:$I$600,MATCH(B695,Applications!$A$5:$A$600,0)),IF(E695="Secondary",INDEX(Applications!$J$5:$J$600,MATCH(B695,Applications!$A$5:$A$600,0)),INDEX(Applications!$K$5:$K$600,MATCH(B695,Applications!$A$5:$A$600,0))))=D695,"OK","Not assigned"),"Check ID"))</f>
        <v>OK</v>
      </c>
      <c r="O695" s="7"/>
    </row>
    <row r="696" customFormat="false" ht="15" hidden="false" customHeight="false" outlineLevel="0" collapsed="false">
      <c r="A696" s="35" t="s">
        <v>2093</v>
      </c>
      <c r="B696" s="35" t="s">
        <v>243</v>
      </c>
      <c r="C696" s="37" t="str">
        <f aca="false">IF(B696="","",IFERROR(INDEX(Applications!$B$5:$B$600,MATCH(B696,Applications!$A$5:$A$600,0)),"Application ID not found"))</f>
        <v>Bluestem Kitchen Project</v>
      </c>
      <c r="D696" s="35" t="s">
        <v>85</v>
      </c>
      <c r="E696" s="35" t="s">
        <v>83</v>
      </c>
      <c r="F696" s="36" t="n">
        <v>45947</v>
      </c>
      <c r="G696" s="35" t="n">
        <v>3</v>
      </c>
      <c r="H696" s="35" t="n">
        <v>3</v>
      </c>
      <c r="I696" s="35" t="n">
        <v>4</v>
      </c>
      <c r="J696" s="35" t="n">
        <v>3</v>
      </c>
      <c r="K696" s="35" t="n">
        <v>3</v>
      </c>
      <c r="L696" s="35" t="n">
        <v>3</v>
      </c>
      <c r="M696" s="50" t="n">
        <f aca="false">IF(COUNT(G696:L696)&lt;6,"",ROUND((G696*Rubric!$D$5+H696*Rubric!$D$6+I696*Rubric!$D$7+J696*Rubric!$D$8+K696*Rubric!$D$9+L696*Rubric!$D$10)/5*100,1))</f>
        <v>64</v>
      </c>
      <c r="N696" s="37" t="str">
        <f aca="false">IF(OR(B696="",D696=""),"",IFERROR(IF(IF(E696="Primary",INDEX(Applications!$I$5:$I$600,MATCH(B696,Applications!$A$5:$A$600,0)),IF(E696="Secondary",INDEX(Applications!$J$5:$J$600,MATCH(B696,Applications!$A$5:$A$600,0)),INDEX(Applications!$K$5:$K$600,MATCH(B696,Applications!$A$5:$A$600,0))))=D696,"OK","Not assigned"),"Check ID"))</f>
        <v>OK</v>
      </c>
      <c r="O696" s="7"/>
    </row>
    <row r="697" customFormat="false" ht="15" hidden="false" customHeight="false" outlineLevel="0" collapsed="false">
      <c r="A697" s="35" t="s">
        <v>2094</v>
      </c>
      <c r="B697" s="35" t="s">
        <v>278</v>
      </c>
      <c r="C697" s="37" t="str">
        <f aca="false">IF(B697="","",IFERROR(INDEX(Applications!$B$5:$B$600,MATCH(B697,Applications!$A$5:$A$600,0)),"Application ID not found"))</f>
        <v>High Plains Food Bank</v>
      </c>
      <c r="D697" s="35" t="s">
        <v>85</v>
      </c>
      <c r="E697" s="35" t="s">
        <v>80</v>
      </c>
      <c r="F697" s="36" t="n">
        <v>45947</v>
      </c>
      <c r="G697" s="35" t="n">
        <v>4</v>
      </c>
      <c r="H697" s="35" t="n">
        <v>3</v>
      </c>
      <c r="I697" s="35" t="n">
        <v>3</v>
      </c>
      <c r="J697" s="35" t="n">
        <v>4</v>
      </c>
      <c r="K697" s="35" t="n">
        <v>4</v>
      </c>
      <c r="L697" s="35" t="n">
        <v>3</v>
      </c>
      <c r="M697" s="50" t="n">
        <f aca="false">IF(COUNT(G697:L697)&lt;6,"",ROUND((G697*Rubric!$D$5+H697*Rubric!$D$6+I697*Rubric!$D$7+J697*Rubric!$D$8+K697*Rubric!$D$9+L697*Rubric!$D$10)/5*100,1))</f>
        <v>70</v>
      </c>
      <c r="N697" s="37" t="str">
        <f aca="false">IF(OR(B697="",D697=""),"",IFERROR(IF(IF(E697="Primary",INDEX(Applications!$I$5:$I$600,MATCH(B697,Applications!$A$5:$A$600,0)),IF(E697="Secondary",INDEX(Applications!$J$5:$J$600,MATCH(B697,Applications!$A$5:$A$600,0)),INDEX(Applications!$K$5:$K$600,MATCH(B697,Applications!$A$5:$A$600,0))))=D697,"OK","Not assigned"),"Check ID"))</f>
        <v>OK</v>
      </c>
      <c r="O697" s="7"/>
    </row>
    <row r="698" customFormat="false" ht="15" hidden="false" customHeight="false" outlineLevel="0" collapsed="false">
      <c r="A698" s="35" t="s">
        <v>2095</v>
      </c>
      <c r="B698" s="35" t="s">
        <v>867</v>
      </c>
      <c r="C698" s="37" t="str">
        <f aca="false">IF(B698="","",IFERROR(INDEX(Applications!$B$5:$B$600,MATCH(B698,Applications!$A$5:$A$600,0)),"Application ID not found"))</f>
        <v>Cork Family Center</v>
      </c>
      <c r="D698" s="35" t="s">
        <v>85</v>
      </c>
      <c r="E698" s="35" t="s">
        <v>80</v>
      </c>
      <c r="F698" s="36" t="n">
        <v>45947</v>
      </c>
      <c r="G698" s="35" t="n">
        <v>3</v>
      </c>
      <c r="H698" s="35" t="n">
        <v>2</v>
      </c>
      <c r="I698" s="35" t="n">
        <v>3</v>
      </c>
      <c r="J698" s="35" t="n">
        <v>3</v>
      </c>
      <c r="K698" s="35" t="n">
        <v>3</v>
      </c>
      <c r="L698" s="35" t="n">
        <v>4</v>
      </c>
      <c r="M698" s="50" t="n">
        <f aca="false">IF(COUNT(G698:L698)&lt;6,"",ROUND((G698*Rubric!$D$5+H698*Rubric!$D$6+I698*Rubric!$D$7+J698*Rubric!$D$8+K698*Rubric!$D$9+L698*Rubric!$D$10)/5*100,1))</f>
        <v>58</v>
      </c>
      <c r="N698" s="37" t="str">
        <f aca="false">IF(OR(B698="",D698=""),"",IFERROR(IF(IF(E698="Primary",INDEX(Applications!$I$5:$I$600,MATCH(B698,Applications!$A$5:$A$600,0)),IF(E698="Secondary",INDEX(Applications!$J$5:$J$600,MATCH(B698,Applications!$A$5:$A$600,0)),INDEX(Applications!$K$5:$K$600,MATCH(B698,Applications!$A$5:$A$600,0))))=D698,"OK","Not assigned"),"Check ID"))</f>
        <v>OK</v>
      </c>
      <c r="O698" s="7" t="s">
        <v>1426</v>
      </c>
    </row>
    <row r="699" customFormat="false" ht="15" hidden="false" customHeight="false" outlineLevel="0" collapsed="false">
      <c r="A699" s="35" t="s">
        <v>2096</v>
      </c>
      <c r="B699" s="35" t="s">
        <v>428</v>
      </c>
      <c r="C699" s="37" t="str">
        <f aca="false">IF(B699="","",IFERROR(INDEX(Applications!$B$5:$B$600,MATCH(B699,Applications!$A$5:$A$600,0)),"Application ID not found"))</f>
        <v>Memphis Cafe Training Program</v>
      </c>
      <c r="D699" s="35" t="s">
        <v>85</v>
      </c>
      <c r="E699" s="35" t="s">
        <v>83</v>
      </c>
      <c r="F699" s="36" t="n">
        <v>45947</v>
      </c>
      <c r="G699" s="35" t="n">
        <v>4</v>
      </c>
      <c r="H699" s="35" t="n">
        <v>4</v>
      </c>
      <c r="I699" s="35" t="n">
        <v>4</v>
      </c>
      <c r="J699" s="35" t="n">
        <v>4</v>
      </c>
      <c r="K699" s="35" t="n">
        <v>4</v>
      </c>
      <c r="L699" s="35" t="n">
        <v>3</v>
      </c>
      <c r="M699" s="50" t="n">
        <f aca="false">IF(COUNT(G699:L699)&lt;6,"",ROUND((G699*Rubric!$D$5+H699*Rubric!$D$6+I699*Rubric!$D$7+J699*Rubric!$D$8+K699*Rubric!$D$9+L699*Rubric!$D$10)/5*100,1))</f>
        <v>78</v>
      </c>
      <c r="N699" s="37" t="str">
        <f aca="false">IF(OR(B699="",D699=""),"",IFERROR(IF(IF(E699="Primary",INDEX(Applications!$I$5:$I$600,MATCH(B699,Applications!$A$5:$A$600,0)),IF(E699="Secondary",INDEX(Applications!$J$5:$J$600,MATCH(B699,Applications!$A$5:$A$600,0)),INDEX(Applications!$K$5:$K$600,MATCH(B699,Applications!$A$5:$A$600,0))))=D699,"OK","Not assigned"),"Check ID"))</f>
        <v>OK</v>
      </c>
      <c r="O699" s="7"/>
    </row>
    <row r="700" customFormat="false" ht="15" hidden="false" customHeight="false" outlineLevel="0" collapsed="false">
      <c r="A700" s="35" t="s">
        <v>2097</v>
      </c>
      <c r="B700" s="35" t="s">
        <v>1229</v>
      </c>
      <c r="C700" s="37" t="str">
        <f aca="false">IF(B700="","",IFERROR(INDEX(Applications!$B$5:$B$600,MATCH(B700,Applications!$A$5:$A$600,0)),"Application ID not found"))</f>
        <v>Des Moines Market Gardens</v>
      </c>
      <c r="D700" s="35" t="s">
        <v>85</v>
      </c>
      <c r="E700" s="35" t="s">
        <v>80</v>
      </c>
      <c r="F700" s="36" t="n">
        <v>45947</v>
      </c>
      <c r="G700" s="35" t="n">
        <v>3</v>
      </c>
      <c r="H700" s="35" t="n">
        <v>3</v>
      </c>
      <c r="I700" s="35" t="n">
        <v>2</v>
      </c>
      <c r="J700" s="35" t="n">
        <v>3</v>
      </c>
      <c r="K700" s="35" t="n">
        <v>3</v>
      </c>
      <c r="L700" s="35" t="n">
        <v>3</v>
      </c>
      <c r="M700" s="50" t="n">
        <f aca="false">IF(COUNT(G700:L700)&lt;6,"",ROUND((G700*Rubric!$D$5+H700*Rubric!$D$6+I700*Rubric!$D$7+J700*Rubric!$D$8+K700*Rubric!$D$9+L700*Rubric!$D$10)/5*100,1))</f>
        <v>56</v>
      </c>
      <c r="N700" s="37" t="str">
        <f aca="false">IF(OR(B700="",D700=""),"",IFERROR(IF(IF(E700="Primary",INDEX(Applications!$I$5:$I$600,MATCH(B700,Applications!$A$5:$A$600,0)),IF(E700="Secondary",INDEX(Applications!$J$5:$J$600,MATCH(B700,Applications!$A$5:$A$600,0)),INDEX(Applications!$K$5:$K$600,MATCH(B700,Applications!$A$5:$A$600,0))))=D700,"OK","Not assigned"),"Check ID"))</f>
        <v>OK</v>
      </c>
      <c r="O700" s="7"/>
    </row>
    <row r="701" customFormat="false" ht="15" hidden="false" customHeight="false" outlineLevel="0" collapsed="false">
      <c r="A701" s="35" t="s">
        <v>2098</v>
      </c>
      <c r="B701" s="35" t="s">
        <v>619</v>
      </c>
      <c r="C701" s="37" t="str">
        <f aca="false">IF(B701="","",IFERROR(INDEX(Applications!$B$5:$B$600,MATCH(B701,Applications!$A$5:$A$600,0)),"Application ID not found"))</f>
        <v>Eastside Growers Cooperative</v>
      </c>
      <c r="D701" s="35" t="s">
        <v>85</v>
      </c>
      <c r="E701" s="35" t="s">
        <v>80</v>
      </c>
      <c r="F701" s="36" t="n">
        <v>45947</v>
      </c>
      <c r="G701" s="35" t="n">
        <v>1</v>
      </c>
      <c r="H701" s="35" t="n">
        <v>2</v>
      </c>
      <c r="I701" s="35" t="n">
        <v>2</v>
      </c>
      <c r="J701" s="35" t="n">
        <v>1</v>
      </c>
      <c r="K701" s="35" t="n">
        <v>3</v>
      </c>
      <c r="L701" s="35" t="n">
        <v>2</v>
      </c>
      <c r="M701" s="50" t="n">
        <f aca="false">IF(COUNT(G701:L701)&lt;6,"",ROUND((G701*Rubric!$D$5+H701*Rubric!$D$6+I701*Rubric!$D$7+J701*Rubric!$D$8+K701*Rubric!$D$9+L701*Rubric!$D$10)/5*100,1))</f>
        <v>34</v>
      </c>
      <c r="N701" s="37" t="str">
        <f aca="false">IF(OR(B701="",D701=""),"",IFERROR(IF(IF(E701="Primary",INDEX(Applications!$I$5:$I$600,MATCH(B701,Applications!$A$5:$A$600,0)),IF(E701="Secondary",INDEX(Applications!$J$5:$J$600,MATCH(B701,Applications!$A$5:$A$600,0)),INDEX(Applications!$K$5:$K$600,MATCH(B701,Applications!$A$5:$A$600,0))))=D701,"OK","Not assigned"),"Check ID"))</f>
        <v>OK</v>
      </c>
      <c r="O701" s="7"/>
    </row>
    <row r="702" customFormat="false" ht="15" hidden="false" customHeight="false" outlineLevel="0" collapsed="false">
      <c r="A702" s="35" t="s">
        <v>2099</v>
      </c>
      <c r="B702" s="35" t="s">
        <v>1351</v>
      </c>
      <c r="C702" s="37" t="str">
        <f aca="false">IF(B702="","",IFERROR(INDEX(Applications!$B$5:$B$600,MATCH(B702,Applications!$A$5:$A$600,0)),"Application ID not found"))</f>
        <v>Greenway Pantry Network</v>
      </c>
      <c r="D702" s="35" t="s">
        <v>85</v>
      </c>
      <c r="E702" s="35" t="s">
        <v>86</v>
      </c>
      <c r="F702" s="36" t="n">
        <v>45947</v>
      </c>
      <c r="G702" s="35" t="n">
        <v>2</v>
      </c>
      <c r="H702" s="35" t="n">
        <v>1</v>
      </c>
      <c r="I702" s="35" t="n">
        <v>2</v>
      </c>
      <c r="J702" s="35" t="n">
        <v>1</v>
      </c>
      <c r="K702" s="35" t="n">
        <v>2</v>
      </c>
      <c r="L702" s="35" t="n">
        <v>2</v>
      </c>
      <c r="M702" s="50" t="n">
        <f aca="false">IF(COUNT(G702:L702)&lt;6,"",ROUND((G702*Rubric!$D$5+H702*Rubric!$D$6+I702*Rubric!$D$7+J702*Rubric!$D$8+K702*Rubric!$D$9+L702*Rubric!$D$10)/5*100,1))</f>
        <v>33</v>
      </c>
      <c r="N702" s="37" t="str">
        <f aca="false">IF(OR(B702="",D702=""),"",IFERROR(IF(IF(E702="Primary",INDEX(Applications!$I$5:$I$600,MATCH(B702,Applications!$A$5:$A$600,0)),IF(E702="Secondary",INDEX(Applications!$J$5:$J$600,MATCH(B702,Applications!$A$5:$A$600,0)),INDEX(Applications!$K$5:$K$600,MATCH(B702,Applications!$A$5:$A$600,0))))=D702,"OK","Not assigned"),"Check ID"))</f>
        <v>OK</v>
      </c>
      <c r="O702" s="7" t="s">
        <v>1426</v>
      </c>
    </row>
    <row r="703" customFormat="false" ht="15" hidden="false" customHeight="false" outlineLevel="0" collapsed="false">
      <c r="A703" s="35" t="s">
        <v>2100</v>
      </c>
      <c r="B703" s="35" t="s">
        <v>919</v>
      </c>
      <c r="C703" s="37" t="str">
        <f aca="false">IF(B703="","",IFERROR(INDEX(Applications!$B$5:$B$600,MATCH(B703,Applications!$A$5:$A$600,0)),"Application ID not found"))</f>
        <v>Rotterdam Community Pantry</v>
      </c>
      <c r="D703" s="35" t="s">
        <v>78</v>
      </c>
      <c r="E703" s="35" t="s">
        <v>83</v>
      </c>
      <c r="F703" s="36" t="n">
        <v>45950</v>
      </c>
      <c r="G703" s="35" t="n">
        <v>1</v>
      </c>
      <c r="H703" s="35" t="n">
        <v>1</v>
      </c>
      <c r="I703" s="35" t="n">
        <v>1</v>
      </c>
      <c r="J703" s="35" t="n">
        <v>1</v>
      </c>
      <c r="K703" s="35" t="n">
        <v>1</v>
      </c>
      <c r="L703" s="35" t="n">
        <v>1</v>
      </c>
      <c r="M703" s="50" t="n">
        <f aca="false">IF(COUNT(G703:L703)&lt;6,"",ROUND((G703*Rubric!$D$5+H703*Rubric!$D$6+I703*Rubric!$D$7+J703*Rubric!$D$8+K703*Rubric!$D$9+L703*Rubric!$D$10)/5*100,1))</f>
        <v>20</v>
      </c>
      <c r="N703" s="37" t="str">
        <f aca="false">IF(OR(B703="",D703=""),"",IFERROR(IF(IF(E703="Primary",INDEX(Applications!$I$5:$I$600,MATCH(B703,Applications!$A$5:$A$600,0)),IF(E703="Secondary",INDEX(Applications!$J$5:$J$600,MATCH(B703,Applications!$A$5:$A$600,0)),INDEX(Applications!$K$5:$K$600,MATCH(B703,Applications!$A$5:$A$600,0))))=D703,"OK","Not assigned"),"Check ID"))</f>
        <v>OK</v>
      </c>
      <c r="O703" s="7"/>
    </row>
    <row r="704" customFormat="false" ht="15" hidden="false" customHeight="false" outlineLevel="0" collapsed="false">
      <c r="A704" s="35" t="s">
        <v>2101</v>
      </c>
      <c r="B704" s="35" t="s">
        <v>931</v>
      </c>
      <c r="C704" s="37" t="str">
        <f aca="false">IF(B704="","",IFERROR(INDEX(Applications!$B$5:$B$600,MATCH(B704,Applications!$A$5:$A$600,0)),"Application ID not found"))</f>
        <v>Des Moines Bakery Collective</v>
      </c>
      <c r="D704" s="35" t="s">
        <v>78</v>
      </c>
      <c r="E704" s="35" t="s">
        <v>80</v>
      </c>
      <c r="F704" s="36" t="n">
        <v>45950</v>
      </c>
      <c r="G704" s="35" t="n">
        <v>3</v>
      </c>
      <c r="H704" s="35" t="n">
        <v>3</v>
      </c>
      <c r="I704" s="35" t="n">
        <v>3</v>
      </c>
      <c r="J704" s="35" t="n">
        <v>4</v>
      </c>
      <c r="K704" s="35" t="n">
        <v>3</v>
      </c>
      <c r="L704" s="35" t="n">
        <v>3</v>
      </c>
      <c r="M704" s="50" t="n">
        <f aca="false">IF(COUNT(G704:L704)&lt;6,"",ROUND((G704*Rubric!$D$5+H704*Rubric!$D$6+I704*Rubric!$D$7+J704*Rubric!$D$8+K704*Rubric!$D$9+L704*Rubric!$D$10)/5*100,1))</f>
        <v>63</v>
      </c>
      <c r="N704" s="37" t="str">
        <f aca="false">IF(OR(B704="",D704=""),"",IFERROR(IF(IF(E704="Primary",INDEX(Applications!$I$5:$I$600,MATCH(B704,Applications!$A$5:$A$600,0)),IF(E704="Secondary",INDEX(Applications!$J$5:$J$600,MATCH(B704,Applications!$A$5:$A$600,0)),INDEX(Applications!$K$5:$K$600,MATCH(B704,Applications!$A$5:$A$600,0))))=D704,"OK","Not assigned"),"Check ID"))</f>
        <v>OK</v>
      </c>
      <c r="O704" s="7"/>
    </row>
    <row r="705" customFormat="false" ht="15" hidden="false" customHeight="false" outlineLevel="0" collapsed="false">
      <c r="A705" s="35" t="s">
        <v>2102</v>
      </c>
      <c r="B705" s="35" t="s">
        <v>1091</v>
      </c>
      <c r="C705" s="37" t="str">
        <f aca="false">IF(B705="","",IFERROR(INDEX(Applications!$B$5:$B$600,MATCH(B705,Applications!$A$5:$A$600,0)),"Application ID not found"))</f>
        <v>Lakeshore Family Center</v>
      </c>
      <c r="D705" s="35" t="s">
        <v>78</v>
      </c>
      <c r="E705" s="35" t="s">
        <v>83</v>
      </c>
      <c r="F705" s="36" t="n">
        <v>45950</v>
      </c>
      <c r="G705" s="35" t="n">
        <v>4</v>
      </c>
      <c r="H705" s="35" t="n">
        <v>4</v>
      </c>
      <c r="I705" s="35" t="n">
        <v>5</v>
      </c>
      <c r="J705" s="35" t="n">
        <v>5</v>
      </c>
      <c r="K705" s="35" t="n">
        <v>4</v>
      </c>
      <c r="L705" s="35" t="n">
        <v>5</v>
      </c>
      <c r="M705" s="50" t="n">
        <f aca="false">IF(COUNT(G705:L705)&lt;6,"",ROUND((G705*Rubric!$D$5+H705*Rubric!$D$6+I705*Rubric!$D$7+J705*Rubric!$D$8+K705*Rubric!$D$9+L705*Rubric!$D$10)/5*100,1))</f>
        <v>89</v>
      </c>
      <c r="N705" s="37" t="str">
        <f aca="false">IF(OR(B705="",D705=""),"",IFERROR(IF(IF(E705="Primary",INDEX(Applications!$I$5:$I$600,MATCH(B705,Applications!$A$5:$A$600,0)),IF(E705="Secondary",INDEX(Applications!$J$5:$J$600,MATCH(B705,Applications!$A$5:$A$600,0)),INDEX(Applications!$K$5:$K$600,MATCH(B705,Applications!$A$5:$A$600,0))))=D705,"OK","Not assigned"),"Check ID"))</f>
        <v>OK</v>
      </c>
      <c r="O705" s="7" t="s">
        <v>1493</v>
      </c>
    </row>
    <row r="706" customFormat="false" ht="15" hidden="false" customHeight="false" outlineLevel="0" collapsed="false">
      <c r="A706" s="35" t="s">
        <v>2103</v>
      </c>
      <c r="B706" s="35" t="s">
        <v>1021</v>
      </c>
      <c r="C706" s="37" t="str">
        <f aca="false">IF(B706="","",IFERROR(INDEX(Applications!$B$5:$B$600,MATCH(B706,Applications!$A$5:$A$600,0)),"Application ID not found"))</f>
        <v>Greenway Cafe Training Program</v>
      </c>
      <c r="D706" s="35" t="s">
        <v>78</v>
      </c>
      <c r="E706" s="35" t="s">
        <v>83</v>
      </c>
      <c r="F706" s="36" t="n">
        <v>45950</v>
      </c>
      <c r="G706" s="35" t="n">
        <v>4</v>
      </c>
      <c r="H706" s="35" t="n">
        <v>3</v>
      </c>
      <c r="I706" s="35" t="n">
        <v>3</v>
      </c>
      <c r="J706" s="35" t="n">
        <v>3</v>
      </c>
      <c r="K706" s="35" t="n">
        <v>4</v>
      </c>
      <c r="L706" s="35" t="n">
        <v>4</v>
      </c>
      <c r="M706" s="50" t="n">
        <f aca="false">IF(COUNT(G706:L706)&lt;6,"",ROUND((G706*Rubric!$D$5+H706*Rubric!$D$6+I706*Rubric!$D$7+J706*Rubric!$D$8+K706*Rubric!$D$9+L706*Rubric!$D$10)/5*100,1))</f>
        <v>69</v>
      </c>
      <c r="N706" s="37" t="str">
        <f aca="false">IF(OR(B706="",D706=""),"",IFERROR(IF(IF(E706="Primary",INDEX(Applications!$I$5:$I$600,MATCH(B706,Applications!$A$5:$A$600,0)),IF(E706="Secondary",INDEX(Applications!$J$5:$J$600,MATCH(B706,Applications!$A$5:$A$600,0)),INDEX(Applications!$K$5:$K$600,MATCH(B706,Applications!$A$5:$A$600,0))))=D706,"OK","Not assigned"),"Check ID"))</f>
        <v>OK</v>
      </c>
      <c r="O706" s="7"/>
    </row>
    <row r="707" customFormat="false" ht="15" hidden="false" customHeight="false" outlineLevel="0" collapsed="false">
      <c r="A707" s="35" t="s">
        <v>2104</v>
      </c>
      <c r="B707" s="35" t="s">
        <v>763</v>
      </c>
      <c r="C707" s="37" t="str">
        <f aca="false">IF(B707="","",IFERROR(INDEX(Applications!$B$5:$B$600,MATCH(B707,Applications!$A$5:$A$600,0)),"Application ID not found"))</f>
        <v>Northside Family Center</v>
      </c>
      <c r="D707" s="35" t="s">
        <v>78</v>
      </c>
      <c r="E707" s="35" t="s">
        <v>83</v>
      </c>
      <c r="F707" s="36" t="n">
        <v>45950</v>
      </c>
      <c r="G707" s="35" t="n">
        <v>4</v>
      </c>
      <c r="H707" s="35" t="n">
        <v>4</v>
      </c>
      <c r="I707" s="35" t="n">
        <v>3</v>
      </c>
      <c r="J707" s="35" t="n">
        <v>3</v>
      </c>
      <c r="K707" s="35" t="n">
        <v>4</v>
      </c>
      <c r="L707" s="35" t="n">
        <v>3</v>
      </c>
      <c r="M707" s="50" t="n">
        <f aca="false">IF(COUNT(G707:L707)&lt;6,"",ROUND((G707*Rubric!$D$5+H707*Rubric!$D$6+I707*Rubric!$D$7+J707*Rubric!$D$8+K707*Rubric!$D$9+L707*Rubric!$D$10)/5*100,1))</f>
        <v>71</v>
      </c>
      <c r="N707" s="37" t="str">
        <f aca="false">IF(OR(B707="",D707=""),"",IFERROR(IF(IF(E707="Primary",INDEX(Applications!$I$5:$I$600,MATCH(B707,Applications!$A$5:$A$600,0)),IF(E707="Secondary",INDEX(Applications!$J$5:$J$600,MATCH(B707,Applications!$A$5:$A$600,0)),INDEX(Applications!$K$5:$K$600,MATCH(B707,Applications!$A$5:$A$600,0))))=D707,"OK","Not assigned"),"Check ID"))</f>
        <v>OK</v>
      </c>
      <c r="O707" s="7"/>
    </row>
    <row r="708" customFormat="false" ht="15" hidden="false" customHeight="false" outlineLevel="0" collapsed="false">
      <c r="A708" s="35" t="s">
        <v>2105</v>
      </c>
      <c r="B708" s="35" t="s">
        <v>1137</v>
      </c>
      <c r="C708" s="37" t="str">
        <f aca="false">IF(B708="","",IFERROR(INDEX(Applications!$B$5:$B$600,MATCH(B708,Applications!$A$5:$A$600,0)),"Application ID not found"))</f>
        <v>Tidewater Mobile Market</v>
      </c>
      <c r="D708" s="35" t="s">
        <v>78</v>
      </c>
      <c r="E708" s="35" t="s">
        <v>80</v>
      </c>
      <c r="F708" s="36" t="n">
        <v>45950</v>
      </c>
      <c r="G708" s="35" t="n">
        <v>4</v>
      </c>
      <c r="H708" s="35" t="n">
        <v>4</v>
      </c>
      <c r="I708" s="35" t="n">
        <v>3</v>
      </c>
      <c r="J708" s="35" t="n">
        <v>4</v>
      </c>
      <c r="K708" s="35" t="n">
        <v>4</v>
      </c>
      <c r="L708" s="35" t="n">
        <v>4</v>
      </c>
      <c r="M708" s="50" t="n">
        <f aca="false">IF(COUNT(G708:L708)&lt;6,"",ROUND((G708*Rubric!$D$5+H708*Rubric!$D$6+I708*Rubric!$D$7+J708*Rubric!$D$8+K708*Rubric!$D$9+L708*Rubric!$D$10)/5*100,1))</f>
        <v>76</v>
      </c>
      <c r="N708" s="37" t="str">
        <f aca="false">IF(OR(B708="",D708=""),"",IFERROR(IF(IF(E708="Primary",INDEX(Applications!$I$5:$I$600,MATCH(B708,Applications!$A$5:$A$600,0)),IF(E708="Secondary",INDEX(Applications!$J$5:$J$600,MATCH(B708,Applications!$A$5:$A$600,0)),INDEX(Applications!$K$5:$K$600,MATCH(B708,Applications!$A$5:$A$600,0))))=D708,"OK","Not assigned"),"Check ID"))</f>
        <v>OK</v>
      </c>
      <c r="O708" s="7"/>
    </row>
    <row r="709" customFormat="false" ht="15" hidden="false" customHeight="false" outlineLevel="0" collapsed="false">
      <c r="A709" s="35" t="s">
        <v>2106</v>
      </c>
      <c r="B709" s="35" t="s">
        <v>835</v>
      </c>
      <c r="C709" s="37" t="str">
        <f aca="false">IF(B709="","",IFERROR(INDEX(Applications!$B$5:$B$600,MATCH(B709,Applications!$A$5:$A$600,0)),"Application ID not found"))</f>
        <v>Dayton Farm Collective</v>
      </c>
      <c r="D709" s="35" t="s">
        <v>78</v>
      </c>
      <c r="E709" s="35" t="s">
        <v>83</v>
      </c>
      <c r="F709" s="36" t="n">
        <v>45950</v>
      </c>
      <c r="G709" s="35" t="n">
        <v>3</v>
      </c>
      <c r="H709" s="35" t="n">
        <v>2</v>
      </c>
      <c r="I709" s="35" t="n">
        <v>3</v>
      </c>
      <c r="J709" s="35" t="n">
        <v>3</v>
      </c>
      <c r="K709" s="35" t="n">
        <v>2</v>
      </c>
      <c r="L709" s="35" t="n">
        <v>3</v>
      </c>
      <c r="M709" s="50" t="n">
        <f aca="false">IF(COUNT(G709:L709)&lt;6,"",ROUND((G709*Rubric!$D$5+H709*Rubric!$D$6+I709*Rubric!$D$7+J709*Rubric!$D$8+K709*Rubric!$D$9+L709*Rubric!$D$10)/5*100,1))</f>
        <v>54</v>
      </c>
      <c r="N709" s="37" t="str">
        <f aca="false">IF(OR(B709="",D709=""),"",IFERROR(IF(IF(E709="Primary",INDEX(Applications!$I$5:$I$600,MATCH(B709,Applications!$A$5:$A$600,0)),IF(E709="Secondary",INDEX(Applications!$J$5:$J$600,MATCH(B709,Applications!$A$5:$A$600,0)),INDEX(Applications!$K$5:$K$600,MATCH(B709,Applications!$A$5:$A$600,0))))=D709,"OK","Not assigned"),"Check ID"))</f>
        <v>OK</v>
      </c>
      <c r="O709" s="7" t="s">
        <v>1416</v>
      </c>
    </row>
    <row r="710" customFormat="false" ht="15" hidden="false" customHeight="false" outlineLevel="0" collapsed="false">
      <c r="A710" s="35" t="s">
        <v>2107</v>
      </c>
      <c r="B710" s="35" t="s">
        <v>1383</v>
      </c>
      <c r="C710" s="37" t="str">
        <f aca="false">IF(B710="","",IFERROR(INDEX(Applications!$B$5:$B$600,MATCH(B710,Applications!$A$5:$A$600,0)),"Application ID not found"))</f>
        <v>Atlanta Community Pantry</v>
      </c>
      <c r="D710" s="35" t="s">
        <v>78</v>
      </c>
      <c r="E710" s="35" t="s">
        <v>83</v>
      </c>
      <c r="F710" s="36" t="n">
        <v>45950</v>
      </c>
      <c r="G710" s="35" t="n">
        <v>3</v>
      </c>
      <c r="H710" s="35" t="n">
        <v>3</v>
      </c>
      <c r="I710" s="35" t="n">
        <v>3</v>
      </c>
      <c r="J710" s="35" t="n">
        <v>3</v>
      </c>
      <c r="K710" s="35" t="n">
        <v>4</v>
      </c>
      <c r="L710" s="35" t="n">
        <v>3</v>
      </c>
      <c r="M710" s="50" t="n">
        <f aca="false">IF(COUNT(G710:L710)&lt;6,"",ROUND((G710*Rubric!$D$5+H710*Rubric!$D$6+I710*Rubric!$D$7+J710*Rubric!$D$8+K710*Rubric!$D$9+L710*Rubric!$D$10)/5*100,1))</f>
        <v>62</v>
      </c>
      <c r="N710" s="37" t="str">
        <f aca="false">IF(OR(B710="",D710=""),"",IFERROR(IF(IF(E710="Primary",INDEX(Applications!$I$5:$I$600,MATCH(B710,Applications!$A$5:$A$600,0)),IF(E710="Secondary",INDEX(Applications!$J$5:$J$600,MATCH(B710,Applications!$A$5:$A$600,0)),INDEX(Applications!$K$5:$K$600,MATCH(B710,Applications!$A$5:$A$600,0))))=D710,"OK","Not assigned"),"Check ID"))</f>
        <v>OK</v>
      </c>
      <c r="O710" s="7"/>
    </row>
    <row r="711" customFormat="false" ht="15" hidden="false" customHeight="false" outlineLevel="0" collapsed="false">
      <c r="A711" s="35" t="s">
        <v>2108</v>
      </c>
      <c r="B711" s="35" t="s">
        <v>1215</v>
      </c>
      <c r="C711" s="37" t="str">
        <f aca="false">IF(B711="","",IFERROR(INDEX(Applications!$B$5:$B$600,MATCH(B711,Applications!$A$5:$A$600,0)),"Application ID not found"))</f>
        <v>Leipzig Schools Nutrition Fund</v>
      </c>
      <c r="D711" s="35" t="s">
        <v>78</v>
      </c>
      <c r="E711" s="35" t="s">
        <v>80</v>
      </c>
      <c r="F711" s="36" t="n">
        <v>45950</v>
      </c>
      <c r="G711" s="35" t="n">
        <v>4</v>
      </c>
      <c r="H711" s="35" t="n">
        <v>3</v>
      </c>
      <c r="I711" s="35" t="n">
        <v>3</v>
      </c>
      <c r="J711" s="35" t="n">
        <v>3</v>
      </c>
      <c r="K711" s="35" t="n">
        <v>4</v>
      </c>
      <c r="L711" s="35" t="n">
        <v>3</v>
      </c>
      <c r="M711" s="50" t="n">
        <f aca="false">IF(COUNT(G711:L711)&lt;6,"",ROUND((G711*Rubric!$D$5+H711*Rubric!$D$6+I711*Rubric!$D$7+J711*Rubric!$D$8+K711*Rubric!$D$9+L711*Rubric!$D$10)/5*100,1))</f>
        <v>67</v>
      </c>
      <c r="N711" s="37" t="str">
        <f aca="false">IF(OR(B711="",D711=""),"",IFERROR(IF(IF(E711="Primary",INDEX(Applications!$I$5:$I$600,MATCH(B711,Applications!$A$5:$A$600,0)),IF(E711="Secondary",INDEX(Applications!$J$5:$J$600,MATCH(B711,Applications!$A$5:$A$600,0)),INDEX(Applications!$K$5:$K$600,MATCH(B711,Applications!$A$5:$A$600,0))))=D711,"OK","Not assigned"),"Check ID"))</f>
        <v>OK</v>
      </c>
      <c r="O711" s="7"/>
    </row>
    <row r="712" customFormat="false" ht="15" hidden="false" customHeight="false" outlineLevel="0" collapsed="false">
      <c r="A712" s="35" t="s">
        <v>2109</v>
      </c>
      <c r="B712" s="35" t="s">
        <v>993</v>
      </c>
      <c r="C712" s="37" t="str">
        <f aca="false">IF(B712="","",IFERROR(INDEX(Applications!$B$5:$B$600,MATCH(B712,Applications!$A$5:$A$600,0)),"Application ID not found"))</f>
        <v>Sheffield Food Shelf</v>
      </c>
      <c r="D712" s="35" t="s">
        <v>78</v>
      </c>
      <c r="E712" s="35" t="s">
        <v>83</v>
      </c>
      <c r="F712" s="36" t="n">
        <v>45950</v>
      </c>
      <c r="G712" s="35" t="n">
        <v>2</v>
      </c>
      <c r="H712" s="35" t="n">
        <v>2</v>
      </c>
      <c r="I712" s="35" t="n">
        <v>2</v>
      </c>
      <c r="J712" s="35" t="n">
        <v>3</v>
      </c>
      <c r="K712" s="35" t="n">
        <v>2</v>
      </c>
      <c r="L712" s="35" t="n">
        <v>3</v>
      </c>
      <c r="M712" s="50" t="n">
        <f aca="false">IF(COUNT(G712:L712)&lt;6,"",ROUND((G712*Rubric!$D$5+H712*Rubric!$D$6+I712*Rubric!$D$7+J712*Rubric!$D$8+K712*Rubric!$D$9+L712*Rubric!$D$10)/5*100,1))</f>
        <v>45</v>
      </c>
      <c r="N712" s="37" t="str">
        <f aca="false">IF(OR(B712="",D712=""),"",IFERROR(IF(IF(E712="Primary",INDEX(Applications!$I$5:$I$600,MATCH(B712,Applications!$A$5:$A$600,0)),IF(E712="Secondary",INDEX(Applications!$J$5:$J$600,MATCH(B712,Applications!$A$5:$A$600,0)),INDEX(Applications!$K$5:$K$600,MATCH(B712,Applications!$A$5:$A$600,0))))=D712,"OK","Not assigned"),"Check ID"))</f>
        <v>OK</v>
      </c>
      <c r="O712" s="7"/>
    </row>
    <row r="713" customFormat="false" ht="15" hidden="false" customHeight="false" outlineLevel="0" collapsed="false">
      <c r="A713" s="35" t="s">
        <v>2110</v>
      </c>
      <c r="B713" s="35" t="s">
        <v>1331</v>
      </c>
      <c r="C713" s="37" t="str">
        <f aca="false">IF(B713="","",IFERROR(INDEX(Applications!$B$5:$B$600,MATCH(B713,Applications!$A$5:$A$600,0)),"Application ID not found"))</f>
        <v>Melbourne Pantry Network</v>
      </c>
      <c r="D713" s="35" t="s">
        <v>78</v>
      </c>
      <c r="E713" s="35" t="s">
        <v>80</v>
      </c>
      <c r="F713" s="36" t="n">
        <v>45950</v>
      </c>
      <c r="G713" s="35" t="n">
        <v>4</v>
      </c>
      <c r="H713" s="35" t="n">
        <v>3</v>
      </c>
      <c r="I713" s="35" t="n">
        <v>4</v>
      </c>
      <c r="J713" s="35" t="n">
        <v>4</v>
      </c>
      <c r="K713" s="35" t="n">
        <v>4</v>
      </c>
      <c r="L713" s="35" t="n">
        <v>4</v>
      </c>
      <c r="M713" s="50" t="n">
        <f aca="false">IF(COUNT(G713:L713)&lt;6,"",ROUND((G713*Rubric!$D$5+H713*Rubric!$D$6+I713*Rubric!$D$7+J713*Rubric!$D$8+K713*Rubric!$D$9+L713*Rubric!$D$10)/5*100,1))</f>
        <v>76</v>
      </c>
      <c r="N713" s="37" t="str">
        <f aca="false">IF(OR(B713="",D713=""),"",IFERROR(IF(IF(E713="Primary",INDEX(Applications!$I$5:$I$600,MATCH(B713,Applications!$A$5:$A$600,0)),IF(E713="Secondary",INDEX(Applications!$J$5:$J$600,MATCH(B713,Applications!$A$5:$A$600,0)),INDEX(Applications!$K$5:$K$600,MATCH(B713,Applications!$A$5:$A$600,0))))=D713,"OK","Not assigned"),"Check ID"))</f>
        <v>OK</v>
      </c>
      <c r="O713" s="7" t="s">
        <v>1416</v>
      </c>
    </row>
    <row r="714" customFormat="false" ht="15" hidden="false" customHeight="false" outlineLevel="0" collapsed="false">
      <c r="A714" s="35" t="s">
        <v>2111</v>
      </c>
      <c r="B714" s="35" t="s">
        <v>357</v>
      </c>
      <c r="C714" s="37" t="str">
        <f aca="false">IF(B714="","",IFERROR(INDEX(Applications!$B$5:$B$600,MATCH(B714,Applications!$A$5:$A$600,0)),"Application ID not found"))</f>
        <v>Sheffield Community Pantry</v>
      </c>
      <c r="D714" s="35" t="s">
        <v>78</v>
      </c>
      <c r="E714" s="35" t="s">
        <v>83</v>
      </c>
      <c r="F714" s="36" t="n">
        <v>45950</v>
      </c>
      <c r="G714" s="35" t="n">
        <v>4</v>
      </c>
      <c r="H714" s="35" t="n">
        <v>3</v>
      </c>
      <c r="I714" s="35" t="n">
        <v>3</v>
      </c>
      <c r="J714" s="35" t="n">
        <v>3</v>
      </c>
      <c r="K714" s="35" t="n">
        <v>3</v>
      </c>
      <c r="L714" s="35" t="n">
        <v>3</v>
      </c>
      <c r="M714" s="50" t="n">
        <f aca="false">IF(COUNT(G714:L714)&lt;6,"",ROUND((G714*Rubric!$D$5+H714*Rubric!$D$6+I714*Rubric!$D$7+J714*Rubric!$D$8+K714*Rubric!$D$9+L714*Rubric!$D$10)/5*100,1))</f>
        <v>65</v>
      </c>
      <c r="N714" s="37" t="str">
        <f aca="false">IF(OR(B714="",D714=""),"",IFERROR(IF(IF(E714="Primary",INDEX(Applications!$I$5:$I$600,MATCH(B714,Applications!$A$5:$A$600,0)),IF(E714="Secondary",INDEX(Applications!$J$5:$J$600,MATCH(B714,Applications!$A$5:$A$600,0)),INDEX(Applications!$K$5:$K$600,MATCH(B714,Applications!$A$5:$A$600,0))))=D714,"OK","Not assigned"),"Check ID"))</f>
        <v>OK</v>
      </c>
      <c r="O714" s="7"/>
    </row>
    <row r="715" customFormat="false" ht="15" hidden="false" customHeight="false" outlineLevel="0" collapsed="false">
      <c r="A715" s="35" t="s">
        <v>2112</v>
      </c>
      <c r="B715" s="35" t="s">
        <v>697</v>
      </c>
      <c r="C715" s="37" t="str">
        <f aca="false">IF(B715="","",IFERROR(INDEX(Applications!$B$5:$B$600,MATCH(B715,Applications!$A$5:$A$600,0)),"Application ID not found"))</f>
        <v>Sunrise Community Pantry</v>
      </c>
      <c r="D715" s="35" t="s">
        <v>78</v>
      </c>
      <c r="E715" s="35" t="s">
        <v>86</v>
      </c>
      <c r="F715" s="36" t="n">
        <v>45950</v>
      </c>
      <c r="G715" s="35" t="n">
        <v>4</v>
      </c>
      <c r="H715" s="35" t="n">
        <v>4</v>
      </c>
      <c r="I715" s="35" t="n">
        <v>3</v>
      </c>
      <c r="J715" s="35" t="n">
        <v>4</v>
      </c>
      <c r="K715" s="35" t="n">
        <v>4</v>
      </c>
      <c r="L715" s="35" t="n">
        <v>4</v>
      </c>
      <c r="M715" s="50" t="n">
        <f aca="false">IF(COUNT(G715:L715)&lt;6,"",ROUND((G715*Rubric!$D$5+H715*Rubric!$D$6+I715*Rubric!$D$7+J715*Rubric!$D$8+K715*Rubric!$D$9+L715*Rubric!$D$10)/5*100,1))</f>
        <v>76</v>
      </c>
      <c r="N715" s="37" t="str">
        <f aca="false">IF(OR(B715="",D715=""),"",IFERROR(IF(IF(E715="Primary",INDEX(Applications!$I$5:$I$600,MATCH(B715,Applications!$A$5:$A$600,0)),IF(E715="Secondary",INDEX(Applications!$J$5:$J$600,MATCH(B715,Applications!$A$5:$A$600,0)),INDEX(Applications!$K$5:$K$600,MATCH(B715,Applications!$A$5:$A$600,0))))=D715,"OK","Not assigned"),"Check ID"))</f>
        <v>OK</v>
      </c>
      <c r="O715" s="7"/>
    </row>
    <row r="716" customFormat="false" ht="15" hidden="false" customHeight="false" outlineLevel="0" collapsed="false">
      <c r="A716" s="35" t="s">
        <v>2113</v>
      </c>
      <c r="B716" s="35" t="s">
        <v>518</v>
      </c>
      <c r="C716" s="37" t="str">
        <f aca="false">IF(B716="","",IFERROR(INDEX(Applications!$B$5:$B$600,MATCH(B716,Applications!$A$5:$A$600,0)),"Application ID not found"))</f>
        <v>Copper Hill Meals Project</v>
      </c>
      <c r="D716" s="35" t="s">
        <v>78</v>
      </c>
      <c r="E716" s="35" t="s">
        <v>86</v>
      </c>
      <c r="F716" s="36" t="n">
        <v>45950</v>
      </c>
      <c r="G716" s="35" t="n">
        <v>4</v>
      </c>
      <c r="H716" s="35" t="n">
        <v>3</v>
      </c>
      <c r="I716" s="35" t="n">
        <v>3</v>
      </c>
      <c r="J716" s="35" t="n">
        <v>3</v>
      </c>
      <c r="K716" s="35" t="n">
        <v>3</v>
      </c>
      <c r="L716" s="35" t="n">
        <v>4</v>
      </c>
      <c r="M716" s="50" t="n">
        <f aca="false">IF(COUNT(G716:L716)&lt;6,"",ROUND((G716*Rubric!$D$5+H716*Rubric!$D$6+I716*Rubric!$D$7+J716*Rubric!$D$8+K716*Rubric!$D$9+L716*Rubric!$D$10)/5*100,1))</f>
        <v>67</v>
      </c>
      <c r="N716" s="37" t="str">
        <f aca="false">IF(OR(B716="",D716=""),"",IFERROR(IF(IF(E716="Primary",INDEX(Applications!$I$5:$I$600,MATCH(B716,Applications!$A$5:$A$600,0)),IF(E716="Secondary",INDEX(Applications!$J$5:$J$600,MATCH(B716,Applications!$A$5:$A$600,0)),INDEX(Applications!$K$5:$K$600,MATCH(B716,Applications!$A$5:$A$600,0))))=D716,"OK","Not assigned"),"Check ID"))</f>
        <v>OK</v>
      </c>
      <c r="O716" s="7"/>
    </row>
    <row r="717" customFormat="false" ht="15" hidden="false" customHeight="false" outlineLevel="0" collapsed="false">
      <c r="A717" s="35" t="s">
        <v>2114</v>
      </c>
      <c r="B717" s="35" t="s">
        <v>496</v>
      </c>
      <c r="C717" s="37" t="str">
        <f aca="false">IF(B717="","",IFERROR(INDEX(Applications!$B$5:$B$600,MATCH(B717,Applications!$A$5:$A$600,0)),"Application ID not found"))</f>
        <v>Buffalo Youth Food Lab</v>
      </c>
      <c r="D717" s="35" t="s">
        <v>78</v>
      </c>
      <c r="E717" s="35" t="s">
        <v>86</v>
      </c>
      <c r="F717" s="36" t="n">
        <v>45950</v>
      </c>
      <c r="G717" s="35" t="n">
        <v>4</v>
      </c>
      <c r="H717" s="35" t="n">
        <v>4</v>
      </c>
      <c r="I717" s="35" t="n">
        <v>3</v>
      </c>
      <c r="J717" s="35" t="n">
        <v>4</v>
      </c>
      <c r="K717" s="35" t="n">
        <v>3</v>
      </c>
      <c r="L717" s="35" t="n">
        <v>3</v>
      </c>
      <c r="M717" s="50" t="n">
        <f aca="false">IF(COUNT(G717:L717)&lt;6,"",ROUND((G717*Rubric!$D$5+H717*Rubric!$D$6+I717*Rubric!$D$7+J717*Rubric!$D$8+K717*Rubric!$D$9+L717*Rubric!$D$10)/5*100,1))</f>
        <v>72</v>
      </c>
      <c r="N717" s="37" t="str">
        <f aca="false">IF(OR(B717="",D717=""),"",IFERROR(IF(IF(E717="Primary",INDEX(Applications!$I$5:$I$600,MATCH(B717,Applications!$A$5:$A$600,0)),IF(E717="Secondary",INDEX(Applications!$J$5:$J$600,MATCH(B717,Applications!$A$5:$A$600,0)),INDEX(Applications!$K$5:$K$600,MATCH(B717,Applications!$A$5:$A$600,0))))=D717,"OK","Not assigned"),"Check ID"))</f>
        <v>OK</v>
      </c>
      <c r="O717" s="7"/>
    </row>
    <row r="718" customFormat="false" ht="15" hidden="false" customHeight="false" outlineLevel="0" collapsed="false">
      <c r="A718" s="35" t="s">
        <v>2115</v>
      </c>
      <c r="B718" s="35" t="s">
        <v>1051</v>
      </c>
      <c r="C718" s="37" t="str">
        <f aca="false">IF(B718="","",IFERROR(INDEX(Applications!$B$5:$B$600,MATCH(B718,Applications!$A$5:$A$600,0)),"Application ID not found"))</f>
        <v>Durban Farm Collective</v>
      </c>
      <c r="D718" s="35" t="s">
        <v>82</v>
      </c>
      <c r="E718" s="35" t="s">
        <v>80</v>
      </c>
      <c r="F718" s="36" t="n">
        <v>45950</v>
      </c>
      <c r="G718" s="35" t="n">
        <v>5</v>
      </c>
      <c r="H718" s="35" t="n">
        <v>5</v>
      </c>
      <c r="I718" s="35" t="n">
        <v>3</v>
      </c>
      <c r="J718" s="35" t="n">
        <v>5</v>
      </c>
      <c r="K718" s="35" t="n">
        <v>5</v>
      </c>
      <c r="L718" s="35" t="n">
        <v>4</v>
      </c>
      <c r="M718" s="50" t="n">
        <f aca="false">IF(COUNT(G718:L718)&lt;6,"",ROUND((G718*Rubric!$D$5+H718*Rubric!$D$6+I718*Rubric!$D$7+J718*Rubric!$D$8+K718*Rubric!$D$9+L718*Rubric!$D$10)/5*100,1))</f>
        <v>90</v>
      </c>
      <c r="N718" s="37" t="str">
        <f aca="false">IF(OR(B718="",D718=""),"",IFERROR(IF(IF(E718="Primary",INDEX(Applications!$I$5:$I$600,MATCH(B718,Applications!$A$5:$A$600,0)),IF(E718="Secondary",INDEX(Applications!$J$5:$J$600,MATCH(B718,Applications!$A$5:$A$600,0)),INDEX(Applications!$K$5:$K$600,MATCH(B718,Applications!$A$5:$A$600,0))))=D718,"OK","Not assigned"),"Check ID"))</f>
        <v>OK</v>
      </c>
      <c r="O718" s="7"/>
    </row>
    <row r="719" customFormat="false" ht="15" hidden="false" customHeight="false" outlineLevel="0" collapsed="false">
      <c r="A719" s="35" t="s">
        <v>2116</v>
      </c>
      <c r="B719" s="35" t="s">
        <v>402</v>
      </c>
      <c r="C719" s="37" t="str">
        <f aca="false">IF(B719="","",IFERROR(INDEX(Applications!$B$5:$B$600,MATCH(B719,Applications!$A$5:$A$600,0)),"Application ID not found"))</f>
        <v>Buffalo Food Bank</v>
      </c>
      <c r="D719" s="35" t="s">
        <v>82</v>
      </c>
      <c r="E719" s="35" t="s">
        <v>83</v>
      </c>
      <c r="F719" s="36" t="n">
        <v>45950</v>
      </c>
      <c r="G719" s="35" t="n">
        <v>4</v>
      </c>
      <c r="H719" s="35" t="n">
        <v>3</v>
      </c>
      <c r="I719" s="35" t="n">
        <v>3</v>
      </c>
      <c r="J719" s="35" t="n">
        <v>3</v>
      </c>
      <c r="K719" s="35" t="n">
        <v>3</v>
      </c>
      <c r="L719" s="35" t="n">
        <v>3</v>
      </c>
      <c r="M719" s="50" t="n">
        <f aca="false">IF(COUNT(G719:L719)&lt;6,"",ROUND((G719*Rubric!$D$5+H719*Rubric!$D$6+I719*Rubric!$D$7+J719*Rubric!$D$8+K719*Rubric!$D$9+L719*Rubric!$D$10)/5*100,1))</f>
        <v>65</v>
      </c>
      <c r="N719" s="37" t="str">
        <f aca="false">IF(OR(B719="",D719=""),"",IFERROR(IF(IF(E719="Primary",INDEX(Applications!$I$5:$I$600,MATCH(B719,Applications!$A$5:$A$600,0)),IF(E719="Secondary",INDEX(Applications!$J$5:$J$600,MATCH(B719,Applications!$A$5:$A$600,0)),INDEX(Applications!$K$5:$K$600,MATCH(B719,Applications!$A$5:$A$600,0))))=D719,"OK","Not assigned"),"Check ID"))</f>
        <v>OK</v>
      </c>
      <c r="O719" s="7" t="s">
        <v>1437</v>
      </c>
    </row>
    <row r="720" customFormat="false" ht="15" hidden="false" customHeight="false" outlineLevel="0" collapsed="false">
      <c r="A720" s="35" t="s">
        <v>2117</v>
      </c>
      <c r="B720" s="35" t="s">
        <v>323</v>
      </c>
      <c r="C720" s="37" t="str">
        <f aca="false">IF(B720="","",IFERROR(INDEX(Applications!$B$5:$B$600,MATCH(B720,Applications!$A$5:$A$600,0)),"Application ID not found"))</f>
        <v>Milwaukee Food Bank</v>
      </c>
      <c r="D720" s="35" t="s">
        <v>82</v>
      </c>
      <c r="E720" s="35" t="s">
        <v>80</v>
      </c>
      <c r="F720" s="36" t="n">
        <v>45950</v>
      </c>
      <c r="G720" s="35" t="n">
        <v>2</v>
      </c>
      <c r="H720" s="35" t="n">
        <v>3</v>
      </c>
      <c r="I720" s="35" t="n">
        <v>3</v>
      </c>
      <c r="J720" s="35" t="n">
        <v>3</v>
      </c>
      <c r="K720" s="35" t="n">
        <v>2</v>
      </c>
      <c r="L720" s="35" t="n">
        <v>3</v>
      </c>
      <c r="M720" s="50" t="n">
        <f aca="false">IF(COUNT(G720:L720)&lt;6,"",ROUND((G720*Rubric!$D$5+H720*Rubric!$D$6+I720*Rubric!$D$7+J720*Rubric!$D$8+K720*Rubric!$D$9+L720*Rubric!$D$10)/5*100,1))</f>
        <v>53</v>
      </c>
      <c r="N720" s="37" t="str">
        <f aca="false">IF(OR(B720="",D720=""),"",IFERROR(IF(IF(E720="Primary",INDEX(Applications!$I$5:$I$600,MATCH(B720,Applications!$A$5:$A$600,0)),IF(E720="Secondary",INDEX(Applications!$J$5:$J$600,MATCH(B720,Applications!$A$5:$A$600,0)),INDEX(Applications!$K$5:$K$600,MATCH(B720,Applications!$A$5:$A$600,0))))=D720,"OK","Not assigned"),"Check ID"))</f>
        <v>OK</v>
      </c>
      <c r="O720" s="7" t="s">
        <v>1416</v>
      </c>
    </row>
    <row r="721" customFormat="false" ht="15" hidden="false" customHeight="false" outlineLevel="0" collapsed="false">
      <c r="A721" s="35" t="s">
        <v>2118</v>
      </c>
      <c r="B721" s="35" t="s">
        <v>1143</v>
      </c>
      <c r="C721" s="37" t="str">
        <f aca="false">IF(B721="","",IFERROR(INDEX(Applications!$B$5:$B$600,MATCH(B721,Applications!$A$5:$A$600,0)),"Application ID not found"))</f>
        <v>Old Town Food Shelf</v>
      </c>
      <c r="D721" s="35" t="s">
        <v>82</v>
      </c>
      <c r="E721" s="35" t="s">
        <v>80</v>
      </c>
      <c r="F721" s="36" t="n">
        <v>45950</v>
      </c>
      <c r="G721" s="35" t="n">
        <v>4</v>
      </c>
      <c r="H721" s="35" t="n">
        <v>4</v>
      </c>
      <c r="I721" s="35" t="n">
        <v>3</v>
      </c>
      <c r="J721" s="35" t="n">
        <v>4</v>
      </c>
      <c r="K721" s="35" t="n">
        <v>4</v>
      </c>
      <c r="L721" s="35" t="n">
        <v>3</v>
      </c>
      <c r="M721" s="50" t="n">
        <f aca="false">IF(COUNT(G721:L721)&lt;6,"",ROUND((G721*Rubric!$D$5+H721*Rubric!$D$6+I721*Rubric!$D$7+J721*Rubric!$D$8+K721*Rubric!$D$9+L721*Rubric!$D$10)/5*100,1))</f>
        <v>74</v>
      </c>
      <c r="N721" s="37" t="str">
        <f aca="false">IF(OR(B721="",D721=""),"",IFERROR(IF(IF(E721="Primary",INDEX(Applications!$I$5:$I$600,MATCH(B721,Applications!$A$5:$A$600,0)),IF(E721="Secondary",INDEX(Applications!$J$5:$J$600,MATCH(B721,Applications!$A$5:$A$600,0)),INDEX(Applications!$K$5:$K$600,MATCH(B721,Applications!$A$5:$A$600,0))))=D721,"OK","Not assigned"),"Check ID"))</f>
        <v>OK</v>
      </c>
      <c r="O721" s="7" t="s">
        <v>1493</v>
      </c>
    </row>
    <row r="722" customFormat="false" ht="15" hidden="false" customHeight="false" outlineLevel="0" collapsed="false">
      <c r="A722" s="35" t="s">
        <v>2119</v>
      </c>
      <c r="B722" s="35" t="s">
        <v>1251</v>
      </c>
      <c r="C722" s="37" t="str">
        <f aca="false">IF(B722="","",IFERROR(INDEX(Applications!$B$5:$B$600,MATCH(B722,Applications!$A$5:$A$600,0)),"Application ID not found"))</f>
        <v>Canal Street Food Shelf</v>
      </c>
      <c r="D722" s="35" t="s">
        <v>82</v>
      </c>
      <c r="E722" s="35" t="s">
        <v>80</v>
      </c>
      <c r="F722" s="36" t="n">
        <v>45950</v>
      </c>
      <c r="G722" s="35" t="n">
        <v>4</v>
      </c>
      <c r="H722" s="35" t="n">
        <v>4</v>
      </c>
      <c r="I722" s="35" t="n">
        <v>4</v>
      </c>
      <c r="J722" s="35" t="n">
        <v>3</v>
      </c>
      <c r="K722" s="35" t="n">
        <v>4</v>
      </c>
      <c r="L722" s="35" t="n">
        <v>3</v>
      </c>
      <c r="M722" s="50" t="n">
        <f aca="false">IF(COUNT(G722:L722)&lt;6,"",ROUND((G722*Rubric!$D$5+H722*Rubric!$D$6+I722*Rubric!$D$7+J722*Rubric!$D$8+K722*Rubric!$D$9+L722*Rubric!$D$10)/5*100,1))</f>
        <v>75</v>
      </c>
      <c r="N722" s="37" t="str">
        <f aca="false">IF(OR(B722="",D722=""),"",IFERROR(IF(IF(E722="Primary",INDEX(Applications!$I$5:$I$600,MATCH(B722,Applications!$A$5:$A$600,0)),IF(E722="Secondary",INDEX(Applications!$J$5:$J$600,MATCH(B722,Applications!$A$5:$A$600,0)),INDEX(Applications!$K$5:$K$600,MATCH(B722,Applications!$A$5:$A$600,0))))=D722,"OK","Not assigned"),"Check ID"))</f>
        <v>OK</v>
      </c>
      <c r="O722" s="7" t="s">
        <v>1398</v>
      </c>
    </row>
    <row r="723" customFormat="false" ht="15" hidden="false" customHeight="false" outlineLevel="0" collapsed="false">
      <c r="A723" s="35" t="s">
        <v>2120</v>
      </c>
      <c r="B723" s="35" t="s">
        <v>713</v>
      </c>
      <c r="C723" s="37" t="str">
        <f aca="false">IF(B723="","",IFERROR(INDEX(Applications!$B$5:$B$600,MATCH(B723,Applications!$A$5:$A$600,0)),"Application ID not found"))</f>
        <v>Regina Farm School</v>
      </c>
      <c r="D723" s="35" t="s">
        <v>82</v>
      </c>
      <c r="E723" s="35" t="s">
        <v>83</v>
      </c>
      <c r="F723" s="36" t="n">
        <v>45950</v>
      </c>
      <c r="G723" s="35" t="n">
        <v>4</v>
      </c>
      <c r="H723" s="35" t="n">
        <v>4</v>
      </c>
      <c r="I723" s="35" t="n">
        <v>3</v>
      </c>
      <c r="J723" s="35" t="n">
        <v>4</v>
      </c>
      <c r="K723" s="35" t="n">
        <v>4</v>
      </c>
      <c r="L723" s="35" t="n">
        <v>3</v>
      </c>
      <c r="M723" s="50" t="n">
        <f aca="false">IF(COUNT(G723:L723)&lt;6,"",ROUND((G723*Rubric!$D$5+H723*Rubric!$D$6+I723*Rubric!$D$7+J723*Rubric!$D$8+K723*Rubric!$D$9+L723*Rubric!$D$10)/5*100,1))</f>
        <v>74</v>
      </c>
      <c r="N723" s="37" t="str">
        <f aca="false">IF(OR(B723="",D723=""),"",IFERROR(IF(IF(E723="Primary",INDEX(Applications!$I$5:$I$600,MATCH(B723,Applications!$A$5:$A$600,0)),IF(E723="Secondary",INDEX(Applications!$J$5:$J$600,MATCH(B723,Applications!$A$5:$A$600,0)),INDEX(Applications!$K$5:$K$600,MATCH(B723,Applications!$A$5:$A$600,0))))=D723,"OK","Not assigned"),"Check ID"))</f>
        <v>OK</v>
      </c>
      <c r="O723" s="7"/>
    </row>
    <row r="724" customFormat="false" ht="15" hidden="false" customHeight="false" outlineLevel="0" collapsed="false">
      <c r="A724" s="35" t="s">
        <v>2121</v>
      </c>
      <c r="B724" s="35" t="s">
        <v>378</v>
      </c>
      <c r="C724" s="37" t="str">
        <f aca="false">IF(B724="","",IFERROR(INDEX(Applications!$B$5:$B$600,MATCH(B724,Applications!$A$5:$A$600,0)),"Application ID not found"))</f>
        <v>Calgary Food Bank</v>
      </c>
      <c r="D724" s="35" t="s">
        <v>82</v>
      </c>
      <c r="E724" s="35" t="s">
        <v>83</v>
      </c>
      <c r="F724" s="36" t="n">
        <v>45950</v>
      </c>
      <c r="G724" s="35" t="n">
        <v>3</v>
      </c>
      <c r="H724" s="35" t="n">
        <v>3</v>
      </c>
      <c r="I724" s="35" t="n">
        <v>2</v>
      </c>
      <c r="J724" s="35" t="n">
        <v>3</v>
      </c>
      <c r="K724" s="35" t="n">
        <v>3</v>
      </c>
      <c r="L724" s="35" t="n">
        <v>3</v>
      </c>
      <c r="M724" s="50" t="n">
        <f aca="false">IF(COUNT(G724:L724)&lt;6,"",ROUND((G724*Rubric!$D$5+H724*Rubric!$D$6+I724*Rubric!$D$7+J724*Rubric!$D$8+K724*Rubric!$D$9+L724*Rubric!$D$10)/5*100,1))</f>
        <v>56</v>
      </c>
      <c r="N724" s="37" t="str">
        <f aca="false">IF(OR(B724="",D724=""),"",IFERROR(IF(IF(E724="Primary",INDEX(Applications!$I$5:$I$600,MATCH(B724,Applications!$A$5:$A$600,0)),IF(E724="Secondary",INDEX(Applications!$J$5:$J$600,MATCH(B724,Applications!$A$5:$A$600,0)),INDEX(Applications!$K$5:$K$600,MATCH(B724,Applications!$A$5:$A$600,0))))=D724,"OK","Not assigned"),"Check ID"))</f>
        <v>OK</v>
      </c>
      <c r="O724" s="7"/>
    </row>
    <row r="725" customFormat="false" ht="15" hidden="false" customHeight="false" outlineLevel="0" collapsed="false">
      <c r="A725" s="35" t="s">
        <v>2122</v>
      </c>
      <c r="B725" s="35" t="s">
        <v>450</v>
      </c>
      <c r="C725" s="37" t="str">
        <f aca="false">IF(B725="","",IFERROR(INDEX(Applications!$B$5:$B$600,MATCH(B725,Applications!$A$5:$A$600,0)),"Application ID not found"))</f>
        <v>Juniper Community Pantry</v>
      </c>
      <c r="D725" s="35" t="s">
        <v>82</v>
      </c>
      <c r="E725" s="35" t="s">
        <v>83</v>
      </c>
      <c r="F725" s="36" t="n">
        <v>45950</v>
      </c>
      <c r="G725" s="35" t="n">
        <v>3</v>
      </c>
      <c r="H725" s="35" t="n">
        <v>2</v>
      </c>
      <c r="I725" s="35" t="n">
        <v>3</v>
      </c>
      <c r="J725" s="35" t="n">
        <v>3</v>
      </c>
      <c r="K725" s="35" t="n">
        <v>3</v>
      </c>
      <c r="L725" s="35" t="n">
        <v>3</v>
      </c>
      <c r="M725" s="50" t="n">
        <f aca="false">IF(COUNT(G725:L725)&lt;6,"",ROUND((G725*Rubric!$D$5+H725*Rubric!$D$6+I725*Rubric!$D$7+J725*Rubric!$D$8+K725*Rubric!$D$9+L725*Rubric!$D$10)/5*100,1))</f>
        <v>56</v>
      </c>
      <c r="N725" s="37" t="str">
        <f aca="false">IF(OR(B725="",D725=""),"",IFERROR(IF(IF(E725="Primary",INDEX(Applications!$I$5:$I$600,MATCH(B725,Applications!$A$5:$A$600,0)),IF(E725="Secondary",INDEX(Applications!$J$5:$J$600,MATCH(B725,Applications!$A$5:$A$600,0)),INDEX(Applications!$K$5:$K$600,MATCH(B725,Applications!$A$5:$A$600,0))))=D725,"OK","Not assigned"),"Check ID"))</f>
        <v>OK</v>
      </c>
      <c r="O725" s="7"/>
    </row>
    <row r="726" customFormat="false" ht="15" hidden="false" customHeight="false" outlineLevel="0" collapsed="false">
      <c r="A726" s="35" t="s">
        <v>2123</v>
      </c>
      <c r="B726" s="35" t="s">
        <v>253</v>
      </c>
      <c r="C726" s="37" t="str">
        <f aca="false">IF(B726="","",IFERROR(INDEX(Applications!$B$5:$B$600,MATCH(B726,Applications!$A$5:$A$600,0)),"Application ID not found"))</f>
        <v>Arequipa Food Bank</v>
      </c>
      <c r="D726" s="35" t="s">
        <v>82</v>
      </c>
      <c r="E726" s="35" t="s">
        <v>80</v>
      </c>
      <c r="F726" s="36" t="n">
        <v>45950</v>
      </c>
      <c r="G726" s="35" t="n">
        <v>3</v>
      </c>
      <c r="H726" s="35" t="n">
        <v>3</v>
      </c>
      <c r="I726" s="35" t="n">
        <v>3</v>
      </c>
      <c r="J726" s="35" t="n">
        <v>2</v>
      </c>
      <c r="K726" s="35" t="n">
        <v>3</v>
      </c>
      <c r="L726" s="35" t="n">
        <v>3</v>
      </c>
      <c r="M726" s="50" t="n">
        <f aca="false">IF(COUNT(G726:L726)&lt;6,"",ROUND((G726*Rubric!$D$5+H726*Rubric!$D$6+I726*Rubric!$D$7+J726*Rubric!$D$8+K726*Rubric!$D$9+L726*Rubric!$D$10)/5*100,1))</f>
        <v>57</v>
      </c>
      <c r="N726" s="37" t="str">
        <f aca="false">IF(OR(B726="",D726=""),"",IFERROR(IF(IF(E726="Primary",INDEX(Applications!$I$5:$I$600,MATCH(B726,Applications!$A$5:$A$600,0)),IF(E726="Secondary",INDEX(Applications!$J$5:$J$600,MATCH(B726,Applications!$A$5:$A$600,0)),INDEX(Applications!$K$5:$K$600,MATCH(B726,Applications!$A$5:$A$600,0))))=D726,"OK","Not assigned"),"Check ID"))</f>
        <v>OK</v>
      </c>
      <c r="O726" s="7"/>
    </row>
    <row r="727" customFormat="false" ht="15" hidden="false" customHeight="false" outlineLevel="0" collapsed="false">
      <c r="A727" s="35" t="s">
        <v>2124</v>
      </c>
      <c r="B727" s="35" t="s">
        <v>1349</v>
      </c>
      <c r="C727" s="37" t="str">
        <f aca="false">IF(B727="","",IFERROR(INDEX(Applications!$B$5:$B$600,MATCH(B727,Applications!$A$5:$A$600,0)),"Application ID not found"))</f>
        <v>Harbor Pantry Network</v>
      </c>
      <c r="D727" s="35" t="s">
        <v>82</v>
      </c>
      <c r="E727" s="35" t="s">
        <v>83</v>
      </c>
      <c r="F727" s="36" t="n">
        <v>45950</v>
      </c>
      <c r="G727" s="35" t="n">
        <v>3</v>
      </c>
      <c r="H727" s="35" t="n">
        <v>4</v>
      </c>
      <c r="I727" s="35" t="n">
        <v>3</v>
      </c>
      <c r="J727" s="35" t="n">
        <v>2</v>
      </c>
      <c r="K727" s="35" t="n">
        <v>3</v>
      </c>
      <c r="L727" s="35" t="n">
        <v>4</v>
      </c>
      <c r="M727" s="50" t="n">
        <f aca="false">IF(COUNT(G727:L727)&lt;6,"",ROUND((G727*Rubric!$D$5+H727*Rubric!$D$6+I727*Rubric!$D$7+J727*Rubric!$D$8+K727*Rubric!$D$9+L727*Rubric!$D$10)/5*100,1))</f>
        <v>63</v>
      </c>
      <c r="N727" s="37" t="str">
        <f aca="false">IF(OR(B727="",D727=""),"",IFERROR(IF(IF(E727="Primary",INDEX(Applications!$I$5:$I$600,MATCH(B727,Applications!$A$5:$A$600,0)),IF(E727="Secondary",INDEX(Applications!$J$5:$J$600,MATCH(B727,Applications!$A$5:$A$600,0)),INDEX(Applications!$K$5:$K$600,MATCH(B727,Applications!$A$5:$A$600,0))))=D727,"OK","Not assigned"),"Check ID"))</f>
        <v>OK</v>
      </c>
      <c r="O727" s="7"/>
    </row>
    <row r="728" customFormat="false" ht="15" hidden="false" customHeight="false" outlineLevel="0" collapsed="false">
      <c r="A728" s="35" t="s">
        <v>2125</v>
      </c>
      <c r="B728" s="35" t="s">
        <v>1059</v>
      </c>
      <c r="C728" s="37" t="str">
        <f aca="false">IF(B728="","",IFERROR(INDEX(Applications!$B$5:$B$600,MATCH(B728,Applications!$A$5:$A$600,0)),"Application ID not found"))</f>
        <v>Leipzig Food Bank</v>
      </c>
      <c r="D728" s="35" t="s">
        <v>82</v>
      </c>
      <c r="E728" s="35" t="s">
        <v>80</v>
      </c>
      <c r="F728" s="36" t="n">
        <v>45950</v>
      </c>
      <c r="G728" s="35" t="n">
        <v>3</v>
      </c>
      <c r="H728" s="35" t="n">
        <v>5</v>
      </c>
      <c r="I728" s="35" t="n">
        <v>4</v>
      </c>
      <c r="J728" s="35" t="n">
        <v>4</v>
      </c>
      <c r="K728" s="35" t="n">
        <v>4</v>
      </c>
      <c r="L728" s="35" t="n">
        <v>4</v>
      </c>
      <c r="M728" s="50" t="n">
        <f aca="false">IF(COUNT(G728:L728)&lt;6,"",ROUND((G728*Rubric!$D$5+H728*Rubric!$D$6+I728*Rubric!$D$7+J728*Rubric!$D$8+K728*Rubric!$D$9+L728*Rubric!$D$10)/5*100,1))</f>
        <v>79</v>
      </c>
      <c r="N728" s="37" t="str">
        <f aca="false">IF(OR(B728="",D728=""),"",IFERROR(IF(IF(E728="Primary",INDEX(Applications!$I$5:$I$600,MATCH(B728,Applications!$A$5:$A$600,0)),IF(E728="Secondary",INDEX(Applications!$J$5:$J$600,MATCH(B728,Applications!$A$5:$A$600,0)),INDEX(Applications!$K$5:$K$600,MATCH(B728,Applications!$A$5:$A$600,0))))=D728,"OK","Not assigned"),"Check ID"))</f>
        <v>OK</v>
      </c>
      <c r="O728" s="7"/>
    </row>
    <row r="729" customFormat="false" ht="15" hidden="false" customHeight="false" outlineLevel="0" collapsed="false">
      <c r="A729" s="35" t="s">
        <v>2126</v>
      </c>
      <c r="B729" s="35" t="s">
        <v>1375</v>
      </c>
      <c r="C729" s="37" t="str">
        <f aca="false">IF(B729="","",IFERROR(INDEX(Applications!$B$5:$B$600,MATCH(B729,Applications!$A$5:$A$600,0)),"Application ID not found"))</f>
        <v>Kestrel Growers Cooperative</v>
      </c>
      <c r="D729" s="35" t="s">
        <v>82</v>
      </c>
      <c r="E729" s="35" t="s">
        <v>83</v>
      </c>
      <c r="F729" s="36" t="n">
        <v>45950</v>
      </c>
      <c r="G729" s="35" t="n">
        <v>2</v>
      </c>
      <c r="H729" s="35" t="n">
        <v>3</v>
      </c>
      <c r="I729" s="35" t="n">
        <v>2</v>
      </c>
      <c r="J729" s="35" t="n">
        <v>3</v>
      </c>
      <c r="K729" s="35" t="n">
        <v>4</v>
      </c>
      <c r="L729" s="35" t="n">
        <v>4</v>
      </c>
      <c r="M729" s="50" t="n">
        <f aca="false">IF(COUNT(G729:L729)&lt;6,"",ROUND((G729*Rubric!$D$5+H729*Rubric!$D$6+I729*Rubric!$D$7+J729*Rubric!$D$8+K729*Rubric!$D$9+L729*Rubric!$D$10)/5*100,1))</f>
        <v>55</v>
      </c>
      <c r="N729" s="37" t="str">
        <f aca="false">IF(OR(B729="",D729=""),"",IFERROR(IF(IF(E729="Primary",INDEX(Applications!$I$5:$I$600,MATCH(B729,Applications!$A$5:$A$600,0)),IF(E729="Secondary",INDEX(Applications!$J$5:$J$600,MATCH(B729,Applications!$A$5:$A$600,0)),INDEX(Applications!$K$5:$K$600,MATCH(B729,Applications!$A$5:$A$600,0))))=D729,"OK","Not assigned"),"Check ID"))</f>
        <v>OK</v>
      </c>
      <c r="O729" s="7" t="s">
        <v>1437</v>
      </c>
    </row>
    <row r="730" customFormat="false" ht="15" hidden="false" customHeight="false" outlineLevel="0" collapsed="false">
      <c r="A730" s="35" t="s">
        <v>2127</v>
      </c>
      <c r="B730" s="35" t="s">
        <v>837</v>
      </c>
      <c r="C730" s="37" t="str">
        <f aca="false">IF(B730="","",IFERROR(INDEX(Applications!$B$5:$B$600,MATCH(B730,Applications!$A$5:$A$600,0)),"Application ID not found"))</f>
        <v>Prairie Youth Food Lab</v>
      </c>
      <c r="D730" s="35" t="s">
        <v>82</v>
      </c>
      <c r="E730" s="35" t="s">
        <v>83</v>
      </c>
      <c r="F730" s="36" t="n">
        <v>45950</v>
      </c>
      <c r="G730" s="35" t="n">
        <v>3</v>
      </c>
      <c r="H730" s="35" t="n">
        <v>4</v>
      </c>
      <c r="I730" s="35" t="n">
        <v>4</v>
      </c>
      <c r="J730" s="35" t="n">
        <v>4</v>
      </c>
      <c r="K730" s="35" t="n">
        <v>3</v>
      </c>
      <c r="L730" s="35" t="n">
        <v>3</v>
      </c>
      <c r="M730" s="50" t="n">
        <f aca="false">IF(COUNT(G730:L730)&lt;6,"",ROUND((G730*Rubric!$D$5+H730*Rubric!$D$6+I730*Rubric!$D$7+J730*Rubric!$D$8+K730*Rubric!$D$9+L730*Rubric!$D$10)/5*100,1))</f>
        <v>71</v>
      </c>
      <c r="N730" s="37" t="str">
        <f aca="false">IF(OR(B730="",D730=""),"",IFERROR(IF(IF(E730="Primary",INDEX(Applications!$I$5:$I$600,MATCH(B730,Applications!$A$5:$A$600,0)),IF(E730="Secondary",INDEX(Applications!$J$5:$J$600,MATCH(B730,Applications!$A$5:$A$600,0)),INDEX(Applications!$K$5:$K$600,MATCH(B730,Applications!$A$5:$A$600,0))))=D730,"OK","Not assigned"),"Check ID"))</f>
        <v>OK</v>
      </c>
      <c r="O730" s="7"/>
    </row>
    <row r="731" customFormat="false" ht="15" hidden="false" customHeight="false" outlineLevel="0" collapsed="false">
      <c r="A731" s="35" t="s">
        <v>2128</v>
      </c>
      <c r="B731" s="35" t="s">
        <v>506</v>
      </c>
      <c r="C731" s="37" t="str">
        <f aca="false">IF(B731="","",IFERROR(INDEX(Applications!$B$5:$B$600,MATCH(B731,Applications!$A$5:$A$600,0)),"Application ID not found"))</f>
        <v>Old Town Kitchen Project</v>
      </c>
      <c r="D731" s="35" t="s">
        <v>82</v>
      </c>
      <c r="E731" s="35" t="s">
        <v>83</v>
      </c>
      <c r="F731" s="36" t="n">
        <v>45950</v>
      </c>
      <c r="G731" s="35" t="n">
        <v>2</v>
      </c>
      <c r="H731" s="35" t="n">
        <v>2</v>
      </c>
      <c r="I731" s="35" t="n">
        <v>4</v>
      </c>
      <c r="J731" s="35" t="n">
        <v>2</v>
      </c>
      <c r="K731" s="35" t="n">
        <v>2</v>
      </c>
      <c r="L731" s="35" t="n">
        <v>3</v>
      </c>
      <c r="M731" s="50" t="n">
        <f aca="false">IF(COUNT(G731:L731)&lt;6,"",ROUND((G731*Rubric!$D$5+H731*Rubric!$D$6+I731*Rubric!$D$7+J731*Rubric!$D$8+K731*Rubric!$D$9+L731*Rubric!$D$10)/5*100,1))</f>
        <v>50</v>
      </c>
      <c r="N731" s="37" t="str">
        <f aca="false">IF(OR(B731="",D731=""),"",IFERROR(IF(IF(E731="Primary",INDEX(Applications!$I$5:$I$600,MATCH(B731,Applications!$A$5:$A$600,0)),IF(E731="Secondary",INDEX(Applications!$J$5:$J$600,MATCH(B731,Applications!$A$5:$A$600,0)),INDEX(Applications!$K$5:$K$600,MATCH(B731,Applications!$A$5:$A$600,0))))=D731,"OK","Not assigned"),"Check ID"))</f>
        <v>OK</v>
      </c>
      <c r="O731" s="7"/>
    </row>
    <row r="732" customFormat="false" ht="15" hidden="false" customHeight="false" outlineLevel="0" collapsed="false">
      <c r="A732" s="35" t="s">
        <v>2129</v>
      </c>
      <c r="B732" s="35" t="s">
        <v>1179</v>
      </c>
      <c r="C732" s="37" t="str">
        <f aca="false">IF(B732="","",IFERROR(INDEX(Applications!$B$5:$B$600,MATCH(B732,Applications!$A$5:$A$600,0)),"Application ID not found"))</f>
        <v>Cologne Family Center</v>
      </c>
      <c r="D732" s="35" t="s">
        <v>82</v>
      </c>
      <c r="E732" s="35" t="s">
        <v>86</v>
      </c>
      <c r="F732" s="36" t="n">
        <v>45950</v>
      </c>
      <c r="G732" s="35" t="n">
        <v>3</v>
      </c>
      <c r="H732" s="35" t="n">
        <v>4</v>
      </c>
      <c r="I732" s="35" t="n">
        <v>4</v>
      </c>
      <c r="J732" s="35" t="n">
        <v>4</v>
      </c>
      <c r="K732" s="35" t="n">
        <v>3</v>
      </c>
      <c r="L732" s="35" t="n">
        <v>4</v>
      </c>
      <c r="M732" s="50" t="n">
        <f aca="false">IF(COUNT(G732:L732)&lt;6,"",ROUND((G732*Rubric!$D$5+H732*Rubric!$D$6+I732*Rubric!$D$7+J732*Rubric!$D$8+K732*Rubric!$D$9+L732*Rubric!$D$10)/5*100,1))</f>
        <v>73</v>
      </c>
      <c r="N732" s="37" t="str">
        <f aca="false">IF(OR(B732="",D732=""),"",IFERROR(IF(IF(E732="Primary",INDEX(Applications!$I$5:$I$600,MATCH(B732,Applications!$A$5:$A$600,0)),IF(E732="Secondary",INDEX(Applications!$J$5:$J$600,MATCH(B732,Applications!$A$5:$A$600,0)),INDEX(Applications!$K$5:$K$600,MATCH(B732,Applications!$A$5:$A$600,0))))=D732,"OK","Not assigned"),"Check ID"))</f>
        <v>OK</v>
      </c>
      <c r="O732" s="7"/>
    </row>
    <row r="733" customFormat="false" ht="15" hidden="false" customHeight="false" outlineLevel="0" collapsed="false">
      <c r="A733" s="35" t="s">
        <v>2130</v>
      </c>
      <c r="B733" s="35" t="s">
        <v>1207</v>
      </c>
      <c r="C733" s="37" t="str">
        <f aca="false">IF(B733="","",IFERROR(INDEX(Applications!$B$5:$B$600,MATCH(B733,Applications!$A$5:$A$600,0)),"Application ID not found"))</f>
        <v>Columbus Food Bank</v>
      </c>
      <c r="D733" s="35" t="s">
        <v>82</v>
      </c>
      <c r="E733" s="35" t="s">
        <v>86</v>
      </c>
      <c r="F733" s="36" t="n">
        <v>45950</v>
      </c>
      <c r="G733" s="35" t="n">
        <v>3</v>
      </c>
      <c r="H733" s="35" t="n">
        <v>2</v>
      </c>
      <c r="I733" s="35" t="n">
        <v>4</v>
      </c>
      <c r="J733" s="35" t="n">
        <v>2</v>
      </c>
      <c r="K733" s="35" t="n">
        <v>3</v>
      </c>
      <c r="L733" s="35" t="n">
        <v>3</v>
      </c>
      <c r="M733" s="50" t="n">
        <f aca="false">IF(COUNT(G733:L733)&lt;6,"",ROUND((G733*Rubric!$D$5+H733*Rubric!$D$6+I733*Rubric!$D$7+J733*Rubric!$D$8+K733*Rubric!$D$9+L733*Rubric!$D$10)/5*100,1))</f>
        <v>57</v>
      </c>
      <c r="N733" s="37" t="str">
        <f aca="false">IF(OR(B733="",D733=""),"",IFERROR(IF(IF(E733="Primary",INDEX(Applications!$I$5:$I$600,MATCH(B733,Applications!$A$5:$A$600,0)),IF(E733="Secondary",INDEX(Applications!$J$5:$J$600,MATCH(B733,Applications!$A$5:$A$600,0)),INDEX(Applications!$K$5:$K$600,MATCH(B733,Applications!$A$5:$A$600,0))))=D733,"OK","Not assigned"),"Check ID"))</f>
        <v>OK</v>
      </c>
      <c r="O733" s="7"/>
    </row>
    <row r="734" customFormat="false" ht="15" hidden="false" customHeight="false" outlineLevel="0" collapsed="false">
      <c r="A734" s="35" t="s">
        <v>2131</v>
      </c>
      <c r="B734" s="35" t="s">
        <v>741</v>
      </c>
      <c r="C734" s="37" t="str">
        <f aca="false">IF(B734="","",IFERROR(INDEX(Applications!$B$5:$B$600,MATCH(B734,Applications!$A$5:$A$600,0)),"Application ID not found"))</f>
        <v>Galway Bakery Collective</v>
      </c>
      <c r="D734" s="35" t="s">
        <v>82</v>
      </c>
      <c r="E734" s="35" t="s">
        <v>86</v>
      </c>
      <c r="F734" s="36" t="n">
        <v>45950</v>
      </c>
      <c r="G734" s="35" t="n">
        <v>4</v>
      </c>
      <c r="H734" s="35" t="n">
        <v>4</v>
      </c>
      <c r="I734" s="35" t="n">
        <v>4</v>
      </c>
      <c r="J734" s="35" t="n">
        <v>4</v>
      </c>
      <c r="K734" s="35" t="n">
        <v>3</v>
      </c>
      <c r="L734" s="35" t="n">
        <v>4</v>
      </c>
      <c r="M734" s="50" t="n">
        <f aca="false">IF(COUNT(G734:L734)&lt;6,"",ROUND((G734*Rubric!$D$5+H734*Rubric!$D$6+I734*Rubric!$D$7+J734*Rubric!$D$8+K734*Rubric!$D$9+L734*Rubric!$D$10)/5*100,1))</f>
        <v>78</v>
      </c>
      <c r="N734" s="37" t="str">
        <f aca="false">IF(OR(B734="",D734=""),"",IFERROR(IF(IF(E734="Primary",INDEX(Applications!$I$5:$I$600,MATCH(B734,Applications!$A$5:$A$600,0)),IF(E734="Secondary",INDEX(Applications!$J$5:$J$600,MATCH(B734,Applications!$A$5:$A$600,0)),INDEX(Applications!$K$5:$K$600,MATCH(B734,Applications!$A$5:$A$600,0))))=D734,"OK","Not assigned"),"Check ID"))</f>
        <v>OK</v>
      </c>
      <c r="O734" s="7"/>
    </row>
    <row r="735" customFormat="false" ht="15" hidden="false" customHeight="false" outlineLevel="0" collapsed="false">
      <c r="A735" s="35" t="s">
        <v>2132</v>
      </c>
      <c r="B735" s="35" t="s">
        <v>333</v>
      </c>
      <c r="C735" s="37" t="str">
        <f aca="false">IF(B735="","",IFERROR(INDEX(Applications!$B$5:$B$600,MATCH(B735,Applications!$A$5:$A$600,0)),"Application ID not found"))</f>
        <v>Fresno Community Pantry</v>
      </c>
      <c r="D735" s="35" t="s">
        <v>88</v>
      </c>
      <c r="E735" s="35" t="s">
        <v>83</v>
      </c>
      <c r="F735" s="36" t="n">
        <v>45950</v>
      </c>
      <c r="G735" s="35" t="n">
        <v>3</v>
      </c>
      <c r="H735" s="35" t="n">
        <v>3</v>
      </c>
      <c r="I735" s="35" t="n">
        <v>2</v>
      </c>
      <c r="J735" s="35" t="n">
        <v>3</v>
      </c>
      <c r="K735" s="35" t="n">
        <v>3</v>
      </c>
      <c r="L735" s="35" t="n">
        <v>3</v>
      </c>
      <c r="M735" s="50" t="n">
        <f aca="false">IF(COUNT(G735:L735)&lt;6,"",ROUND((G735*Rubric!$D$5+H735*Rubric!$D$6+I735*Rubric!$D$7+J735*Rubric!$D$8+K735*Rubric!$D$9+L735*Rubric!$D$10)/5*100,1))</f>
        <v>56</v>
      </c>
      <c r="N735" s="37" t="str">
        <f aca="false">IF(OR(B735="",D735=""),"",IFERROR(IF(IF(E735="Primary",INDEX(Applications!$I$5:$I$600,MATCH(B735,Applications!$A$5:$A$600,0)),IF(E735="Secondary",INDEX(Applications!$J$5:$J$600,MATCH(B735,Applications!$A$5:$A$600,0)),INDEX(Applications!$K$5:$K$600,MATCH(B735,Applications!$A$5:$A$600,0))))=D735,"OK","Not assigned"),"Check ID"))</f>
        <v>OK</v>
      </c>
      <c r="O735" s="7"/>
    </row>
    <row r="736" customFormat="false" ht="15" hidden="false" customHeight="false" outlineLevel="0" collapsed="false">
      <c r="A736" s="35" t="s">
        <v>2133</v>
      </c>
      <c r="B736" s="35" t="s">
        <v>1351</v>
      </c>
      <c r="C736" s="37" t="str">
        <f aca="false">IF(B736="","",IFERROR(INDEX(Applications!$B$5:$B$600,MATCH(B736,Applications!$A$5:$A$600,0)),"Application ID not found"))</f>
        <v>Greenway Pantry Network</v>
      </c>
      <c r="D736" s="35" t="s">
        <v>88</v>
      </c>
      <c r="E736" s="35" t="s">
        <v>83</v>
      </c>
      <c r="F736" s="36" t="n">
        <v>45950</v>
      </c>
      <c r="G736" s="35" t="n">
        <v>1</v>
      </c>
      <c r="H736" s="35" t="n">
        <v>1</v>
      </c>
      <c r="I736" s="35" t="n">
        <v>1</v>
      </c>
      <c r="J736" s="35" t="n">
        <v>1</v>
      </c>
      <c r="K736" s="35" t="n">
        <v>2</v>
      </c>
      <c r="L736" s="35" t="n">
        <v>1</v>
      </c>
      <c r="M736" s="50" t="n">
        <f aca="false">IF(COUNT(G736:L736)&lt;6,"",ROUND((G736*Rubric!$D$5+H736*Rubric!$D$6+I736*Rubric!$D$7+J736*Rubric!$D$8+K736*Rubric!$D$9+L736*Rubric!$D$10)/5*100,1))</f>
        <v>22</v>
      </c>
      <c r="N736" s="37" t="str">
        <f aca="false">IF(OR(B736="",D736=""),"",IFERROR(IF(IF(E736="Primary",INDEX(Applications!$I$5:$I$600,MATCH(B736,Applications!$A$5:$A$600,0)),IF(E736="Secondary",INDEX(Applications!$J$5:$J$600,MATCH(B736,Applications!$A$5:$A$600,0)),INDEX(Applications!$K$5:$K$600,MATCH(B736,Applications!$A$5:$A$600,0))))=D736,"OK","Not assigned"),"Check ID"))</f>
        <v>OK</v>
      </c>
      <c r="O736" s="7"/>
    </row>
    <row r="737" customFormat="false" ht="15" hidden="false" customHeight="false" outlineLevel="0" collapsed="false">
      <c r="A737" s="35" t="s">
        <v>2134</v>
      </c>
      <c r="B737" s="35" t="s">
        <v>1267</v>
      </c>
      <c r="C737" s="37" t="str">
        <f aca="false">IF(B737="","",IFERROR(INDEX(Applications!$B$5:$B$600,MATCH(B737,Applications!$A$5:$A$600,0)),"Application ID not found"))</f>
        <v>Ironwood Food Bank</v>
      </c>
      <c r="D737" s="35" t="s">
        <v>88</v>
      </c>
      <c r="E737" s="35" t="s">
        <v>80</v>
      </c>
      <c r="F737" s="36" t="n">
        <v>45950</v>
      </c>
      <c r="G737" s="35" t="n">
        <v>2</v>
      </c>
      <c r="H737" s="35" t="n">
        <v>2</v>
      </c>
      <c r="I737" s="35" t="n">
        <v>2</v>
      </c>
      <c r="J737" s="35" t="n">
        <v>3</v>
      </c>
      <c r="K737" s="35" t="n">
        <v>2</v>
      </c>
      <c r="L737" s="35" t="n">
        <v>2</v>
      </c>
      <c r="M737" s="50" t="n">
        <f aca="false">IF(COUNT(G737:L737)&lt;6,"",ROUND((G737*Rubric!$D$5+H737*Rubric!$D$6+I737*Rubric!$D$7+J737*Rubric!$D$8+K737*Rubric!$D$9+L737*Rubric!$D$10)/5*100,1))</f>
        <v>43</v>
      </c>
      <c r="N737" s="37" t="str">
        <f aca="false">IF(OR(B737="",D737=""),"",IFERROR(IF(IF(E737="Primary",INDEX(Applications!$I$5:$I$600,MATCH(B737,Applications!$A$5:$A$600,0)),IF(E737="Secondary",INDEX(Applications!$J$5:$J$600,MATCH(B737,Applications!$A$5:$A$600,0)),INDEX(Applications!$K$5:$K$600,MATCH(B737,Applications!$A$5:$A$600,0))))=D737,"OK","Not assigned"),"Check ID"))</f>
        <v>OK</v>
      </c>
      <c r="O737" s="7"/>
    </row>
    <row r="738" customFormat="false" ht="15" hidden="false" customHeight="false" outlineLevel="0" collapsed="false">
      <c r="A738" s="35" t="s">
        <v>2135</v>
      </c>
      <c r="B738" s="35" t="s">
        <v>280</v>
      </c>
      <c r="C738" s="37" t="str">
        <f aca="false">IF(B738="","",IFERROR(INDEX(Applications!$B$5:$B$600,MATCH(B738,Applications!$A$5:$A$600,0)),"Application ID not found"))</f>
        <v>Chennai Meals Project</v>
      </c>
      <c r="D738" s="35" t="s">
        <v>88</v>
      </c>
      <c r="E738" s="35" t="s">
        <v>80</v>
      </c>
      <c r="F738" s="36" t="n">
        <v>45950</v>
      </c>
      <c r="G738" s="35" t="n">
        <v>3</v>
      </c>
      <c r="H738" s="35" t="n">
        <v>3</v>
      </c>
      <c r="I738" s="35" t="n">
        <v>3</v>
      </c>
      <c r="J738" s="35" t="n">
        <v>3</v>
      </c>
      <c r="K738" s="35" t="n">
        <v>3</v>
      </c>
      <c r="L738" s="35" t="n">
        <v>3</v>
      </c>
      <c r="M738" s="50" t="n">
        <f aca="false">IF(COUNT(G738:L738)&lt;6,"",ROUND((G738*Rubric!$D$5+H738*Rubric!$D$6+I738*Rubric!$D$7+J738*Rubric!$D$8+K738*Rubric!$D$9+L738*Rubric!$D$10)/5*100,1))</f>
        <v>60</v>
      </c>
      <c r="N738" s="37" t="str">
        <f aca="false">IF(OR(B738="",D738=""),"",IFERROR(IF(IF(E738="Primary",INDEX(Applications!$I$5:$I$600,MATCH(B738,Applications!$A$5:$A$600,0)),IF(E738="Secondary",INDEX(Applications!$J$5:$J$600,MATCH(B738,Applications!$A$5:$A$600,0)),INDEX(Applications!$K$5:$K$600,MATCH(B738,Applications!$A$5:$A$600,0))))=D738,"OK","Not assigned"),"Check ID"))</f>
        <v>OK</v>
      </c>
      <c r="O738" s="7"/>
    </row>
    <row r="739" customFormat="false" ht="15" hidden="false" customHeight="false" outlineLevel="0" collapsed="false">
      <c r="A739" s="35" t="s">
        <v>2136</v>
      </c>
      <c r="B739" s="35" t="s">
        <v>951</v>
      </c>
      <c r="C739" s="37" t="str">
        <f aca="false">IF(B739="","",IFERROR(INDEX(Applications!$B$5:$B$600,MATCH(B739,Applications!$A$5:$A$600,0)),"Application ID not found"))</f>
        <v>Bridgeview Pantry Network</v>
      </c>
      <c r="D739" s="35" t="s">
        <v>88</v>
      </c>
      <c r="E739" s="35" t="s">
        <v>83</v>
      </c>
      <c r="F739" s="36" t="n">
        <v>45950</v>
      </c>
      <c r="G739" s="35" t="n">
        <v>2</v>
      </c>
      <c r="H739" s="35" t="n">
        <v>2</v>
      </c>
      <c r="I739" s="35" t="n">
        <v>3</v>
      </c>
      <c r="J739" s="35" t="n">
        <v>4</v>
      </c>
      <c r="K739" s="35" t="n">
        <v>3</v>
      </c>
      <c r="L739" s="35" t="n">
        <v>3</v>
      </c>
      <c r="M739" s="50" t="n">
        <f aca="false">IF(COUNT(G739:L739)&lt;6,"",ROUND((G739*Rubric!$D$5+H739*Rubric!$D$6+I739*Rubric!$D$7+J739*Rubric!$D$8+K739*Rubric!$D$9+L739*Rubric!$D$10)/5*100,1))</f>
        <v>54</v>
      </c>
      <c r="N739" s="37" t="str">
        <f aca="false">IF(OR(B739="",D739=""),"",IFERROR(IF(IF(E739="Primary",INDEX(Applications!$I$5:$I$600,MATCH(B739,Applications!$A$5:$A$600,0)),IF(E739="Secondary",INDEX(Applications!$J$5:$J$600,MATCH(B739,Applications!$A$5:$A$600,0)),INDEX(Applications!$K$5:$K$600,MATCH(B739,Applications!$A$5:$A$600,0))))=D739,"OK","Not assigned"),"Check ID"))</f>
        <v>OK</v>
      </c>
      <c r="O739" s="7"/>
    </row>
    <row r="740" customFormat="false" ht="15" hidden="false" customHeight="false" outlineLevel="0" collapsed="false">
      <c r="A740" s="35" t="s">
        <v>2137</v>
      </c>
      <c r="B740" s="35" t="s">
        <v>587</v>
      </c>
      <c r="C740" s="37" t="str">
        <f aca="false">IF(B740="","",IFERROR(INDEX(Applications!$B$5:$B$600,MATCH(B740,Applications!$A$5:$A$600,0)),"Application ID not found"))</f>
        <v>Mill Creek Farm School</v>
      </c>
      <c r="D740" s="35" t="s">
        <v>88</v>
      </c>
      <c r="E740" s="35" t="s">
        <v>83</v>
      </c>
      <c r="F740" s="36" t="n">
        <v>45950</v>
      </c>
      <c r="G740" s="35" t="n">
        <v>3</v>
      </c>
      <c r="H740" s="35" t="n">
        <v>4</v>
      </c>
      <c r="I740" s="35" t="n">
        <v>4</v>
      </c>
      <c r="J740" s="35" t="n">
        <v>3</v>
      </c>
      <c r="K740" s="35" t="n">
        <v>3</v>
      </c>
      <c r="L740" s="35" t="n">
        <v>3</v>
      </c>
      <c r="M740" s="50" t="n">
        <f aca="false">IF(COUNT(G740:L740)&lt;6,"",ROUND((G740*Rubric!$D$5+H740*Rubric!$D$6+I740*Rubric!$D$7+J740*Rubric!$D$8+K740*Rubric!$D$9+L740*Rubric!$D$10)/5*100,1))</f>
        <v>68</v>
      </c>
      <c r="N740" s="37" t="str">
        <f aca="false">IF(OR(B740="",D740=""),"",IFERROR(IF(IF(E740="Primary",INDEX(Applications!$I$5:$I$600,MATCH(B740,Applications!$A$5:$A$600,0)),IF(E740="Secondary",INDEX(Applications!$J$5:$J$600,MATCH(B740,Applications!$A$5:$A$600,0)),INDEX(Applications!$K$5:$K$600,MATCH(B740,Applications!$A$5:$A$600,0))))=D740,"OK","Not assigned"),"Check ID"))</f>
        <v>OK</v>
      </c>
      <c r="O740" s="7"/>
    </row>
    <row r="741" customFormat="false" ht="15" hidden="false" customHeight="false" outlineLevel="0" collapsed="false">
      <c r="A741" s="35" t="s">
        <v>2138</v>
      </c>
      <c r="B741" s="35" t="s">
        <v>565</v>
      </c>
      <c r="C741" s="37" t="str">
        <f aca="false">IF(B741="","",IFERROR(INDEX(Applications!$B$5:$B$600,MATCH(B741,Applications!$A$5:$A$600,0)),"Application ID not found"))</f>
        <v>Calgary Community Kitchen</v>
      </c>
      <c r="D741" s="35" t="s">
        <v>88</v>
      </c>
      <c r="E741" s="35" t="s">
        <v>80</v>
      </c>
      <c r="F741" s="36" t="n">
        <v>45950</v>
      </c>
      <c r="G741" s="35" t="n">
        <v>3</v>
      </c>
      <c r="H741" s="35" t="n">
        <v>3</v>
      </c>
      <c r="I741" s="35" t="n">
        <v>2</v>
      </c>
      <c r="J741" s="35" t="n">
        <v>3</v>
      </c>
      <c r="K741" s="35" t="n">
        <v>3</v>
      </c>
      <c r="L741" s="35" t="n">
        <v>3</v>
      </c>
      <c r="M741" s="50" t="n">
        <f aca="false">IF(COUNT(G741:L741)&lt;6,"",ROUND((G741*Rubric!$D$5+H741*Rubric!$D$6+I741*Rubric!$D$7+J741*Rubric!$D$8+K741*Rubric!$D$9+L741*Rubric!$D$10)/5*100,1))</f>
        <v>56</v>
      </c>
      <c r="N741" s="37" t="str">
        <f aca="false">IF(OR(B741="",D741=""),"",IFERROR(IF(IF(E741="Primary",INDEX(Applications!$I$5:$I$600,MATCH(B741,Applications!$A$5:$A$600,0)),IF(E741="Secondary",INDEX(Applications!$J$5:$J$600,MATCH(B741,Applications!$A$5:$A$600,0)),INDEX(Applications!$K$5:$K$600,MATCH(B741,Applications!$A$5:$A$600,0))))=D741,"OK","Not assigned"),"Check ID"))</f>
        <v>OK</v>
      </c>
      <c r="O741" s="7" t="s">
        <v>1398</v>
      </c>
    </row>
    <row r="742" customFormat="false" ht="15" hidden="false" customHeight="false" outlineLevel="0" collapsed="false">
      <c r="A742" s="35" t="s">
        <v>2139</v>
      </c>
      <c r="B742" s="35" t="s">
        <v>583</v>
      </c>
      <c r="C742" s="37" t="str">
        <f aca="false">IF(B742="","",IFERROR(INDEX(Applications!$B$5:$B$600,MATCH(B742,Applications!$A$5:$A$600,0)),"Application ID not found"))</f>
        <v>Calgary Cafe Training Program</v>
      </c>
      <c r="D742" s="35" t="s">
        <v>88</v>
      </c>
      <c r="E742" s="35" t="s">
        <v>80</v>
      </c>
      <c r="F742" s="36" t="n">
        <v>45950</v>
      </c>
      <c r="G742" s="35" t="n">
        <v>3</v>
      </c>
      <c r="H742" s="35" t="n">
        <v>3</v>
      </c>
      <c r="I742" s="35" t="n">
        <v>3</v>
      </c>
      <c r="J742" s="35" t="n">
        <v>3</v>
      </c>
      <c r="K742" s="35" t="n">
        <v>3</v>
      </c>
      <c r="L742" s="35" t="n">
        <v>3</v>
      </c>
      <c r="M742" s="50" t="n">
        <f aca="false">IF(COUNT(G742:L742)&lt;6,"",ROUND((G742*Rubric!$D$5+H742*Rubric!$D$6+I742*Rubric!$D$7+J742*Rubric!$D$8+K742*Rubric!$D$9+L742*Rubric!$D$10)/5*100,1))</f>
        <v>60</v>
      </c>
      <c r="N742" s="37" t="str">
        <f aca="false">IF(OR(B742="",D742=""),"",IFERROR(IF(IF(E742="Primary",INDEX(Applications!$I$5:$I$600,MATCH(B742,Applications!$A$5:$A$600,0)),IF(E742="Secondary",INDEX(Applications!$J$5:$J$600,MATCH(B742,Applications!$A$5:$A$600,0)),INDEX(Applications!$K$5:$K$600,MATCH(B742,Applications!$A$5:$A$600,0))))=D742,"OK","Not assigned"),"Check ID"))</f>
        <v>OK</v>
      </c>
      <c r="O742" s="7"/>
    </row>
    <row r="743" customFormat="false" ht="15" hidden="false" customHeight="false" outlineLevel="0" collapsed="false">
      <c r="A743" s="35" t="s">
        <v>2140</v>
      </c>
      <c r="B743" s="35" t="s">
        <v>767</v>
      </c>
      <c r="C743" s="37" t="str">
        <f aca="false">IF(B743="","",IFERROR(INDEX(Applications!$B$5:$B$600,MATCH(B743,Applications!$A$5:$A$600,0)),"Application ID not found"))</f>
        <v>Greenway Meals Project</v>
      </c>
      <c r="D743" s="35" t="s">
        <v>88</v>
      </c>
      <c r="E743" s="35" t="s">
        <v>80</v>
      </c>
      <c r="F743" s="36" t="n">
        <v>45950</v>
      </c>
      <c r="G743" s="35" t="n">
        <v>3</v>
      </c>
      <c r="H743" s="35" t="n">
        <v>2</v>
      </c>
      <c r="I743" s="35" t="n">
        <v>3</v>
      </c>
      <c r="J743" s="35" t="n">
        <v>4</v>
      </c>
      <c r="K743" s="35" t="n">
        <v>3</v>
      </c>
      <c r="L743" s="35" t="n">
        <v>4</v>
      </c>
      <c r="M743" s="50" t="n">
        <f aca="false">IF(COUNT(G743:L743)&lt;6,"",ROUND((G743*Rubric!$D$5+H743*Rubric!$D$6+I743*Rubric!$D$7+J743*Rubric!$D$8+K743*Rubric!$D$9+L743*Rubric!$D$10)/5*100,1))</f>
        <v>61</v>
      </c>
      <c r="N743" s="37" t="str">
        <f aca="false">IF(OR(B743="",D743=""),"",IFERROR(IF(IF(E743="Primary",INDEX(Applications!$I$5:$I$600,MATCH(B743,Applications!$A$5:$A$600,0)),IF(E743="Secondary",INDEX(Applications!$J$5:$J$600,MATCH(B743,Applications!$A$5:$A$600,0)),INDEX(Applications!$K$5:$K$600,MATCH(B743,Applications!$A$5:$A$600,0))))=D743,"OK","Not assigned"),"Check ID"))</f>
        <v>OK</v>
      </c>
      <c r="O743" s="7"/>
    </row>
    <row r="744" customFormat="false" ht="15" hidden="false" customHeight="false" outlineLevel="0" collapsed="false">
      <c r="A744" s="35" t="s">
        <v>2141</v>
      </c>
      <c r="B744" s="35" t="s">
        <v>683</v>
      </c>
      <c r="C744" s="37" t="str">
        <f aca="false">IF(B744="","",IFERROR(INDEX(Applications!$B$5:$B$600,MATCH(B744,Applications!$A$5:$A$600,0)),"Application ID not found"))</f>
        <v>Good Neighbor Market Gardens</v>
      </c>
      <c r="D744" s="35" t="s">
        <v>88</v>
      </c>
      <c r="E744" s="35" t="s">
        <v>83</v>
      </c>
      <c r="F744" s="36" t="n">
        <v>45950</v>
      </c>
      <c r="G744" s="35" t="n">
        <v>4</v>
      </c>
      <c r="H744" s="35" t="n">
        <v>4</v>
      </c>
      <c r="I744" s="35" t="n">
        <v>4</v>
      </c>
      <c r="J744" s="35" t="n">
        <v>5</v>
      </c>
      <c r="K744" s="35" t="n">
        <v>4</v>
      </c>
      <c r="L744" s="35" t="n">
        <v>4</v>
      </c>
      <c r="M744" s="50" t="n">
        <f aca="false">IF(COUNT(G744:L744)&lt;6,"",ROUND((G744*Rubric!$D$5+H744*Rubric!$D$6+I744*Rubric!$D$7+J744*Rubric!$D$8+K744*Rubric!$D$9+L744*Rubric!$D$10)/5*100,1))</f>
        <v>83</v>
      </c>
      <c r="N744" s="37" t="str">
        <f aca="false">IF(OR(B744="",D744=""),"",IFERROR(IF(IF(E744="Primary",INDEX(Applications!$I$5:$I$600,MATCH(B744,Applications!$A$5:$A$600,0)),IF(E744="Secondary",INDEX(Applications!$J$5:$J$600,MATCH(B744,Applications!$A$5:$A$600,0)),INDEX(Applications!$K$5:$K$600,MATCH(B744,Applications!$A$5:$A$600,0))))=D744,"OK","Not assigned"),"Check ID"))</f>
        <v>OK</v>
      </c>
      <c r="O744" s="7"/>
    </row>
    <row r="745" customFormat="false" ht="15" hidden="false" customHeight="false" outlineLevel="0" collapsed="false">
      <c r="A745" s="35" t="s">
        <v>2142</v>
      </c>
      <c r="B745" s="35" t="s">
        <v>1065</v>
      </c>
      <c r="C745" s="37" t="str">
        <f aca="false">IF(B745="","",IFERROR(INDEX(Applications!$B$5:$B$600,MATCH(B745,Applications!$A$5:$A$600,0)),"Application ID not found"))</f>
        <v>Leipzig Community Pantry</v>
      </c>
      <c r="D745" s="35" t="s">
        <v>88</v>
      </c>
      <c r="E745" s="35" t="s">
        <v>83</v>
      </c>
      <c r="F745" s="36" t="n">
        <v>45950</v>
      </c>
      <c r="G745" s="35" t="n">
        <v>5</v>
      </c>
      <c r="H745" s="35" t="n">
        <v>5</v>
      </c>
      <c r="I745" s="35" t="n">
        <v>4</v>
      </c>
      <c r="J745" s="35" t="n">
        <v>4</v>
      </c>
      <c r="K745" s="35" t="n">
        <v>5</v>
      </c>
      <c r="L745" s="35" t="n">
        <v>5</v>
      </c>
      <c r="M745" s="50" t="n">
        <f aca="false">IF(COUNT(G745:L745)&lt;6,"",ROUND((G745*Rubric!$D$5+H745*Rubric!$D$6+I745*Rubric!$D$7+J745*Rubric!$D$8+K745*Rubric!$D$9+L745*Rubric!$D$10)/5*100,1))</f>
        <v>93</v>
      </c>
      <c r="N745" s="37" t="str">
        <f aca="false">IF(OR(B745="",D745=""),"",IFERROR(IF(IF(E745="Primary",INDEX(Applications!$I$5:$I$600,MATCH(B745,Applications!$A$5:$A$600,0)),IF(E745="Secondary",INDEX(Applications!$J$5:$J$600,MATCH(B745,Applications!$A$5:$A$600,0)),INDEX(Applications!$K$5:$K$600,MATCH(B745,Applications!$A$5:$A$600,0))))=D745,"OK","Not assigned"),"Check ID"))</f>
        <v>OK</v>
      </c>
      <c r="O745" s="7"/>
    </row>
    <row r="746" customFormat="false" ht="15" hidden="false" customHeight="false" outlineLevel="0" collapsed="false">
      <c r="A746" s="35" t="s">
        <v>2143</v>
      </c>
      <c r="B746" s="35" t="s">
        <v>739</v>
      </c>
      <c r="C746" s="37" t="str">
        <f aca="false">IF(B746="","",IFERROR(INDEX(Applications!$B$5:$B$600,MATCH(B746,Applications!$A$5:$A$600,0)),"Application ID not found"))</f>
        <v>Durham Market Gardens</v>
      </c>
      <c r="D746" s="35" t="s">
        <v>88</v>
      </c>
      <c r="E746" s="35" t="s">
        <v>80</v>
      </c>
      <c r="F746" s="36" t="n">
        <v>45950</v>
      </c>
      <c r="G746" s="35" t="n">
        <v>5</v>
      </c>
      <c r="H746" s="35" t="n">
        <v>5</v>
      </c>
      <c r="I746" s="35" t="n">
        <v>5</v>
      </c>
      <c r="J746" s="35" t="n">
        <v>4</v>
      </c>
      <c r="K746" s="35" t="n">
        <v>5</v>
      </c>
      <c r="L746" s="35" t="n">
        <v>4</v>
      </c>
      <c r="M746" s="50" t="n">
        <f aca="false">IF(COUNT(G746:L746)&lt;6,"",ROUND((G746*Rubric!$D$5+H746*Rubric!$D$6+I746*Rubric!$D$7+J746*Rubric!$D$8+K746*Rubric!$D$9+L746*Rubric!$D$10)/5*100,1))</f>
        <v>95</v>
      </c>
      <c r="N746" s="37" t="str">
        <f aca="false">IF(OR(B746="",D746=""),"",IFERROR(IF(IF(E746="Primary",INDEX(Applications!$I$5:$I$600,MATCH(B746,Applications!$A$5:$A$600,0)),IF(E746="Secondary",INDEX(Applications!$J$5:$J$600,MATCH(B746,Applications!$A$5:$A$600,0)),INDEX(Applications!$K$5:$K$600,MATCH(B746,Applications!$A$5:$A$600,0))))=D746,"OK","Not assigned"),"Check ID"))</f>
        <v>OK</v>
      </c>
      <c r="O746" s="7"/>
    </row>
    <row r="747" customFormat="false" ht="15" hidden="false" customHeight="false" outlineLevel="0" collapsed="false">
      <c r="A747" s="35" t="s">
        <v>2144</v>
      </c>
      <c r="B747" s="35" t="s">
        <v>1103</v>
      </c>
      <c r="C747" s="37" t="str">
        <f aca="false">IF(B747="","",IFERROR(INDEX(Applications!$B$5:$B$600,MATCH(B747,Applications!$A$5:$A$600,0)),"Application ID not found"))</f>
        <v>Hamilton Bakery Collective</v>
      </c>
      <c r="D747" s="35" t="s">
        <v>88</v>
      </c>
      <c r="E747" s="35" t="s">
        <v>80</v>
      </c>
      <c r="F747" s="36" t="n">
        <v>45950</v>
      </c>
      <c r="G747" s="35" t="n">
        <v>4</v>
      </c>
      <c r="H747" s="35" t="n">
        <v>4</v>
      </c>
      <c r="I747" s="35" t="n">
        <v>4</v>
      </c>
      <c r="J747" s="35" t="n">
        <v>4</v>
      </c>
      <c r="K747" s="35" t="n">
        <v>4</v>
      </c>
      <c r="L747" s="35" t="n">
        <v>4</v>
      </c>
      <c r="M747" s="50" t="n">
        <f aca="false">IF(COUNT(G747:L747)&lt;6,"",ROUND((G747*Rubric!$D$5+H747*Rubric!$D$6+I747*Rubric!$D$7+J747*Rubric!$D$8+K747*Rubric!$D$9+L747*Rubric!$D$10)/5*100,1))</f>
        <v>80</v>
      </c>
      <c r="N747" s="37" t="str">
        <f aca="false">IF(OR(B747="",D747=""),"",IFERROR(IF(IF(E747="Primary",INDEX(Applications!$I$5:$I$600,MATCH(B747,Applications!$A$5:$A$600,0)),IF(E747="Secondary",INDEX(Applications!$J$5:$J$600,MATCH(B747,Applications!$A$5:$A$600,0)),INDEX(Applications!$K$5:$K$600,MATCH(B747,Applications!$A$5:$A$600,0))))=D747,"OK","Not assigned"),"Check ID"))</f>
        <v>OK</v>
      </c>
      <c r="O747" s="7" t="s">
        <v>1398</v>
      </c>
    </row>
    <row r="748" customFormat="false" ht="15" hidden="false" customHeight="false" outlineLevel="0" collapsed="false">
      <c r="A748" s="35" t="s">
        <v>2145</v>
      </c>
      <c r="B748" s="35" t="s">
        <v>456</v>
      </c>
      <c r="C748" s="37" t="str">
        <f aca="false">IF(B748="","",IFERROR(INDEX(Applications!$B$5:$B$600,MATCH(B748,Applications!$A$5:$A$600,0)),"Application ID not found"))</f>
        <v>Bridgeview Food Shelf</v>
      </c>
      <c r="D748" s="35" t="s">
        <v>88</v>
      </c>
      <c r="E748" s="35" t="s">
        <v>86</v>
      </c>
      <c r="F748" s="36" t="n">
        <v>45950</v>
      </c>
      <c r="G748" s="35" t="n">
        <v>2</v>
      </c>
      <c r="H748" s="35" t="n">
        <v>2</v>
      </c>
      <c r="I748" s="35" t="n">
        <v>3</v>
      </c>
      <c r="J748" s="35" t="n">
        <v>2</v>
      </c>
      <c r="K748" s="35" t="n">
        <v>2</v>
      </c>
      <c r="L748" s="35" t="n">
        <v>2</v>
      </c>
      <c r="M748" s="50" t="n">
        <f aca="false">IF(COUNT(G748:L748)&lt;6,"",ROUND((G748*Rubric!$D$5+H748*Rubric!$D$6+I748*Rubric!$D$7+J748*Rubric!$D$8+K748*Rubric!$D$9+L748*Rubric!$D$10)/5*100,1))</f>
        <v>44</v>
      </c>
      <c r="N748" s="37" t="str">
        <f aca="false">IF(OR(B748="",D748=""),"",IFERROR(IF(IF(E748="Primary",INDEX(Applications!$I$5:$I$600,MATCH(B748,Applications!$A$5:$A$600,0)),IF(E748="Secondary",INDEX(Applications!$J$5:$J$600,MATCH(B748,Applications!$A$5:$A$600,0)),INDEX(Applications!$K$5:$K$600,MATCH(B748,Applications!$A$5:$A$600,0))))=D748,"OK","Not assigned"),"Check ID"))</f>
        <v>OK</v>
      </c>
      <c r="O748" s="7"/>
    </row>
    <row r="749" customFormat="false" ht="15" hidden="false" customHeight="false" outlineLevel="0" collapsed="false">
      <c r="A749" s="35" t="s">
        <v>2146</v>
      </c>
      <c r="B749" s="35" t="s">
        <v>492</v>
      </c>
      <c r="C749" s="37" t="str">
        <f aca="false">IF(B749="","",IFERROR(INDEX(Applications!$B$5:$B$600,MATCH(B749,Applications!$A$5:$A$600,0)),"Application ID not found"))</f>
        <v>Two Rivers Family Center</v>
      </c>
      <c r="D749" s="35" t="s">
        <v>91</v>
      </c>
      <c r="E749" s="35" t="s">
        <v>83</v>
      </c>
      <c r="F749" s="36" t="n">
        <v>45950</v>
      </c>
      <c r="G749" s="35" t="n">
        <v>3</v>
      </c>
      <c r="H749" s="35" t="n">
        <v>4</v>
      </c>
      <c r="I749" s="35" t="n">
        <v>3</v>
      </c>
      <c r="J749" s="35" t="n">
        <v>4</v>
      </c>
      <c r="K749" s="35" t="n">
        <v>4</v>
      </c>
      <c r="L749" s="35" t="n">
        <v>3</v>
      </c>
      <c r="M749" s="50" t="n">
        <f aca="false">IF(COUNT(G749:L749)&lt;6,"",ROUND((G749*Rubric!$D$5+H749*Rubric!$D$6+I749*Rubric!$D$7+J749*Rubric!$D$8+K749*Rubric!$D$9+L749*Rubric!$D$10)/5*100,1))</f>
        <v>69</v>
      </c>
      <c r="N749" s="37" t="str">
        <f aca="false">IF(OR(B749="",D749=""),"",IFERROR(IF(IF(E749="Primary",INDEX(Applications!$I$5:$I$600,MATCH(B749,Applications!$A$5:$A$600,0)),IF(E749="Secondary",INDEX(Applications!$J$5:$J$600,MATCH(B749,Applications!$A$5:$A$600,0)),INDEX(Applications!$K$5:$K$600,MATCH(B749,Applications!$A$5:$A$600,0))))=D749,"OK","Not assigned"),"Check ID"))</f>
        <v>OK</v>
      </c>
      <c r="O749" s="7"/>
    </row>
    <row r="750" customFormat="false" ht="15" hidden="false" customHeight="false" outlineLevel="0" collapsed="false">
      <c r="A750" s="35" t="s">
        <v>2147</v>
      </c>
      <c r="B750" s="35" t="s">
        <v>867</v>
      </c>
      <c r="C750" s="37" t="str">
        <f aca="false">IF(B750="","",IFERROR(INDEX(Applications!$B$5:$B$600,MATCH(B750,Applications!$A$5:$A$600,0)),"Application ID not found"))</f>
        <v>Cork Family Center</v>
      </c>
      <c r="D750" s="35" t="s">
        <v>91</v>
      </c>
      <c r="E750" s="35" t="s">
        <v>83</v>
      </c>
      <c r="F750" s="36" t="n">
        <v>45950</v>
      </c>
      <c r="G750" s="35" t="n">
        <v>3</v>
      </c>
      <c r="H750" s="35" t="n">
        <v>2</v>
      </c>
      <c r="I750" s="35" t="n">
        <v>3</v>
      </c>
      <c r="J750" s="35" t="n">
        <v>3</v>
      </c>
      <c r="K750" s="35" t="n">
        <v>3</v>
      </c>
      <c r="L750" s="35" t="n">
        <v>3</v>
      </c>
      <c r="M750" s="50" t="n">
        <f aca="false">IF(COUNT(G750:L750)&lt;6,"",ROUND((G750*Rubric!$D$5+H750*Rubric!$D$6+I750*Rubric!$D$7+J750*Rubric!$D$8+K750*Rubric!$D$9+L750*Rubric!$D$10)/5*100,1))</f>
        <v>56</v>
      </c>
      <c r="N750" s="37" t="str">
        <f aca="false">IF(OR(B750="",D750=""),"",IFERROR(IF(IF(E750="Primary",INDEX(Applications!$I$5:$I$600,MATCH(B750,Applications!$A$5:$A$600,0)),IF(E750="Secondary",INDEX(Applications!$J$5:$J$600,MATCH(B750,Applications!$A$5:$A$600,0)),INDEX(Applications!$K$5:$K$600,MATCH(B750,Applications!$A$5:$A$600,0))))=D750,"OK","Not assigned"),"Check ID"))</f>
        <v>OK</v>
      </c>
      <c r="O750" s="7"/>
    </row>
    <row r="751" customFormat="false" ht="15" hidden="false" customHeight="false" outlineLevel="0" collapsed="false">
      <c r="A751" s="35" t="s">
        <v>2148</v>
      </c>
      <c r="B751" s="35" t="s">
        <v>1001</v>
      </c>
      <c r="C751" s="37" t="str">
        <f aca="false">IF(B751="","",IFERROR(INDEX(Applications!$B$5:$B$600,MATCH(B751,Applications!$A$5:$A$600,0)),"Application ID not found"))</f>
        <v>Oak Hollow Food Ventures</v>
      </c>
      <c r="D751" s="35" t="s">
        <v>91</v>
      </c>
      <c r="E751" s="35" t="s">
        <v>80</v>
      </c>
      <c r="F751" s="36" t="n">
        <v>45950</v>
      </c>
      <c r="G751" s="35" t="n">
        <v>5</v>
      </c>
      <c r="H751" s="35" t="n">
        <v>5</v>
      </c>
      <c r="I751" s="35" t="n">
        <v>5</v>
      </c>
      <c r="J751" s="35" t="n">
        <v>5</v>
      </c>
      <c r="K751" s="35" t="n">
        <v>4</v>
      </c>
      <c r="L751" s="35" t="n">
        <v>5</v>
      </c>
      <c r="M751" s="50" t="n">
        <f aca="false">IF(COUNT(G751:L751)&lt;6,"",ROUND((G751*Rubric!$D$5+H751*Rubric!$D$6+I751*Rubric!$D$7+J751*Rubric!$D$8+K751*Rubric!$D$9+L751*Rubric!$D$10)/5*100,1))</f>
        <v>98</v>
      </c>
      <c r="N751" s="37" t="str">
        <f aca="false">IF(OR(B751="",D751=""),"",IFERROR(IF(IF(E751="Primary",INDEX(Applications!$I$5:$I$600,MATCH(B751,Applications!$A$5:$A$600,0)),IF(E751="Secondary",INDEX(Applications!$J$5:$J$600,MATCH(B751,Applications!$A$5:$A$600,0)),INDEX(Applications!$K$5:$K$600,MATCH(B751,Applications!$A$5:$A$600,0))))=D751,"OK","Not assigned"),"Check ID"))</f>
        <v>OK</v>
      </c>
      <c r="O751" s="7" t="s">
        <v>1493</v>
      </c>
    </row>
    <row r="752" customFormat="false" ht="15" hidden="false" customHeight="false" outlineLevel="0" collapsed="false">
      <c r="A752" s="35" t="s">
        <v>2149</v>
      </c>
      <c r="B752" s="35" t="s">
        <v>1177</v>
      </c>
      <c r="C752" s="37" t="str">
        <f aca="false">IF(B752="","",IFERROR(INDEX(Applications!$B$5:$B$600,MATCH(B752,Applications!$A$5:$A$600,0)),"Application ID not found"))</f>
        <v>Greenway Food Ventures</v>
      </c>
      <c r="D752" s="35" t="s">
        <v>91</v>
      </c>
      <c r="E752" s="35" t="s">
        <v>83</v>
      </c>
      <c r="F752" s="36" t="n">
        <v>45950</v>
      </c>
      <c r="G752" s="35" t="n">
        <v>3</v>
      </c>
      <c r="H752" s="35" t="n">
        <v>4</v>
      </c>
      <c r="I752" s="35" t="n">
        <v>3</v>
      </c>
      <c r="J752" s="35" t="n">
        <v>4</v>
      </c>
      <c r="K752" s="35" t="n">
        <v>4</v>
      </c>
      <c r="L752" s="35" t="n">
        <v>4</v>
      </c>
      <c r="M752" s="50" t="n">
        <f aca="false">IF(COUNT(G752:L752)&lt;6,"",ROUND((G752*Rubric!$D$5+H752*Rubric!$D$6+I752*Rubric!$D$7+J752*Rubric!$D$8+K752*Rubric!$D$9+L752*Rubric!$D$10)/5*100,1))</f>
        <v>71</v>
      </c>
      <c r="N752" s="37" t="str">
        <f aca="false">IF(OR(B752="",D752=""),"",IFERROR(IF(IF(E752="Primary",INDEX(Applications!$I$5:$I$600,MATCH(B752,Applications!$A$5:$A$600,0)),IF(E752="Secondary",INDEX(Applications!$J$5:$J$600,MATCH(B752,Applications!$A$5:$A$600,0)),INDEX(Applications!$K$5:$K$600,MATCH(B752,Applications!$A$5:$A$600,0))))=D752,"OK","Not assigned"),"Check ID"))</f>
        <v>OK</v>
      </c>
      <c r="O752" s="7"/>
    </row>
    <row r="753" customFormat="false" ht="15" hidden="false" customHeight="false" outlineLevel="0" collapsed="false">
      <c r="A753" s="35" t="s">
        <v>2150</v>
      </c>
      <c r="B753" s="35" t="s">
        <v>567</v>
      </c>
      <c r="C753" s="37" t="str">
        <f aca="false">IF(B753="","",IFERROR(INDEX(Applications!$B$5:$B$600,MATCH(B753,Applications!$A$5:$A$600,0)),"Application ID not found"))</f>
        <v>Valley Farm Collective</v>
      </c>
      <c r="D753" s="35" t="s">
        <v>91</v>
      </c>
      <c r="E753" s="35" t="s">
        <v>80</v>
      </c>
      <c r="F753" s="36" t="n">
        <v>45950</v>
      </c>
      <c r="G753" s="35" t="n">
        <v>3</v>
      </c>
      <c r="H753" s="35" t="n">
        <v>4</v>
      </c>
      <c r="I753" s="35" t="n">
        <v>4</v>
      </c>
      <c r="J753" s="35" t="n">
        <v>4</v>
      </c>
      <c r="K753" s="35" t="n">
        <v>3</v>
      </c>
      <c r="L753" s="35" t="n">
        <v>4</v>
      </c>
      <c r="M753" s="50" t="n">
        <f aca="false">IF(COUNT(G753:L753)&lt;6,"",ROUND((G753*Rubric!$D$5+H753*Rubric!$D$6+I753*Rubric!$D$7+J753*Rubric!$D$8+K753*Rubric!$D$9+L753*Rubric!$D$10)/5*100,1))</f>
        <v>73</v>
      </c>
      <c r="N753" s="37" t="str">
        <f aca="false">IF(OR(B753="",D753=""),"",IFERROR(IF(IF(E753="Primary",INDEX(Applications!$I$5:$I$600,MATCH(B753,Applications!$A$5:$A$600,0)),IF(E753="Secondary",INDEX(Applications!$J$5:$J$600,MATCH(B753,Applications!$A$5:$A$600,0)),INDEX(Applications!$K$5:$K$600,MATCH(B753,Applications!$A$5:$A$600,0))))=D753,"OK","Not assigned"),"Check ID"))</f>
        <v>OK</v>
      </c>
      <c r="O753" s="7"/>
    </row>
    <row r="754" customFormat="false" ht="15" hidden="false" customHeight="false" outlineLevel="0" collapsed="false">
      <c r="A754" s="35" t="s">
        <v>2151</v>
      </c>
      <c r="B754" s="35" t="s">
        <v>971</v>
      </c>
      <c r="C754" s="37" t="str">
        <f aca="false">IF(B754="","",IFERROR(INDEX(Applications!$B$5:$B$600,MATCH(B754,Applications!$A$5:$A$600,0)),"Application ID not found"))</f>
        <v>Fresno Schools Nutrition Fund</v>
      </c>
      <c r="D754" s="35" t="s">
        <v>91</v>
      </c>
      <c r="E754" s="35" t="s">
        <v>80</v>
      </c>
      <c r="F754" s="36" t="n">
        <v>45950</v>
      </c>
      <c r="G754" s="35" t="n">
        <v>4</v>
      </c>
      <c r="H754" s="35" t="n">
        <v>4</v>
      </c>
      <c r="I754" s="35" t="n">
        <v>4</v>
      </c>
      <c r="J754" s="35" t="n">
        <v>4</v>
      </c>
      <c r="K754" s="35" t="n">
        <v>4</v>
      </c>
      <c r="L754" s="35" t="n">
        <v>4</v>
      </c>
      <c r="M754" s="50" t="n">
        <f aca="false">IF(COUNT(G754:L754)&lt;6,"",ROUND((G754*Rubric!$D$5+H754*Rubric!$D$6+I754*Rubric!$D$7+J754*Rubric!$D$8+K754*Rubric!$D$9+L754*Rubric!$D$10)/5*100,1))</f>
        <v>80</v>
      </c>
      <c r="N754" s="37" t="str">
        <f aca="false">IF(OR(B754="",D754=""),"",IFERROR(IF(IF(E754="Primary",INDEX(Applications!$I$5:$I$600,MATCH(B754,Applications!$A$5:$A$600,0)),IF(E754="Secondary",INDEX(Applications!$J$5:$J$600,MATCH(B754,Applications!$A$5:$A$600,0)),INDEX(Applications!$K$5:$K$600,MATCH(B754,Applications!$A$5:$A$600,0))))=D754,"OK","Not assigned"),"Check ID"))</f>
        <v>OK</v>
      </c>
      <c r="O754" s="7"/>
    </row>
    <row r="755" customFormat="false" ht="15" hidden="false" customHeight="false" outlineLevel="0" collapsed="false">
      <c r="A755" s="35" t="s">
        <v>2152</v>
      </c>
      <c r="B755" s="35" t="s">
        <v>1367</v>
      </c>
      <c r="C755" s="37" t="str">
        <f aca="false">IF(B755="","",IFERROR(INDEX(Applications!$B$5:$B$600,MATCH(B755,Applications!$A$5:$A$600,0)),"Application ID not found"))</f>
        <v>Canal Street Cafe Training Program</v>
      </c>
      <c r="D755" s="35" t="s">
        <v>91</v>
      </c>
      <c r="E755" s="35" t="s">
        <v>83</v>
      </c>
      <c r="F755" s="36" t="n">
        <v>45950</v>
      </c>
      <c r="G755" s="35" t="n">
        <v>3</v>
      </c>
      <c r="H755" s="35" t="n">
        <v>3</v>
      </c>
      <c r="I755" s="35" t="n">
        <v>5</v>
      </c>
      <c r="J755" s="35" t="n">
        <v>4</v>
      </c>
      <c r="K755" s="35" t="n">
        <v>4</v>
      </c>
      <c r="L755" s="35" t="n">
        <v>3</v>
      </c>
      <c r="M755" s="50" t="n">
        <f aca="false">IF(COUNT(G755:L755)&lt;6,"",ROUND((G755*Rubric!$D$5+H755*Rubric!$D$6+I755*Rubric!$D$7+J755*Rubric!$D$8+K755*Rubric!$D$9+L755*Rubric!$D$10)/5*100,1))</f>
        <v>73</v>
      </c>
      <c r="N755" s="37" t="str">
        <f aca="false">IF(OR(B755="",D755=""),"",IFERROR(IF(IF(E755="Primary",INDEX(Applications!$I$5:$I$600,MATCH(B755,Applications!$A$5:$A$600,0)),IF(E755="Secondary",INDEX(Applications!$J$5:$J$600,MATCH(B755,Applications!$A$5:$A$600,0)),INDEX(Applications!$K$5:$K$600,MATCH(B755,Applications!$A$5:$A$600,0))))=D755,"OK","Not assigned"),"Check ID"))</f>
        <v>OK</v>
      </c>
      <c r="O755" s="7"/>
    </row>
    <row r="756" customFormat="false" ht="15" hidden="false" customHeight="false" outlineLevel="0" collapsed="false">
      <c r="A756" s="35" t="s">
        <v>2153</v>
      </c>
      <c r="B756" s="35" t="s">
        <v>184</v>
      </c>
      <c r="C756" s="37" t="str">
        <f aca="false">IF(B756="","",IFERROR(INDEX(Applications!$B$5:$B$600,MATCH(B756,Applications!$A$5:$A$600,0)),"Application ID not found"))</f>
        <v>Denver Schools Nutrition Fund</v>
      </c>
      <c r="D756" s="35" t="s">
        <v>91</v>
      </c>
      <c r="E756" s="35" t="s">
        <v>80</v>
      </c>
      <c r="F756" s="36" t="n">
        <v>45950</v>
      </c>
      <c r="G756" s="35" t="n">
        <v>2</v>
      </c>
      <c r="H756" s="35" t="n">
        <v>2</v>
      </c>
      <c r="I756" s="35" t="n">
        <v>2</v>
      </c>
      <c r="J756" s="35" t="n">
        <v>2</v>
      </c>
      <c r="K756" s="35" t="n">
        <v>2</v>
      </c>
      <c r="L756" s="35" t="n">
        <v>2</v>
      </c>
      <c r="M756" s="50" t="n">
        <f aca="false">IF(COUNT(G756:L756)&lt;6,"",ROUND((G756*Rubric!$D$5+H756*Rubric!$D$6+I756*Rubric!$D$7+J756*Rubric!$D$8+K756*Rubric!$D$9+L756*Rubric!$D$10)/5*100,1))</f>
        <v>40</v>
      </c>
      <c r="N756" s="37" t="str">
        <f aca="false">IF(OR(B756="",D756=""),"",IFERROR(IF(IF(E756="Primary",INDEX(Applications!$I$5:$I$600,MATCH(B756,Applications!$A$5:$A$600,0)),IF(E756="Secondary",INDEX(Applications!$J$5:$J$600,MATCH(B756,Applications!$A$5:$A$600,0)),INDEX(Applications!$K$5:$K$600,MATCH(B756,Applications!$A$5:$A$600,0))))=D756,"OK","Not assigned"),"Check ID"))</f>
        <v>OK</v>
      </c>
      <c r="O756" s="7" t="s">
        <v>1398</v>
      </c>
    </row>
    <row r="757" customFormat="false" ht="15" hidden="false" customHeight="false" outlineLevel="0" collapsed="false">
      <c r="A757" s="35" t="s">
        <v>2154</v>
      </c>
      <c r="B757" s="35" t="s">
        <v>739</v>
      </c>
      <c r="C757" s="37" t="str">
        <f aca="false">IF(B757="","",IFERROR(INDEX(Applications!$B$5:$B$600,MATCH(B757,Applications!$A$5:$A$600,0)),"Application ID not found"))</f>
        <v>Durham Market Gardens</v>
      </c>
      <c r="D757" s="35" t="s">
        <v>91</v>
      </c>
      <c r="E757" s="35" t="s">
        <v>83</v>
      </c>
      <c r="F757" s="36" t="n">
        <v>45950</v>
      </c>
      <c r="G757" s="35" t="n">
        <v>5</v>
      </c>
      <c r="H757" s="35" t="n">
        <v>5</v>
      </c>
      <c r="I757" s="35" t="n">
        <v>5</v>
      </c>
      <c r="J757" s="35" t="n">
        <v>4</v>
      </c>
      <c r="K757" s="35" t="n">
        <v>4</v>
      </c>
      <c r="L757" s="35" t="n">
        <v>5</v>
      </c>
      <c r="M757" s="50" t="n">
        <f aca="false">IF(COUNT(G757:L757)&lt;6,"",ROUND((G757*Rubric!$D$5+H757*Rubric!$D$6+I757*Rubric!$D$7+J757*Rubric!$D$8+K757*Rubric!$D$9+L757*Rubric!$D$10)/5*100,1))</f>
        <v>95</v>
      </c>
      <c r="N757" s="37" t="str">
        <f aca="false">IF(OR(B757="",D757=""),"",IFERROR(IF(IF(E757="Primary",INDEX(Applications!$I$5:$I$600,MATCH(B757,Applications!$A$5:$A$600,0)),IF(E757="Secondary",INDEX(Applications!$J$5:$J$600,MATCH(B757,Applications!$A$5:$A$600,0)),INDEX(Applications!$K$5:$K$600,MATCH(B757,Applications!$A$5:$A$600,0))))=D757,"OK","Not assigned"),"Check ID"))</f>
        <v>OK</v>
      </c>
      <c r="O757" s="7" t="s">
        <v>1418</v>
      </c>
    </row>
    <row r="758" customFormat="false" ht="15" hidden="false" customHeight="false" outlineLevel="0" collapsed="false">
      <c r="A758" s="35" t="s">
        <v>2155</v>
      </c>
      <c r="B758" s="35" t="s">
        <v>1141</v>
      </c>
      <c r="C758" s="37" t="str">
        <f aca="false">IF(B758="","",IFERROR(INDEX(Applications!$B$5:$B$600,MATCH(B758,Applications!$A$5:$A$600,0)),"Application ID not found"))</f>
        <v>Toronto Food Shelf</v>
      </c>
      <c r="D758" s="35" t="s">
        <v>91</v>
      </c>
      <c r="E758" s="35" t="s">
        <v>83</v>
      </c>
      <c r="F758" s="36" t="n">
        <v>45950</v>
      </c>
      <c r="G758" s="35" t="n">
        <v>4</v>
      </c>
      <c r="H758" s="35" t="n">
        <v>4</v>
      </c>
      <c r="I758" s="35" t="n">
        <v>4</v>
      </c>
      <c r="J758" s="35" t="n">
        <v>4</v>
      </c>
      <c r="K758" s="35" t="n">
        <v>4</v>
      </c>
      <c r="L758" s="35" t="n">
        <v>4</v>
      </c>
      <c r="M758" s="50" t="n">
        <f aca="false">IF(COUNT(G758:L758)&lt;6,"",ROUND((G758*Rubric!$D$5+H758*Rubric!$D$6+I758*Rubric!$D$7+J758*Rubric!$D$8+K758*Rubric!$D$9+L758*Rubric!$D$10)/5*100,1))</f>
        <v>80</v>
      </c>
      <c r="N758" s="37" t="str">
        <f aca="false">IF(OR(B758="",D758=""),"",IFERROR(IF(IF(E758="Primary",INDEX(Applications!$I$5:$I$600,MATCH(B758,Applications!$A$5:$A$600,0)),IF(E758="Secondary",INDEX(Applications!$J$5:$J$600,MATCH(B758,Applications!$A$5:$A$600,0)),INDEX(Applications!$K$5:$K$600,MATCH(B758,Applications!$A$5:$A$600,0))))=D758,"OK","Not assigned"),"Check ID"))</f>
        <v>OK</v>
      </c>
      <c r="O758" s="7" t="s">
        <v>1402</v>
      </c>
    </row>
    <row r="759" customFormat="false" ht="15" hidden="false" customHeight="false" outlineLevel="0" collapsed="false">
      <c r="A759" s="35" t="s">
        <v>2156</v>
      </c>
      <c r="B759" s="35" t="s">
        <v>663</v>
      </c>
      <c r="C759" s="37" t="str">
        <f aca="false">IF(B759="","",IFERROR(INDEX(Applications!$B$5:$B$600,MATCH(B759,Applications!$A$5:$A$600,0)),"Application ID not found"))</f>
        <v>Stonebridge Pantry Network</v>
      </c>
      <c r="D759" s="35" t="s">
        <v>91</v>
      </c>
      <c r="E759" s="35" t="s">
        <v>83</v>
      </c>
      <c r="F759" s="36" t="n">
        <v>45950</v>
      </c>
      <c r="G759" s="35" t="n">
        <v>4</v>
      </c>
      <c r="H759" s="35" t="n">
        <v>4</v>
      </c>
      <c r="I759" s="35" t="n">
        <v>4</v>
      </c>
      <c r="J759" s="35" t="n">
        <v>4</v>
      </c>
      <c r="K759" s="35" t="n">
        <v>4</v>
      </c>
      <c r="L759" s="35" t="n">
        <v>4</v>
      </c>
      <c r="M759" s="50" t="n">
        <f aca="false">IF(COUNT(G759:L759)&lt;6,"",ROUND((G759*Rubric!$D$5+H759*Rubric!$D$6+I759*Rubric!$D$7+J759*Rubric!$D$8+K759*Rubric!$D$9+L759*Rubric!$D$10)/5*100,1))</f>
        <v>80</v>
      </c>
      <c r="N759" s="37" t="str">
        <f aca="false">IF(OR(B759="",D759=""),"",IFERROR(IF(IF(E759="Primary",INDEX(Applications!$I$5:$I$600,MATCH(B759,Applications!$A$5:$A$600,0)),IF(E759="Secondary",INDEX(Applications!$J$5:$J$600,MATCH(B759,Applications!$A$5:$A$600,0)),INDEX(Applications!$K$5:$K$600,MATCH(B759,Applications!$A$5:$A$600,0))))=D759,"OK","Not assigned"),"Check ID"))</f>
        <v>OK</v>
      </c>
      <c r="O759" s="7" t="s">
        <v>1437</v>
      </c>
    </row>
    <row r="760" customFormat="false" ht="15" hidden="false" customHeight="false" outlineLevel="0" collapsed="false">
      <c r="A760" s="35" t="s">
        <v>2157</v>
      </c>
      <c r="B760" s="35" t="s">
        <v>208</v>
      </c>
      <c r="C760" s="37" t="str">
        <f aca="false">IF(B760="","",IFERROR(INDEX(Applications!$B$5:$B$600,MATCH(B760,Applications!$A$5:$A$600,0)),"Application ID not found"))</f>
        <v>Sunrise Bakery Collective</v>
      </c>
      <c r="D760" s="35" t="s">
        <v>91</v>
      </c>
      <c r="E760" s="35" t="s">
        <v>80</v>
      </c>
      <c r="F760" s="36" t="n">
        <v>45950</v>
      </c>
      <c r="G760" s="35" t="n">
        <v>5</v>
      </c>
      <c r="H760" s="35" t="n">
        <v>5</v>
      </c>
      <c r="I760" s="35" t="n">
        <v>5</v>
      </c>
      <c r="J760" s="35" t="n">
        <v>5</v>
      </c>
      <c r="K760" s="35" t="n">
        <v>5</v>
      </c>
      <c r="L760" s="35" t="n">
        <v>5</v>
      </c>
      <c r="M760" s="50" t="n">
        <f aca="false">IF(COUNT(G760:L760)&lt;6,"",ROUND((G760*Rubric!$D$5+H760*Rubric!$D$6+I760*Rubric!$D$7+J760*Rubric!$D$8+K760*Rubric!$D$9+L760*Rubric!$D$10)/5*100,1))</f>
        <v>100</v>
      </c>
      <c r="N760" s="37" t="str">
        <f aca="false">IF(OR(B760="",D760=""),"",IFERROR(IF(IF(E760="Primary",INDEX(Applications!$I$5:$I$600,MATCH(B760,Applications!$A$5:$A$600,0)),IF(E760="Secondary",INDEX(Applications!$J$5:$J$600,MATCH(B760,Applications!$A$5:$A$600,0)),INDEX(Applications!$K$5:$K$600,MATCH(B760,Applications!$A$5:$A$600,0))))=D760,"OK","Not assigned"),"Check ID"))</f>
        <v>OK</v>
      </c>
      <c r="O760" s="7"/>
    </row>
    <row r="761" customFormat="false" ht="15" hidden="false" customHeight="false" outlineLevel="0" collapsed="false">
      <c r="A761" s="35" t="s">
        <v>2158</v>
      </c>
      <c r="B761" s="35" t="s">
        <v>717</v>
      </c>
      <c r="C761" s="37" t="str">
        <f aca="false">IF(B761="","",IFERROR(INDEX(Applications!$B$5:$B$600,MATCH(B761,Applications!$A$5:$A$600,0)),"Application ID not found"))</f>
        <v>Cork Mobile Market</v>
      </c>
      <c r="D761" s="35" t="s">
        <v>94</v>
      </c>
      <c r="E761" s="35" t="s">
        <v>83</v>
      </c>
      <c r="F761" s="36" t="n">
        <v>45950</v>
      </c>
      <c r="G761" s="35" t="n">
        <v>3</v>
      </c>
      <c r="H761" s="35" t="n">
        <v>3</v>
      </c>
      <c r="I761" s="35" t="n">
        <v>3</v>
      </c>
      <c r="J761" s="35" t="n">
        <v>2</v>
      </c>
      <c r="K761" s="35" t="n">
        <v>2</v>
      </c>
      <c r="L761" s="35" t="n">
        <v>2</v>
      </c>
      <c r="M761" s="50" t="n">
        <f aca="false">IF(COUNT(G761:L761)&lt;6,"",ROUND((G761*Rubric!$D$5+H761*Rubric!$D$6+I761*Rubric!$D$7+J761*Rubric!$D$8+K761*Rubric!$D$9+L761*Rubric!$D$10)/5*100,1))</f>
        <v>53</v>
      </c>
      <c r="N761" s="37" t="str">
        <f aca="false">IF(OR(B761="",D761=""),"",IFERROR(IF(IF(E761="Primary",INDEX(Applications!$I$5:$I$600,MATCH(B761,Applications!$A$5:$A$600,0)),IF(E761="Secondary",INDEX(Applications!$J$5:$J$600,MATCH(B761,Applications!$A$5:$A$600,0)),INDEX(Applications!$K$5:$K$600,MATCH(B761,Applications!$A$5:$A$600,0))))=D761,"OK","Not assigned"),"Check ID"))</f>
        <v>OK</v>
      </c>
      <c r="O761" s="7" t="s">
        <v>1428</v>
      </c>
    </row>
    <row r="762" customFormat="false" ht="15" hidden="false" customHeight="false" outlineLevel="0" collapsed="false">
      <c r="A762" s="35" t="s">
        <v>2159</v>
      </c>
      <c r="B762" s="35" t="s">
        <v>1197</v>
      </c>
      <c r="C762" s="37" t="str">
        <f aca="false">IF(B762="","",IFERROR(INDEX(Applications!$B$5:$B$600,MATCH(B762,Applications!$A$5:$A$600,0)),"Application ID not found"))</f>
        <v>Bristol Community Pantry</v>
      </c>
      <c r="D762" s="35" t="s">
        <v>94</v>
      </c>
      <c r="E762" s="35" t="s">
        <v>80</v>
      </c>
      <c r="F762" s="36" t="n">
        <v>45950</v>
      </c>
      <c r="G762" s="35" t="n">
        <v>4</v>
      </c>
      <c r="H762" s="35" t="n">
        <v>4</v>
      </c>
      <c r="I762" s="35" t="n">
        <v>4</v>
      </c>
      <c r="J762" s="35" t="n">
        <v>4</v>
      </c>
      <c r="K762" s="35" t="n">
        <v>4</v>
      </c>
      <c r="L762" s="35" t="n">
        <v>4</v>
      </c>
      <c r="M762" s="50" t="n">
        <f aca="false">IF(COUNT(G762:L762)&lt;6,"",ROUND((G762*Rubric!$D$5+H762*Rubric!$D$6+I762*Rubric!$D$7+J762*Rubric!$D$8+K762*Rubric!$D$9+L762*Rubric!$D$10)/5*100,1))</f>
        <v>80</v>
      </c>
      <c r="N762" s="37" t="str">
        <f aca="false">IF(OR(B762="",D762=""),"",IFERROR(IF(IF(E762="Primary",INDEX(Applications!$I$5:$I$600,MATCH(B762,Applications!$A$5:$A$600,0)),IF(E762="Secondary",INDEX(Applications!$J$5:$J$600,MATCH(B762,Applications!$A$5:$A$600,0)),INDEX(Applications!$K$5:$K$600,MATCH(B762,Applications!$A$5:$A$600,0))))=D762,"OK","Not assigned"),"Check ID"))</f>
        <v>OK</v>
      </c>
      <c r="O762" s="7"/>
    </row>
    <row r="763" customFormat="false" ht="15" hidden="false" customHeight="false" outlineLevel="0" collapsed="false">
      <c r="A763" s="35" t="s">
        <v>2160</v>
      </c>
      <c r="B763" s="35" t="s">
        <v>1209</v>
      </c>
      <c r="C763" s="37" t="str">
        <f aca="false">IF(B763="","",IFERROR(INDEX(Applications!$B$5:$B$600,MATCH(B763,Applications!$A$5:$A$600,0)),"Application ID not found"))</f>
        <v>Durham Food Bank</v>
      </c>
      <c r="D763" s="35" t="s">
        <v>94</v>
      </c>
      <c r="E763" s="35" t="s">
        <v>83</v>
      </c>
      <c r="F763" s="36" t="n">
        <v>45950</v>
      </c>
      <c r="G763" s="35" t="n">
        <v>5</v>
      </c>
      <c r="H763" s="35" t="n">
        <v>4</v>
      </c>
      <c r="I763" s="35" t="n">
        <v>4</v>
      </c>
      <c r="J763" s="35" t="n">
        <v>3</v>
      </c>
      <c r="K763" s="35" t="n">
        <v>4</v>
      </c>
      <c r="L763" s="35" t="n">
        <v>4</v>
      </c>
      <c r="M763" s="50" t="n">
        <f aca="false">IF(COUNT(G763:L763)&lt;6,"",ROUND((G763*Rubric!$D$5+H763*Rubric!$D$6+I763*Rubric!$D$7+J763*Rubric!$D$8+K763*Rubric!$D$9+L763*Rubric!$D$10)/5*100,1))</f>
        <v>82</v>
      </c>
      <c r="N763" s="37" t="str">
        <f aca="false">IF(OR(B763="",D763=""),"",IFERROR(IF(IF(E763="Primary",INDEX(Applications!$I$5:$I$600,MATCH(B763,Applications!$A$5:$A$600,0)),IF(E763="Secondary",INDEX(Applications!$J$5:$J$600,MATCH(B763,Applications!$A$5:$A$600,0)),INDEX(Applications!$K$5:$K$600,MATCH(B763,Applications!$A$5:$A$600,0))))=D763,"OK","Not assigned"),"Check ID"))</f>
        <v>OK</v>
      </c>
      <c r="O763" s="7"/>
    </row>
    <row r="764" customFormat="false" ht="15" hidden="false" customHeight="false" outlineLevel="0" collapsed="false">
      <c r="A764" s="35" t="s">
        <v>2161</v>
      </c>
      <c r="B764" s="35" t="s">
        <v>512</v>
      </c>
      <c r="C764" s="37" t="str">
        <f aca="false">IF(B764="","",IFERROR(INDEX(Applications!$B$5:$B$600,MATCH(B764,Applications!$A$5:$A$600,0)),"Application ID not found"))</f>
        <v>Stonebridge Culinary Works</v>
      </c>
      <c r="D764" s="35" t="s">
        <v>94</v>
      </c>
      <c r="E764" s="35" t="s">
        <v>80</v>
      </c>
      <c r="F764" s="36" t="n">
        <v>45950</v>
      </c>
      <c r="G764" s="35" t="n">
        <v>3</v>
      </c>
      <c r="H764" s="35" t="n">
        <v>4</v>
      </c>
      <c r="I764" s="35" t="n">
        <v>4</v>
      </c>
      <c r="J764" s="35" t="n">
        <v>4</v>
      </c>
      <c r="K764" s="35" t="n">
        <v>3</v>
      </c>
      <c r="L764" s="35" t="n">
        <v>4</v>
      </c>
      <c r="M764" s="50" t="n">
        <f aca="false">IF(COUNT(G764:L764)&lt;6,"",ROUND((G764*Rubric!$D$5+H764*Rubric!$D$6+I764*Rubric!$D$7+J764*Rubric!$D$8+K764*Rubric!$D$9+L764*Rubric!$D$10)/5*100,1))</f>
        <v>73</v>
      </c>
      <c r="N764" s="37" t="str">
        <f aca="false">IF(OR(B764="",D764=""),"",IFERROR(IF(IF(E764="Primary",INDEX(Applications!$I$5:$I$600,MATCH(B764,Applications!$A$5:$A$600,0)),IF(E764="Secondary",INDEX(Applications!$J$5:$J$600,MATCH(B764,Applications!$A$5:$A$600,0)),INDEX(Applications!$K$5:$K$600,MATCH(B764,Applications!$A$5:$A$600,0))))=D764,"OK","Not assigned"),"Check ID"))</f>
        <v>OK</v>
      </c>
      <c r="O764" s="7"/>
    </row>
    <row r="765" customFormat="false" ht="15" hidden="false" customHeight="false" outlineLevel="0" collapsed="false">
      <c r="A765" s="35" t="s">
        <v>2162</v>
      </c>
      <c r="B765" s="35" t="s">
        <v>643</v>
      </c>
      <c r="C765" s="37" t="str">
        <f aca="false">IF(B765="","",IFERROR(INDEX(Applications!$B$5:$B$600,MATCH(B765,Applications!$A$5:$A$600,0)),"Application ID not found"))</f>
        <v>Stonebridge Food Shelf</v>
      </c>
      <c r="D765" s="35" t="s">
        <v>94</v>
      </c>
      <c r="E765" s="35" t="s">
        <v>83</v>
      </c>
      <c r="F765" s="36" t="n">
        <v>45950</v>
      </c>
      <c r="G765" s="35" t="n">
        <v>4</v>
      </c>
      <c r="H765" s="35" t="n">
        <v>4</v>
      </c>
      <c r="I765" s="35" t="n">
        <v>3</v>
      </c>
      <c r="J765" s="35" t="n">
        <v>4</v>
      </c>
      <c r="K765" s="35" t="n">
        <v>4</v>
      </c>
      <c r="L765" s="35" t="n">
        <v>4</v>
      </c>
      <c r="M765" s="50" t="n">
        <f aca="false">IF(COUNT(G765:L765)&lt;6,"",ROUND((G765*Rubric!$D$5+H765*Rubric!$D$6+I765*Rubric!$D$7+J765*Rubric!$D$8+K765*Rubric!$D$9+L765*Rubric!$D$10)/5*100,1))</f>
        <v>76</v>
      </c>
      <c r="N765" s="37" t="str">
        <f aca="false">IF(OR(B765="",D765=""),"",IFERROR(IF(IF(E765="Primary",INDEX(Applications!$I$5:$I$600,MATCH(B765,Applications!$A$5:$A$600,0)),IF(E765="Secondary",INDEX(Applications!$J$5:$J$600,MATCH(B765,Applications!$A$5:$A$600,0)),INDEX(Applications!$K$5:$K$600,MATCH(B765,Applications!$A$5:$A$600,0))))=D765,"OK","Not assigned"),"Check ID"))</f>
        <v>OK</v>
      </c>
      <c r="O765" s="7"/>
    </row>
    <row r="766" customFormat="false" ht="15" hidden="false" customHeight="false" outlineLevel="0" collapsed="false">
      <c r="A766" s="35" t="s">
        <v>2163</v>
      </c>
      <c r="B766" s="35" t="s">
        <v>1331</v>
      </c>
      <c r="C766" s="37" t="str">
        <f aca="false">IF(B766="","",IFERROR(INDEX(Applications!$B$5:$B$600,MATCH(B766,Applications!$A$5:$A$600,0)),"Application ID not found"))</f>
        <v>Melbourne Pantry Network</v>
      </c>
      <c r="D766" s="35" t="s">
        <v>94</v>
      </c>
      <c r="E766" s="35" t="s">
        <v>83</v>
      </c>
      <c r="F766" s="36" t="n">
        <v>45950</v>
      </c>
      <c r="G766" s="35" t="n">
        <v>4</v>
      </c>
      <c r="H766" s="35" t="n">
        <v>4</v>
      </c>
      <c r="I766" s="35" t="n">
        <v>5</v>
      </c>
      <c r="J766" s="35" t="n">
        <v>4</v>
      </c>
      <c r="K766" s="35" t="n">
        <v>4</v>
      </c>
      <c r="L766" s="35" t="n">
        <v>3</v>
      </c>
      <c r="M766" s="50" t="n">
        <f aca="false">IF(COUNT(G766:L766)&lt;6,"",ROUND((G766*Rubric!$D$5+H766*Rubric!$D$6+I766*Rubric!$D$7+J766*Rubric!$D$8+K766*Rubric!$D$9+L766*Rubric!$D$10)/5*100,1))</f>
        <v>82</v>
      </c>
      <c r="N766" s="37" t="str">
        <f aca="false">IF(OR(B766="",D766=""),"",IFERROR(IF(IF(E766="Primary",INDEX(Applications!$I$5:$I$600,MATCH(B766,Applications!$A$5:$A$600,0)),IF(E766="Secondary",INDEX(Applications!$J$5:$J$600,MATCH(B766,Applications!$A$5:$A$600,0)),INDEX(Applications!$K$5:$K$600,MATCH(B766,Applications!$A$5:$A$600,0))))=D766,"OK","Not assigned"),"Check ID"))</f>
        <v>OK</v>
      </c>
      <c r="O766" s="7"/>
    </row>
    <row r="767" customFormat="false" ht="15" hidden="false" customHeight="false" outlineLevel="0" collapsed="false">
      <c r="A767" s="35" t="s">
        <v>2164</v>
      </c>
      <c r="B767" s="35" t="s">
        <v>843</v>
      </c>
      <c r="C767" s="37" t="str">
        <f aca="false">IF(B767="","",IFERROR(INDEX(Applications!$B$5:$B$600,MATCH(B767,Applications!$A$5:$A$600,0)),"Application ID not found"))</f>
        <v>Bogotá Mobile Market</v>
      </c>
      <c r="D767" s="35" t="s">
        <v>94</v>
      </c>
      <c r="E767" s="35" t="s">
        <v>83</v>
      </c>
      <c r="F767" s="36" t="n">
        <v>45950</v>
      </c>
      <c r="G767" s="35" t="n">
        <v>4</v>
      </c>
      <c r="H767" s="35" t="n">
        <v>4</v>
      </c>
      <c r="I767" s="35" t="n">
        <v>4</v>
      </c>
      <c r="J767" s="35" t="n">
        <v>4</v>
      </c>
      <c r="K767" s="35" t="n">
        <v>5</v>
      </c>
      <c r="L767" s="35" t="n">
        <v>4</v>
      </c>
      <c r="M767" s="50" t="n">
        <f aca="false">IF(COUNT(G767:L767)&lt;6,"",ROUND((G767*Rubric!$D$5+H767*Rubric!$D$6+I767*Rubric!$D$7+J767*Rubric!$D$8+K767*Rubric!$D$9+L767*Rubric!$D$10)/5*100,1))</f>
        <v>82</v>
      </c>
      <c r="N767" s="37" t="str">
        <f aca="false">IF(OR(B767="",D767=""),"",IFERROR(IF(IF(E767="Primary",INDEX(Applications!$I$5:$I$600,MATCH(B767,Applications!$A$5:$A$600,0)),IF(E767="Secondary",INDEX(Applications!$J$5:$J$600,MATCH(B767,Applications!$A$5:$A$600,0)),INDEX(Applications!$K$5:$K$600,MATCH(B767,Applications!$A$5:$A$600,0))))=D767,"OK","Not assigned"),"Check ID"))</f>
        <v>OK</v>
      </c>
      <c r="O767" s="7"/>
    </row>
    <row r="768" customFormat="false" ht="15" hidden="false" customHeight="false" outlineLevel="0" collapsed="false">
      <c r="A768" s="35" t="s">
        <v>2165</v>
      </c>
      <c r="B768" s="35" t="s">
        <v>701</v>
      </c>
      <c r="C768" s="37" t="str">
        <f aca="false">IF(B768="","",IFERROR(INDEX(Applications!$B$5:$B$600,MATCH(B768,Applications!$A$5:$A$600,0)),"Application ID not found"))</f>
        <v>Toledo Food Bank</v>
      </c>
      <c r="D768" s="35" t="s">
        <v>94</v>
      </c>
      <c r="E768" s="35" t="s">
        <v>80</v>
      </c>
      <c r="F768" s="36" t="n">
        <v>45950</v>
      </c>
      <c r="G768" s="35" t="n">
        <v>3</v>
      </c>
      <c r="H768" s="35" t="n">
        <v>3</v>
      </c>
      <c r="I768" s="35" t="n">
        <v>3</v>
      </c>
      <c r="J768" s="35" t="n">
        <v>3</v>
      </c>
      <c r="K768" s="35" t="n">
        <v>3</v>
      </c>
      <c r="L768" s="35" t="n">
        <v>3</v>
      </c>
      <c r="M768" s="50" t="n">
        <f aca="false">IF(COUNT(G768:L768)&lt;6,"",ROUND((G768*Rubric!$D$5+H768*Rubric!$D$6+I768*Rubric!$D$7+J768*Rubric!$D$8+K768*Rubric!$D$9+L768*Rubric!$D$10)/5*100,1))</f>
        <v>60</v>
      </c>
      <c r="N768" s="37" t="str">
        <f aca="false">IF(OR(B768="",D768=""),"",IFERROR(IF(IF(E768="Primary",INDEX(Applications!$I$5:$I$600,MATCH(B768,Applications!$A$5:$A$600,0)),IF(E768="Secondary",INDEX(Applications!$J$5:$J$600,MATCH(B768,Applications!$A$5:$A$600,0)),INDEX(Applications!$K$5:$K$600,MATCH(B768,Applications!$A$5:$A$600,0))))=D768,"OK","Not assigned"),"Check ID"))</f>
        <v>OK</v>
      </c>
      <c r="O768" s="7" t="s">
        <v>1493</v>
      </c>
    </row>
    <row r="769" customFormat="false" ht="15" hidden="false" customHeight="false" outlineLevel="0" collapsed="false">
      <c r="A769" s="35" t="s">
        <v>2166</v>
      </c>
      <c r="B769" s="35" t="s">
        <v>1369</v>
      </c>
      <c r="C769" s="37" t="str">
        <f aca="false">IF(B769="","",IFERROR(INDEX(Applications!$B$5:$B$600,MATCH(B769,Applications!$A$5:$A$600,0)),"Application ID not found"))</f>
        <v>Des Moines Meals Project</v>
      </c>
      <c r="D769" s="35" t="s">
        <v>94</v>
      </c>
      <c r="E769" s="35" t="s">
        <v>83</v>
      </c>
      <c r="F769" s="36" t="n">
        <v>45950</v>
      </c>
      <c r="G769" s="35" t="n">
        <v>3</v>
      </c>
      <c r="H769" s="35" t="n">
        <v>3</v>
      </c>
      <c r="I769" s="35" t="n">
        <v>3</v>
      </c>
      <c r="J769" s="35" t="n">
        <v>3</v>
      </c>
      <c r="K769" s="35" t="n">
        <v>3</v>
      </c>
      <c r="L769" s="35" t="n">
        <v>3</v>
      </c>
      <c r="M769" s="50" t="n">
        <f aca="false">IF(COUNT(G769:L769)&lt;6,"",ROUND((G769*Rubric!$D$5+H769*Rubric!$D$6+I769*Rubric!$D$7+J769*Rubric!$D$8+K769*Rubric!$D$9+L769*Rubric!$D$10)/5*100,1))</f>
        <v>60</v>
      </c>
      <c r="N769" s="37" t="str">
        <f aca="false">IF(OR(B769="",D769=""),"",IFERROR(IF(IF(E769="Primary",INDEX(Applications!$I$5:$I$600,MATCH(B769,Applications!$A$5:$A$600,0)),IF(E769="Secondary",INDEX(Applications!$J$5:$J$600,MATCH(B769,Applications!$A$5:$A$600,0)),INDEX(Applications!$K$5:$K$600,MATCH(B769,Applications!$A$5:$A$600,0))))=D769,"OK","Not assigned"),"Check ID"))</f>
        <v>OK</v>
      </c>
      <c r="O769" s="7"/>
    </row>
    <row r="770" customFormat="false" ht="15" hidden="false" customHeight="false" outlineLevel="0" collapsed="false">
      <c r="A770" s="35" t="s">
        <v>2167</v>
      </c>
      <c r="B770" s="35" t="s">
        <v>1025</v>
      </c>
      <c r="C770" s="37" t="str">
        <f aca="false">IF(B770="","",IFERROR(INDEX(Applications!$B$5:$B$600,MATCH(B770,Applications!$A$5:$A$600,0)),"Application ID not found"))</f>
        <v>Canal Street Growers Cooperative</v>
      </c>
      <c r="D770" s="35" t="s">
        <v>94</v>
      </c>
      <c r="E770" s="35" t="s">
        <v>80</v>
      </c>
      <c r="F770" s="36" t="n">
        <v>45950</v>
      </c>
      <c r="G770" s="35" t="n">
        <v>1</v>
      </c>
      <c r="H770" s="35" t="n">
        <v>2</v>
      </c>
      <c r="I770" s="35" t="n">
        <v>2</v>
      </c>
      <c r="J770" s="35" t="n">
        <v>2</v>
      </c>
      <c r="K770" s="35" t="n">
        <v>1</v>
      </c>
      <c r="L770" s="35" t="n">
        <v>1</v>
      </c>
      <c r="M770" s="50" t="n">
        <f aca="false">IF(COUNT(G770:L770)&lt;6,"",ROUND((G770*Rubric!$D$5+H770*Rubric!$D$6+I770*Rubric!$D$7+J770*Rubric!$D$8+K770*Rubric!$D$9+L770*Rubric!$D$10)/5*100,1))</f>
        <v>31</v>
      </c>
      <c r="N770" s="37" t="str">
        <f aca="false">IF(OR(B770="",D770=""),"",IFERROR(IF(IF(E770="Primary",INDEX(Applications!$I$5:$I$600,MATCH(B770,Applications!$A$5:$A$600,0)),IF(E770="Secondary",INDEX(Applications!$J$5:$J$600,MATCH(B770,Applications!$A$5:$A$600,0)),INDEX(Applications!$K$5:$K$600,MATCH(B770,Applications!$A$5:$A$600,0))))=D770,"OK","Not assigned"),"Check ID"))</f>
        <v>OK</v>
      </c>
      <c r="O770" s="7"/>
    </row>
    <row r="771" customFormat="false" ht="15" hidden="false" customHeight="false" outlineLevel="0" collapsed="false">
      <c r="A771" s="35" t="s">
        <v>2168</v>
      </c>
      <c r="B771" s="35" t="s">
        <v>282</v>
      </c>
      <c r="C771" s="37" t="str">
        <f aca="false">IF(B771="","",IFERROR(INDEX(Applications!$B$5:$B$600,MATCH(B771,Applications!$A$5:$A$600,0)),"Application ID not found"))</f>
        <v>Louisville Culinary Works</v>
      </c>
      <c r="D771" s="35" t="s">
        <v>94</v>
      </c>
      <c r="E771" s="35" t="s">
        <v>80</v>
      </c>
      <c r="F771" s="36" t="n">
        <v>45950</v>
      </c>
      <c r="G771" s="35" t="n">
        <v>5</v>
      </c>
      <c r="H771" s="35" t="n">
        <v>4</v>
      </c>
      <c r="I771" s="35" t="n">
        <v>5</v>
      </c>
      <c r="J771" s="35" t="n">
        <v>4</v>
      </c>
      <c r="K771" s="35" t="n">
        <v>4</v>
      </c>
      <c r="L771" s="35" t="n">
        <v>4</v>
      </c>
      <c r="M771" s="50" t="n">
        <f aca="false">IF(COUNT(G771:L771)&lt;6,"",ROUND((G771*Rubric!$D$5+H771*Rubric!$D$6+I771*Rubric!$D$7+J771*Rubric!$D$8+K771*Rubric!$D$9+L771*Rubric!$D$10)/5*100,1))</f>
        <v>89</v>
      </c>
      <c r="N771" s="37" t="str">
        <f aca="false">IF(OR(B771="",D771=""),"",IFERROR(IF(IF(E771="Primary",INDEX(Applications!$I$5:$I$600,MATCH(B771,Applications!$A$5:$A$600,0)),IF(E771="Secondary",INDEX(Applications!$J$5:$J$600,MATCH(B771,Applications!$A$5:$A$600,0)),INDEX(Applications!$K$5:$K$600,MATCH(B771,Applications!$A$5:$A$600,0))))=D771,"OK","Not assigned"),"Check ID"))</f>
        <v>OK</v>
      </c>
      <c r="O771" s="7"/>
    </row>
    <row r="772" customFormat="false" ht="15" hidden="false" customHeight="false" outlineLevel="0" collapsed="false">
      <c r="A772" s="35" t="s">
        <v>2169</v>
      </c>
      <c r="B772" s="35" t="s">
        <v>783</v>
      </c>
      <c r="C772" s="37" t="str">
        <f aca="false">IF(B772="","",IFERROR(INDEX(Applications!$B$5:$B$600,MATCH(B772,Applications!$A$5:$A$600,0)),"Application ID not found"))</f>
        <v>Old Town Meals Project</v>
      </c>
      <c r="D772" s="35" t="s">
        <v>94</v>
      </c>
      <c r="E772" s="35" t="s">
        <v>86</v>
      </c>
      <c r="F772" s="36" t="n">
        <v>45950</v>
      </c>
      <c r="G772" s="35" t="n">
        <v>2</v>
      </c>
      <c r="H772" s="35" t="n">
        <v>2</v>
      </c>
      <c r="I772" s="35" t="n">
        <v>2</v>
      </c>
      <c r="J772" s="35" t="n">
        <v>3</v>
      </c>
      <c r="K772" s="35" t="n">
        <v>3</v>
      </c>
      <c r="L772" s="35" t="n">
        <v>2</v>
      </c>
      <c r="M772" s="50" t="n">
        <f aca="false">IF(COUNT(G772:L772)&lt;6,"",ROUND((G772*Rubric!$D$5+H772*Rubric!$D$6+I772*Rubric!$D$7+J772*Rubric!$D$8+K772*Rubric!$D$9+L772*Rubric!$D$10)/5*100,1))</f>
        <v>45</v>
      </c>
      <c r="N772" s="37" t="str">
        <f aca="false">IF(OR(B772="",D772=""),"",IFERROR(IF(IF(E772="Primary",INDEX(Applications!$I$5:$I$600,MATCH(B772,Applications!$A$5:$A$600,0)),IF(E772="Secondary",INDEX(Applications!$J$5:$J$600,MATCH(B772,Applications!$A$5:$A$600,0)),INDEX(Applications!$K$5:$K$600,MATCH(B772,Applications!$A$5:$A$600,0))))=D772,"OK","Not assigned"),"Check ID"))</f>
        <v>OK</v>
      </c>
      <c r="O772" s="7"/>
    </row>
    <row r="773" customFormat="false" ht="15" hidden="false" customHeight="false" outlineLevel="0" collapsed="false">
      <c r="A773" s="35" t="s">
        <v>2170</v>
      </c>
      <c r="B773" s="35" t="s">
        <v>567</v>
      </c>
      <c r="C773" s="37" t="str">
        <f aca="false">IF(B773="","",IFERROR(INDEX(Applications!$B$5:$B$600,MATCH(B773,Applications!$A$5:$A$600,0)),"Application ID not found"))</f>
        <v>Valley Farm Collective</v>
      </c>
      <c r="D773" s="35" t="s">
        <v>94</v>
      </c>
      <c r="E773" s="35" t="s">
        <v>86</v>
      </c>
      <c r="F773" s="36" t="n">
        <v>45950</v>
      </c>
      <c r="G773" s="35" t="n">
        <v>4</v>
      </c>
      <c r="H773" s="35" t="n">
        <v>3</v>
      </c>
      <c r="I773" s="35" t="n">
        <v>2</v>
      </c>
      <c r="J773" s="35" t="n">
        <v>2</v>
      </c>
      <c r="K773" s="35" t="n">
        <v>2</v>
      </c>
      <c r="L773" s="35" t="n">
        <v>3</v>
      </c>
      <c r="M773" s="50" t="n">
        <f aca="false">IF(COUNT(G773:L773)&lt;6,"",ROUND((G773*Rubric!$D$5+H773*Rubric!$D$6+I773*Rubric!$D$7+J773*Rubric!$D$8+K773*Rubric!$D$9+L773*Rubric!$D$10)/5*100,1))</f>
        <v>56</v>
      </c>
      <c r="N773" s="37" t="str">
        <f aca="false">IF(OR(B773="",D773=""),"",IFERROR(IF(IF(E773="Primary",INDEX(Applications!$I$5:$I$600,MATCH(B773,Applications!$A$5:$A$600,0)),IF(E773="Secondary",INDEX(Applications!$J$5:$J$600,MATCH(B773,Applications!$A$5:$A$600,0)),INDEX(Applications!$K$5:$K$600,MATCH(B773,Applications!$A$5:$A$600,0))))=D773,"OK","Not assigned"),"Check ID"))</f>
        <v>OK</v>
      </c>
      <c r="O773" s="7"/>
    </row>
    <row r="774" customFormat="false" ht="15" hidden="false" customHeight="false" outlineLevel="0" collapsed="false">
      <c r="A774" s="35" t="s">
        <v>2171</v>
      </c>
      <c r="B774" s="35" t="s">
        <v>386</v>
      </c>
      <c r="C774" s="37" t="str">
        <f aca="false">IF(B774="","",IFERROR(INDEX(Applications!$B$5:$B$600,MATCH(B774,Applications!$A$5:$A$600,0)),"Application ID not found"))</f>
        <v>Kestrel Youth Food Lab</v>
      </c>
      <c r="D774" s="35" t="s">
        <v>94</v>
      </c>
      <c r="E774" s="35" t="s">
        <v>86</v>
      </c>
      <c r="F774" s="36" t="n">
        <v>45950</v>
      </c>
      <c r="G774" s="35" t="n">
        <v>2</v>
      </c>
      <c r="H774" s="35" t="n">
        <v>2</v>
      </c>
      <c r="I774" s="35" t="n">
        <v>3</v>
      </c>
      <c r="J774" s="35" t="n">
        <v>2</v>
      </c>
      <c r="K774" s="35" t="n">
        <v>3</v>
      </c>
      <c r="L774" s="35" t="n">
        <v>3</v>
      </c>
      <c r="M774" s="50" t="n">
        <f aca="false">IF(COUNT(G774:L774)&lt;6,"",ROUND((G774*Rubric!$D$5+H774*Rubric!$D$6+I774*Rubric!$D$7+J774*Rubric!$D$8+K774*Rubric!$D$9+L774*Rubric!$D$10)/5*100,1))</f>
        <v>48</v>
      </c>
      <c r="N774" s="37" t="str">
        <f aca="false">IF(OR(B774="",D774=""),"",IFERROR(IF(IF(E774="Primary",INDEX(Applications!$I$5:$I$600,MATCH(B774,Applications!$A$5:$A$600,0)),IF(E774="Secondary",INDEX(Applications!$J$5:$J$600,MATCH(B774,Applications!$A$5:$A$600,0)),INDEX(Applications!$K$5:$K$600,MATCH(B774,Applications!$A$5:$A$600,0))))=D774,"OK","Not assigned"),"Check ID"))</f>
        <v>OK</v>
      </c>
      <c r="O774" s="7"/>
    </row>
    <row r="775" customFormat="false" ht="15" hidden="false" customHeight="false" outlineLevel="0" collapsed="false">
      <c r="A775" s="35" t="s">
        <v>2172</v>
      </c>
      <c r="B775" s="35" t="s">
        <v>335</v>
      </c>
      <c r="C775" s="37" t="str">
        <f aca="false">IF(B775="","",IFERROR(INDEX(Applications!$B$5:$B$600,MATCH(B775,Applications!$A$5:$A$600,0)),"Application ID not found"))</f>
        <v>Crossroads Food Shelf</v>
      </c>
      <c r="D775" s="35" t="s">
        <v>85</v>
      </c>
      <c r="E775" s="35" t="s">
        <v>83</v>
      </c>
      <c r="F775" s="36" t="n">
        <v>45950</v>
      </c>
      <c r="G775" s="35" t="n">
        <v>2</v>
      </c>
      <c r="H775" s="35" t="n">
        <v>3</v>
      </c>
      <c r="I775" s="35" t="n">
        <v>2</v>
      </c>
      <c r="J775" s="35" t="n">
        <v>2</v>
      </c>
      <c r="K775" s="35" t="n">
        <v>2</v>
      </c>
      <c r="L775" s="35" t="n">
        <v>3</v>
      </c>
      <c r="M775" s="50" t="n">
        <f aca="false">IF(COUNT(G775:L775)&lt;6,"",ROUND((G775*Rubric!$D$5+H775*Rubric!$D$6+I775*Rubric!$D$7+J775*Rubric!$D$8+K775*Rubric!$D$9+L775*Rubric!$D$10)/5*100,1))</f>
        <v>46</v>
      </c>
      <c r="N775" s="37" t="str">
        <f aca="false">IF(OR(B775="",D775=""),"",IFERROR(IF(IF(E775="Primary",INDEX(Applications!$I$5:$I$600,MATCH(B775,Applications!$A$5:$A$600,0)),IF(E775="Secondary",INDEX(Applications!$J$5:$J$600,MATCH(B775,Applications!$A$5:$A$600,0)),INDEX(Applications!$K$5:$K$600,MATCH(B775,Applications!$A$5:$A$600,0))))=D775,"OK","Not assigned"),"Check ID"))</f>
        <v>OK</v>
      </c>
      <c r="O775" s="7"/>
    </row>
    <row r="776" customFormat="false" ht="15" hidden="false" customHeight="false" outlineLevel="0" collapsed="false">
      <c r="A776" s="35" t="s">
        <v>2173</v>
      </c>
      <c r="B776" s="35" t="s">
        <v>1259</v>
      </c>
      <c r="C776" s="37" t="str">
        <f aca="false">IF(B776="","",IFERROR(INDEX(Applications!$B$5:$B$600,MATCH(B776,Applications!$A$5:$A$600,0)),"Application ID not found"))</f>
        <v>Prairie Food Shelf</v>
      </c>
      <c r="D776" s="35" t="s">
        <v>85</v>
      </c>
      <c r="E776" s="35" t="s">
        <v>83</v>
      </c>
      <c r="F776" s="36" t="n">
        <v>45950</v>
      </c>
      <c r="G776" s="35" t="n">
        <v>3</v>
      </c>
      <c r="H776" s="35" t="n">
        <v>3</v>
      </c>
      <c r="I776" s="35" t="n">
        <v>3</v>
      </c>
      <c r="J776" s="35" t="n">
        <v>2</v>
      </c>
      <c r="K776" s="35" t="n">
        <v>2</v>
      </c>
      <c r="L776" s="35" t="n">
        <v>3</v>
      </c>
      <c r="M776" s="50" t="n">
        <f aca="false">IF(COUNT(G776:L776)&lt;6,"",ROUND((G776*Rubric!$D$5+H776*Rubric!$D$6+I776*Rubric!$D$7+J776*Rubric!$D$8+K776*Rubric!$D$9+L776*Rubric!$D$10)/5*100,1))</f>
        <v>55</v>
      </c>
      <c r="N776" s="37" t="str">
        <f aca="false">IF(OR(B776="",D776=""),"",IFERROR(IF(IF(E776="Primary",INDEX(Applications!$I$5:$I$600,MATCH(B776,Applications!$A$5:$A$600,0)),IF(E776="Secondary",INDEX(Applications!$J$5:$J$600,MATCH(B776,Applications!$A$5:$A$600,0)),INDEX(Applications!$K$5:$K$600,MATCH(B776,Applications!$A$5:$A$600,0))))=D776,"OK","Not assigned"),"Check ID"))</f>
        <v>OK</v>
      </c>
      <c r="O776" s="7" t="s">
        <v>1398</v>
      </c>
    </row>
    <row r="777" customFormat="false" ht="15" hidden="false" customHeight="false" outlineLevel="0" collapsed="false">
      <c r="A777" s="35" t="s">
        <v>2174</v>
      </c>
      <c r="B777" s="35" t="s">
        <v>817</v>
      </c>
      <c r="C777" s="37" t="str">
        <f aca="false">IF(B777="","",IFERROR(INDEX(Applications!$B$5:$B$600,MATCH(B777,Applications!$A$5:$A$600,0)),"Application ID not found"))</f>
        <v>Lima Mobile Market</v>
      </c>
      <c r="D777" s="35" t="s">
        <v>85</v>
      </c>
      <c r="E777" s="35" t="s">
        <v>80</v>
      </c>
      <c r="F777" s="36" t="n">
        <v>45950</v>
      </c>
      <c r="G777" s="35" t="n">
        <v>5</v>
      </c>
      <c r="H777" s="35" t="n">
        <v>4</v>
      </c>
      <c r="I777" s="35" t="n">
        <v>5</v>
      </c>
      <c r="J777" s="35" t="n">
        <v>5</v>
      </c>
      <c r="K777" s="35" t="n">
        <v>4</v>
      </c>
      <c r="L777" s="35" t="n">
        <v>5</v>
      </c>
      <c r="M777" s="50" t="n">
        <f aca="false">IF(COUNT(G777:L777)&lt;6,"",ROUND((G777*Rubric!$D$5+H777*Rubric!$D$6+I777*Rubric!$D$7+J777*Rubric!$D$8+K777*Rubric!$D$9+L777*Rubric!$D$10)/5*100,1))</f>
        <v>94</v>
      </c>
      <c r="N777" s="37" t="str">
        <f aca="false">IF(OR(B777="",D777=""),"",IFERROR(IF(IF(E777="Primary",INDEX(Applications!$I$5:$I$600,MATCH(B777,Applications!$A$5:$A$600,0)),IF(E777="Secondary",INDEX(Applications!$J$5:$J$600,MATCH(B777,Applications!$A$5:$A$600,0)),INDEX(Applications!$K$5:$K$600,MATCH(B777,Applications!$A$5:$A$600,0))))=D777,"OK","Not assigned"),"Check ID"))</f>
        <v>OK</v>
      </c>
      <c r="O777" s="7"/>
    </row>
    <row r="778" customFormat="false" ht="15" hidden="false" customHeight="false" outlineLevel="0" collapsed="false">
      <c r="A778" s="35" t="s">
        <v>2175</v>
      </c>
      <c r="B778" s="35" t="s">
        <v>1131</v>
      </c>
      <c r="C778" s="37" t="str">
        <f aca="false">IF(B778="","",IFERROR(INDEX(Applications!$B$5:$B$600,MATCH(B778,Applications!$A$5:$A$600,0)),"Application ID not found"))</f>
        <v>Akron Market Gardens</v>
      </c>
      <c r="D778" s="35" t="s">
        <v>85</v>
      </c>
      <c r="E778" s="35" t="s">
        <v>83</v>
      </c>
      <c r="F778" s="36" t="n">
        <v>45950</v>
      </c>
      <c r="G778" s="35" t="n">
        <v>3</v>
      </c>
      <c r="H778" s="35" t="n">
        <v>3</v>
      </c>
      <c r="I778" s="35" t="n">
        <v>2</v>
      </c>
      <c r="J778" s="35" t="n">
        <v>3</v>
      </c>
      <c r="K778" s="35" t="n">
        <v>3</v>
      </c>
      <c r="L778" s="35" t="n">
        <v>3</v>
      </c>
      <c r="M778" s="50" t="n">
        <f aca="false">IF(COUNT(G778:L778)&lt;6,"",ROUND((G778*Rubric!$D$5+H778*Rubric!$D$6+I778*Rubric!$D$7+J778*Rubric!$D$8+K778*Rubric!$D$9+L778*Rubric!$D$10)/5*100,1))</f>
        <v>56</v>
      </c>
      <c r="N778" s="37" t="str">
        <f aca="false">IF(OR(B778="",D778=""),"",IFERROR(IF(IF(E778="Primary",INDEX(Applications!$I$5:$I$600,MATCH(B778,Applications!$A$5:$A$600,0)),IF(E778="Secondary",INDEX(Applications!$J$5:$J$600,MATCH(B778,Applications!$A$5:$A$600,0)),INDEX(Applications!$K$5:$K$600,MATCH(B778,Applications!$A$5:$A$600,0))))=D778,"OK","Not assigned"),"Check ID"))</f>
        <v>OK</v>
      </c>
      <c r="O778" s="7"/>
    </row>
    <row r="779" customFormat="false" ht="15" hidden="false" customHeight="false" outlineLevel="0" collapsed="false">
      <c r="A779" s="35" t="s">
        <v>2176</v>
      </c>
      <c r="B779" s="35" t="s">
        <v>518</v>
      </c>
      <c r="C779" s="37" t="str">
        <f aca="false">IF(B779="","",IFERROR(INDEX(Applications!$B$5:$B$600,MATCH(B779,Applications!$A$5:$A$600,0)),"Application ID not found"))</f>
        <v>Copper Hill Meals Project</v>
      </c>
      <c r="D779" s="35" t="s">
        <v>85</v>
      </c>
      <c r="E779" s="35" t="s">
        <v>83</v>
      </c>
      <c r="F779" s="36" t="n">
        <v>45950</v>
      </c>
      <c r="G779" s="35" t="n">
        <v>3</v>
      </c>
      <c r="H779" s="35" t="n">
        <v>4</v>
      </c>
      <c r="I779" s="35" t="n">
        <v>4</v>
      </c>
      <c r="J779" s="35" t="n">
        <v>3</v>
      </c>
      <c r="K779" s="35" t="n">
        <v>4</v>
      </c>
      <c r="L779" s="35" t="n">
        <v>3</v>
      </c>
      <c r="M779" s="50" t="n">
        <f aca="false">IF(COUNT(G779:L779)&lt;6,"",ROUND((G779*Rubric!$D$5+H779*Rubric!$D$6+I779*Rubric!$D$7+J779*Rubric!$D$8+K779*Rubric!$D$9+L779*Rubric!$D$10)/5*100,1))</f>
        <v>70</v>
      </c>
      <c r="N779" s="37" t="str">
        <f aca="false">IF(OR(B779="",D779=""),"",IFERROR(IF(IF(E779="Primary",INDEX(Applications!$I$5:$I$600,MATCH(B779,Applications!$A$5:$A$600,0)),IF(E779="Secondary",INDEX(Applications!$J$5:$J$600,MATCH(B779,Applications!$A$5:$A$600,0)),INDEX(Applications!$K$5:$K$600,MATCH(B779,Applications!$A$5:$A$600,0))))=D779,"OK","Not assigned"),"Check ID"))</f>
        <v>OK</v>
      </c>
      <c r="O779" s="7"/>
    </row>
    <row r="780" customFormat="false" ht="15" hidden="false" customHeight="false" outlineLevel="0" collapsed="false">
      <c r="A780" s="35" t="s">
        <v>2177</v>
      </c>
      <c r="B780" s="35" t="s">
        <v>865</v>
      </c>
      <c r="C780" s="37" t="str">
        <f aca="false">IF(B780="","",IFERROR(INDEX(Applications!$B$5:$B$600,MATCH(B780,Applications!$A$5:$A$600,0)),"Application ID not found"))</f>
        <v>Calgary Community Pantry</v>
      </c>
      <c r="D780" s="35" t="s">
        <v>85</v>
      </c>
      <c r="E780" s="35" t="s">
        <v>80</v>
      </c>
      <c r="F780" s="36" t="n">
        <v>45950</v>
      </c>
      <c r="G780" s="35" t="n">
        <v>2</v>
      </c>
      <c r="H780" s="35" t="n">
        <v>1</v>
      </c>
      <c r="I780" s="35" t="n">
        <v>2</v>
      </c>
      <c r="J780" s="35" t="n">
        <v>2</v>
      </c>
      <c r="K780" s="35" t="n">
        <v>2</v>
      </c>
      <c r="L780" s="35" t="n">
        <v>2</v>
      </c>
      <c r="M780" s="50" t="n">
        <f aca="false">IF(COUNT(G780:L780)&lt;6,"",ROUND((G780*Rubric!$D$5+H780*Rubric!$D$6+I780*Rubric!$D$7+J780*Rubric!$D$8+K780*Rubric!$D$9+L780*Rubric!$D$10)/5*100,1))</f>
        <v>36</v>
      </c>
      <c r="N780" s="37" t="str">
        <f aca="false">IF(OR(B780="",D780=""),"",IFERROR(IF(IF(E780="Primary",INDEX(Applications!$I$5:$I$600,MATCH(B780,Applications!$A$5:$A$600,0)),IF(E780="Secondary",INDEX(Applications!$J$5:$J$600,MATCH(B780,Applications!$A$5:$A$600,0)),INDEX(Applications!$K$5:$K$600,MATCH(B780,Applications!$A$5:$A$600,0))))=D780,"OK","Not assigned"),"Check ID"))</f>
        <v>OK</v>
      </c>
      <c r="O780" s="7" t="s">
        <v>1437</v>
      </c>
    </row>
    <row r="781" customFormat="false" ht="15" hidden="false" customHeight="false" outlineLevel="0" collapsed="false">
      <c r="A781" s="35" t="s">
        <v>2178</v>
      </c>
      <c r="B781" s="35" t="s">
        <v>871</v>
      </c>
      <c r="C781" s="37" t="str">
        <f aca="false">IF(B781="","",IFERROR(INDEX(Applications!$B$5:$B$600,MATCH(B781,Applications!$A$5:$A$600,0)),"Application ID not found"))</f>
        <v>Chicago Youth Food Lab</v>
      </c>
      <c r="D781" s="35" t="s">
        <v>85</v>
      </c>
      <c r="E781" s="35" t="s">
        <v>83</v>
      </c>
      <c r="F781" s="36" t="n">
        <v>45950</v>
      </c>
      <c r="G781" s="35" t="n">
        <v>5</v>
      </c>
      <c r="H781" s="35" t="n">
        <v>5</v>
      </c>
      <c r="I781" s="35" t="n">
        <v>5</v>
      </c>
      <c r="J781" s="35" t="n">
        <v>5</v>
      </c>
      <c r="K781" s="35" t="n">
        <v>5</v>
      </c>
      <c r="L781" s="35" t="n">
        <v>5</v>
      </c>
      <c r="M781" s="50" t="n">
        <f aca="false">IF(COUNT(G781:L781)&lt;6,"",ROUND((G781*Rubric!$D$5+H781*Rubric!$D$6+I781*Rubric!$D$7+J781*Rubric!$D$8+K781*Rubric!$D$9+L781*Rubric!$D$10)/5*100,1))</f>
        <v>100</v>
      </c>
      <c r="N781" s="37" t="str">
        <f aca="false">IF(OR(B781="",D781=""),"",IFERROR(IF(IF(E781="Primary",INDEX(Applications!$I$5:$I$600,MATCH(B781,Applications!$A$5:$A$600,0)),IF(E781="Secondary",INDEX(Applications!$J$5:$J$600,MATCH(B781,Applications!$A$5:$A$600,0)),INDEX(Applications!$K$5:$K$600,MATCH(B781,Applications!$A$5:$A$600,0))))=D781,"OK","Not assigned"),"Check ID"))</f>
        <v>OK</v>
      </c>
      <c r="O781" s="7"/>
    </row>
    <row r="782" customFormat="false" ht="15" hidden="false" customHeight="false" outlineLevel="0" collapsed="false">
      <c r="A782" s="35" t="s">
        <v>2179</v>
      </c>
      <c r="B782" s="35" t="s">
        <v>1329</v>
      </c>
      <c r="C782" s="37" t="str">
        <f aca="false">IF(B782="","",IFERROR(INDEX(Applications!$B$5:$B$600,MATCH(B782,Applications!$A$5:$A$600,0)),"Application ID not found"))</f>
        <v>Brisbane Mobile Market</v>
      </c>
      <c r="D782" s="35" t="s">
        <v>85</v>
      </c>
      <c r="E782" s="35" t="s">
        <v>80</v>
      </c>
      <c r="F782" s="36" t="n">
        <v>45950</v>
      </c>
      <c r="G782" s="35" t="n">
        <v>3</v>
      </c>
      <c r="H782" s="35" t="n">
        <v>3</v>
      </c>
      <c r="I782" s="35" t="n">
        <v>4</v>
      </c>
      <c r="J782" s="35" t="n">
        <v>3</v>
      </c>
      <c r="K782" s="35" t="n">
        <v>3</v>
      </c>
      <c r="L782" s="35" t="n">
        <v>3</v>
      </c>
      <c r="M782" s="50" t="n">
        <f aca="false">IF(COUNT(G782:L782)&lt;6,"",ROUND((G782*Rubric!$D$5+H782*Rubric!$D$6+I782*Rubric!$D$7+J782*Rubric!$D$8+K782*Rubric!$D$9+L782*Rubric!$D$10)/5*100,1))</f>
        <v>64</v>
      </c>
      <c r="N782" s="37" t="str">
        <f aca="false">IF(OR(B782="",D782=""),"",IFERROR(IF(IF(E782="Primary",INDEX(Applications!$I$5:$I$600,MATCH(B782,Applications!$A$5:$A$600,0)),IF(E782="Secondary",INDEX(Applications!$J$5:$J$600,MATCH(B782,Applications!$A$5:$A$600,0)),INDEX(Applications!$K$5:$K$600,MATCH(B782,Applications!$A$5:$A$600,0))))=D782,"OK","Not assigned"),"Check ID"))</f>
        <v>OK</v>
      </c>
      <c r="O782" s="7"/>
    </row>
    <row r="783" customFormat="false" ht="15" hidden="false" customHeight="false" outlineLevel="0" collapsed="false">
      <c r="A783" s="35" t="s">
        <v>2180</v>
      </c>
      <c r="B783" s="35" t="s">
        <v>975</v>
      </c>
      <c r="C783" s="37" t="str">
        <f aca="false">IF(B783="","",IFERROR(INDEX(Applications!$B$5:$B$600,MATCH(B783,Applications!$A$5:$A$600,0)),"Application ID not found"))</f>
        <v>Melbourne Food Shelf</v>
      </c>
      <c r="D783" s="35" t="s">
        <v>85</v>
      </c>
      <c r="E783" s="35" t="s">
        <v>83</v>
      </c>
      <c r="F783" s="36" t="n">
        <v>45950</v>
      </c>
      <c r="G783" s="35" t="n">
        <v>3</v>
      </c>
      <c r="H783" s="35" t="n">
        <v>3</v>
      </c>
      <c r="I783" s="35" t="n">
        <v>4</v>
      </c>
      <c r="J783" s="35" t="n">
        <v>3</v>
      </c>
      <c r="K783" s="35" t="n">
        <v>3</v>
      </c>
      <c r="L783" s="35" t="n">
        <v>4</v>
      </c>
      <c r="M783" s="50" t="n">
        <f aca="false">IF(COUNT(G783:L783)&lt;6,"",ROUND((G783*Rubric!$D$5+H783*Rubric!$D$6+I783*Rubric!$D$7+J783*Rubric!$D$8+K783*Rubric!$D$9+L783*Rubric!$D$10)/5*100,1))</f>
        <v>66</v>
      </c>
      <c r="N783" s="37" t="str">
        <f aca="false">IF(OR(B783="",D783=""),"",IFERROR(IF(IF(E783="Primary",INDEX(Applications!$I$5:$I$600,MATCH(B783,Applications!$A$5:$A$600,0)),IF(E783="Secondary",INDEX(Applications!$J$5:$J$600,MATCH(B783,Applications!$A$5:$A$600,0)),INDEX(Applications!$K$5:$K$600,MATCH(B783,Applications!$A$5:$A$600,0))))=D783,"OK","Not assigned"),"Check ID"))</f>
        <v>OK</v>
      </c>
      <c r="O783" s="7"/>
    </row>
    <row r="784" customFormat="false" ht="15" hidden="false" customHeight="false" outlineLevel="0" collapsed="false">
      <c r="A784" s="35" t="s">
        <v>2181</v>
      </c>
      <c r="B784" s="35" t="s">
        <v>1165</v>
      </c>
      <c r="C784" s="37" t="str">
        <f aca="false">IF(B784="","",IFERROR(INDEX(Applications!$B$5:$B$600,MATCH(B784,Applications!$A$5:$A$600,0)),"Application ID not found"))</f>
        <v>Marigold Growers Cooperative</v>
      </c>
      <c r="D784" s="35" t="s">
        <v>85</v>
      </c>
      <c r="E784" s="35" t="s">
        <v>80</v>
      </c>
      <c r="F784" s="36" t="n">
        <v>45950</v>
      </c>
      <c r="G784" s="35" t="n">
        <v>3</v>
      </c>
      <c r="H784" s="35" t="n">
        <v>3</v>
      </c>
      <c r="I784" s="35" t="n">
        <v>4</v>
      </c>
      <c r="J784" s="35" t="n">
        <v>3</v>
      </c>
      <c r="K784" s="35" t="n">
        <v>3</v>
      </c>
      <c r="L784" s="35" t="n">
        <v>3</v>
      </c>
      <c r="M784" s="50" t="n">
        <f aca="false">IF(COUNT(G784:L784)&lt;6,"",ROUND((G784*Rubric!$D$5+H784*Rubric!$D$6+I784*Rubric!$D$7+J784*Rubric!$D$8+K784*Rubric!$D$9+L784*Rubric!$D$10)/5*100,1))</f>
        <v>64</v>
      </c>
      <c r="N784" s="37" t="str">
        <f aca="false">IF(OR(B784="",D784=""),"",IFERROR(IF(IF(E784="Primary",INDEX(Applications!$I$5:$I$600,MATCH(B784,Applications!$A$5:$A$600,0)),IF(E784="Secondary",INDEX(Applications!$J$5:$J$600,MATCH(B784,Applications!$A$5:$A$600,0)),INDEX(Applications!$K$5:$K$600,MATCH(B784,Applications!$A$5:$A$600,0))))=D784,"OK","Not assigned"),"Check ID"))</f>
        <v>OK</v>
      </c>
      <c r="O784" s="7"/>
    </row>
    <row r="785" customFormat="false" ht="15" hidden="false" customHeight="false" outlineLevel="0" collapsed="false">
      <c r="A785" s="35" t="s">
        <v>2182</v>
      </c>
      <c r="B785" s="35" t="s">
        <v>284</v>
      </c>
      <c r="C785" s="37" t="str">
        <f aca="false">IF(B785="","",IFERROR(INDEX(Applications!$B$5:$B$600,MATCH(B785,Applications!$A$5:$A$600,0)),"Application ID not found"))</f>
        <v>Thistle Pantry Network</v>
      </c>
      <c r="D785" s="35" t="s">
        <v>85</v>
      </c>
      <c r="E785" s="35" t="s">
        <v>83</v>
      </c>
      <c r="F785" s="36" t="n">
        <v>45950</v>
      </c>
      <c r="G785" s="35" t="n">
        <v>2</v>
      </c>
      <c r="H785" s="35" t="n">
        <v>3</v>
      </c>
      <c r="I785" s="35" t="n">
        <v>2</v>
      </c>
      <c r="J785" s="35" t="n">
        <v>2</v>
      </c>
      <c r="K785" s="35" t="n">
        <v>3</v>
      </c>
      <c r="L785" s="35" t="n">
        <v>3</v>
      </c>
      <c r="M785" s="50" t="n">
        <f aca="false">IF(COUNT(G785:L785)&lt;6,"",ROUND((G785*Rubric!$D$5+H785*Rubric!$D$6+I785*Rubric!$D$7+J785*Rubric!$D$8+K785*Rubric!$D$9+L785*Rubric!$D$10)/5*100,1))</f>
        <v>48</v>
      </c>
      <c r="N785" s="37" t="str">
        <f aca="false">IF(OR(B785="",D785=""),"",IFERROR(IF(IF(E785="Primary",INDEX(Applications!$I$5:$I$600,MATCH(B785,Applications!$A$5:$A$600,0)),IF(E785="Secondary",INDEX(Applications!$J$5:$J$600,MATCH(B785,Applications!$A$5:$A$600,0)),INDEX(Applications!$K$5:$K$600,MATCH(B785,Applications!$A$5:$A$600,0))))=D785,"OK","Not assigned"),"Check ID"))</f>
        <v>OK</v>
      </c>
      <c r="O785" s="7"/>
    </row>
    <row r="786" customFormat="false" ht="15" hidden="false" customHeight="false" outlineLevel="0" collapsed="false">
      <c r="A786" s="35" t="s">
        <v>2183</v>
      </c>
      <c r="B786" s="35" t="s">
        <v>1287</v>
      </c>
      <c r="C786" s="37" t="str">
        <f aca="false">IF(B786="","",IFERROR(INDEX(Applications!$B$5:$B$600,MATCH(B786,Applications!$A$5:$A$600,0)),"Application ID not found"))</f>
        <v>Eastside Family Center</v>
      </c>
      <c r="D786" s="35" t="s">
        <v>85</v>
      </c>
      <c r="E786" s="35" t="s">
        <v>83</v>
      </c>
      <c r="F786" s="36" t="n">
        <v>45950</v>
      </c>
      <c r="G786" s="35" t="n">
        <v>3</v>
      </c>
      <c r="H786" s="35" t="n">
        <v>3</v>
      </c>
      <c r="I786" s="35" t="n">
        <v>3</v>
      </c>
      <c r="J786" s="35" t="n">
        <v>4</v>
      </c>
      <c r="K786" s="35" t="n">
        <v>3</v>
      </c>
      <c r="L786" s="35" t="n">
        <v>3</v>
      </c>
      <c r="M786" s="50" t="n">
        <f aca="false">IF(COUNT(G786:L786)&lt;6,"",ROUND((G786*Rubric!$D$5+H786*Rubric!$D$6+I786*Rubric!$D$7+J786*Rubric!$D$8+K786*Rubric!$D$9+L786*Rubric!$D$10)/5*100,1))</f>
        <v>63</v>
      </c>
      <c r="N786" s="37" t="str">
        <f aca="false">IF(OR(B786="",D786=""),"",IFERROR(IF(IF(E786="Primary",INDEX(Applications!$I$5:$I$600,MATCH(B786,Applications!$A$5:$A$600,0)),IF(E786="Secondary",INDEX(Applications!$J$5:$J$600,MATCH(B786,Applications!$A$5:$A$600,0)),INDEX(Applications!$K$5:$K$600,MATCH(B786,Applications!$A$5:$A$600,0))))=D786,"OK","Not assigned"),"Check ID"))</f>
        <v>OK</v>
      </c>
      <c r="O786" s="7" t="s">
        <v>1402</v>
      </c>
    </row>
    <row r="787" customFormat="false" ht="15" hidden="false" customHeight="false" outlineLevel="0" collapsed="false">
      <c r="A787" s="35" t="s">
        <v>2184</v>
      </c>
      <c r="B787" s="35" t="s">
        <v>176</v>
      </c>
      <c r="C787" s="37" t="str">
        <f aca="false">IF(B787="","",IFERROR(INDEX(Applications!$B$5:$B$600,MATCH(B787,Applications!$A$5:$A$600,0)),"Application ID not found"))</f>
        <v>Tulsa Cafe Training Program</v>
      </c>
      <c r="D787" s="35" t="s">
        <v>85</v>
      </c>
      <c r="E787" s="35" t="s">
        <v>80</v>
      </c>
      <c r="F787" s="36" t="n">
        <v>45950</v>
      </c>
      <c r="G787" s="35" t="n">
        <v>2</v>
      </c>
      <c r="H787" s="35" t="n">
        <v>2</v>
      </c>
      <c r="I787" s="35" t="n">
        <v>2</v>
      </c>
      <c r="J787" s="35" t="n">
        <v>1</v>
      </c>
      <c r="K787" s="35" t="n">
        <v>2</v>
      </c>
      <c r="L787" s="35" t="n">
        <v>3</v>
      </c>
      <c r="M787" s="50" t="n">
        <f aca="false">IF(COUNT(G787:L787)&lt;6,"",ROUND((G787*Rubric!$D$5+H787*Rubric!$D$6+I787*Rubric!$D$7+J787*Rubric!$D$8+K787*Rubric!$D$9+L787*Rubric!$D$10)/5*100,1))</f>
        <v>39</v>
      </c>
      <c r="N787" s="37" t="str">
        <f aca="false">IF(OR(B787="",D787=""),"",IFERROR(IF(IF(E787="Primary",INDEX(Applications!$I$5:$I$600,MATCH(B787,Applications!$A$5:$A$600,0)),IF(E787="Secondary",INDEX(Applications!$J$5:$J$600,MATCH(B787,Applications!$A$5:$A$600,0)),INDEX(Applications!$K$5:$K$600,MATCH(B787,Applications!$A$5:$A$600,0))))=D787,"OK","Not assigned"),"Check ID"))</f>
        <v>OK</v>
      </c>
      <c r="O787" s="7"/>
    </row>
    <row r="788" customFormat="false" ht="15" hidden="false" customHeight="false" outlineLevel="0" collapsed="false">
      <c r="A788" s="35" t="s">
        <v>2185</v>
      </c>
      <c r="B788" s="35" t="s">
        <v>639</v>
      </c>
      <c r="C788" s="37" t="str">
        <f aca="false">IF(B788="","",IFERROR(INDEX(Applications!$B$5:$B$600,MATCH(B788,Applications!$A$5:$A$600,0)),"Application ID not found"))</f>
        <v>Willow Run Market Gardens</v>
      </c>
      <c r="D788" s="35" t="s">
        <v>85</v>
      </c>
      <c r="E788" s="35" t="s">
        <v>83</v>
      </c>
      <c r="F788" s="36" t="n">
        <v>45950</v>
      </c>
      <c r="G788" s="35" t="n">
        <v>4</v>
      </c>
      <c r="H788" s="35" t="n">
        <v>4</v>
      </c>
      <c r="I788" s="35" t="n">
        <v>3</v>
      </c>
      <c r="J788" s="35" t="n">
        <v>3</v>
      </c>
      <c r="K788" s="35" t="n">
        <v>4</v>
      </c>
      <c r="L788" s="35" t="n">
        <v>3</v>
      </c>
      <c r="M788" s="50" t="n">
        <f aca="false">IF(COUNT(G788:L788)&lt;6,"",ROUND((G788*Rubric!$D$5+H788*Rubric!$D$6+I788*Rubric!$D$7+J788*Rubric!$D$8+K788*Rubric!$D$9+L788*Rubric!$D$10)/5*100,1))</f>
        <v>71</v>
      </c>
      <c r="N788" s="37" t="str">
        <f aca="false">IF(OR(B788="",D788=""),"",IFERROR(IF(IF(E788="Primary",INDEX(Applications!$I$5:$I$600,MATCH(B788,Applications!$A$5:$A$600,0)),IF(E788="Secondary",INDEX(Applications!$J$5:$J$600,MATCH(B788,Applications!$A$5:$A$600,0)),INDEX(Applications!$K$5:$K$600,MATCH(B788,Applications!$A$5:$A$600,0))))=D788,"OK","Not assigned"),"Check ID"))</f>
        <v>OK</v>
      </c>
      <c r="O788" s="7"/>
    </row>
    <row r="789" customFormat="false" ht="15" hidden="false" customHeight="false" outlineLevel="0" collapsed="false">
      <c r="A789" s="35" t="s">
        <v>2186</v>
      </c>
      <c r="B789" s="35" t="s">
        <v>450</v>
      </c>
      <c r="C789" s="37" t="str">
        <f aca="false">IF(B789="","",IFERROR(INDEX(Applications!$B$5:$B$600,MATCH(B789,Applications!$A$5:$A$600,0)),"Application ID not found"))</f>
        <v>Juniper Community Pantry</v>
      </c>
      <c r="D789" s="35" t="s">
        <v>85</v>
      </c>
      <c r="E789" s="35" t="s">
        <v>80</v>
      </c>
      <c r="F789" s="36" t="n">
        <v>45950</v>
      </c>
      <c r="G789" s="35" t="n">
        <v>3</v>
      </c>
      <c r="H789" s="35" t="n">
        <v>3</v>
      </c>
      <c r="I789" s="35" t="n">
        <v>3</v>
      </c>
      <c r="J789" s="35" t="n">
        <v>2</v>
      </c>
      <c r="K789" s="35" t="n">
        <v>2</v>
      </c>
      <c r="L789" s="35" t="n">
        <v>3</v>
      </c>
      <c r="M789" s="50" t="n">
        <f aca="false">IF(COUNT(G789:L789)&lt;6,"",ROUND((G789*Rubric!$D$5+H789*Rubric!$D$6+I789*Rubric!$D$7+J789*Rubric!$D$8+K789*Rubric!$D$9+L789*Rubric!$D$10)/5*100,1))</f>
        <v>55</v>
      </c>
      <c r="N789" s="37" t="str">
        <f aca="false">IF(OR(B789="",D789=""),"",IFERROR(IF(IF(E789="Primary",INDEX(Applications!$I$5:$I$600,MATCH(B789,Applications!$A$5:$A$600,0)),IF(E789="Secondary",INDEX(Applications!$J$5:$J$600,MATCH(B789,Applications!$A$5:$A$600,0)),INDEX(Applications!$K$5:$K$600,MATCH(B789,Applications!$A$5:$A$600,0))))=D789,"OK","Not assigned"),"Check ID"))</f>
        <v>OK</v>
      </c>
      <c r="O789" s="7"/>
    </row>
    <row r="790" customFormat="false" ht="15" hidden="false" customHeight="false" outlineLevel="0" collapsed="false">
      <c r="A790" s="35" t="s">
        <v>2187</v>
      </c>
      <c r="B790" s="35" t="s">
        <v>534</v>
      </c>
      <c r="C790" s="37" t="str">
        <f aca="false">IF(B790="","",IFERROR(INDEX(Applications!$B$5:$B$600,MATCH(B790,Applications!$A$5:$A$600,0)),"Application ID not found"))</f>
        <v>Tidewater Farm Collective</v>
      </c>
      <c r="D790" s="35" t="s">
        <v>85</v>
      </c>
      <c r="E790" s="35" t="s">
        <v>86</v>
      </c>
      <c r="F790" s="36" t="n">
        <v>45950</v>
      </c>
      <c r="G790" s="35" t="n">
        <v>3</v>
      </c>
      <c r="H790" s="35" t="n">
        <v>2</v>
      </c>
      <c r="I790" s="35" t="n">
        <v>3</v>
      </c>
      <c r="J790" s="35" t="n">
        <v>3</v>
      </c>
      <c r="K790" s="35" t="n">
        <v>2</v>
      </c>
      <c r="L790" s="35" t="n">
        <v>3</v>
      </c>
      <c r="M790" s="50" t="n">
        <f aca="false">IF(COUNT(G790:L790)&lt;6,"",ROUND((G790*Rubric!$D$5+H790*Rubric!$D$6+I790*Rubric!$D$7+J790*Rubric!$D$8+K790*Rubric!$D$9+L790*Rubric!$D$10)/5*100,1))</f>
        <v>54</v>
      </c>
      <c r="N790" s="37" t="str">
        <f aca="false">IF(OR(B790="",D790=""),"",IFERROR(IF(IF(E790="Primary",INDEX(Applications!$I$5:$I$600,MATCH(B790,Applications!$A$5:$A$600,0)),IF(E790="Secondary",INDEX(Applications!$J$5:$J$600,MATCH(B790,Applications!$A$5:$A$600,0)),INDEX(Applications!$K$5:$K$600,MATCH(B790,Applications!$A$5:$A$600,0))))=D790,"OK","Not assigned"),"Check ID"))</f>
        <v>OK</v>
      </c>
      <c r="O790" s="7"/>
    </row>
    <row r="791" customFormat="false" ht="15" hidden="false" customHeight="false" outlineLevel="0" collapsed="false">
      <c r="A791" s="35" t="s">
        <v>2188</v>
      </c>
      <c r="B791" s="35" t="s">
        <v>1031</v>
      </c>
      <c r="C791" s="37" t="str">
        <f aca="false">IF(B791="","",IFERROR(INDEX(Applications!$B$5:$B$600,MATCH(B791,Applications!$A$5:$A$600,0)),"Application ID not found"))</f>
        <v>Valley Bakery Collective</v>
      </c>
      <c r="D791" s="35" t="s">
        <v>85</v>
      </c>
      <c r="E791" s="35" t="s">
        <v>86</v>
      </c>
      <c r="F791" s="36" t="n">
        <v>45950</v>
      </c>
      <c r="G791" s="35" t="n">
        <v>2</v>
      </c>
      <c r="H791" s="35" t="n">
        <v>3</v>
      </c>
      <c r="I791" s="35" t="n">
        <v>3</v>
      </c>
      <c r="J791" s="35" t="n">
        <v>3</v>
      </c>
      <c r="K791" s="35" t="n">
        <v>2</v>
      </c>
      <c r="L791" s="35" t="n">
        <v>2</v>
      </c>
      <c r="M791" s="50" t="n">
        <f aca="false">IF(COUNT(G791:L791)&lt;6,"",ROUND((G791*Rubric!$D$5+H791*Rubric!$D$6+I791*Rubric!$D$7+J791*Rubric!$D$8+K791*Rubric!$D$9+L791*Rubric!$D$10)/5*100,1))</f>
        <v>51</v>
      </c>
      <c r="N791" s="37" t="str">
        <f aca="false">IF(OR(B791="",D791=""),"",IFERROR(IF(IF(E791="Primary",INDEX(Applications!$I$5:$I$600,MATCH(B791,Applications!$A$5:$A$600,0)),IF(E791="Secondary",INDEX(Applications!$J$5:$J$600,MATCH(B791,Applications!$A$5:$A$600,0)),INDEX(Applications!$K$5:$K$600,MATCH(B791,Applications!$A$5:$A$600,0))))=D791,"OK","Not assigned"),"Check ID"))</f>
        <v>OK</v>
      </c>
      <c r="O791" s="7"/>
    </row>
    <row r="792" customFormat="false" ht="15" hidden="false" customHeight="false" outlineLevel="0" collapsed="false">
      <c r="A792" s="35" t="s">
        <v>2189</v>
      </c>
      <c r="B792" s="35" t="s">
        <v>1351</v>
      </c>
      <c r="C792" s="37" t="str">
        <f aca="false">IF(B792="","",IFERROR(INDEX(Applications!$B$5:$B$600,MATCH(B792,Applications!$A$5:$A$600,0)),"Application ID not found"))</f>
        <v>Greenway Pantry Network</v>
      </c>
      <c r="D792" s="35" t="s">
        <v>78</v>
      </c>
      <c r="E792" s="35" t="s">
        <v>80</v>
      </c>
      <c r="F792" s="36" t="n">
        <v>45951</v>
      </c>
      <c r="G792" s="35" t="n">
        <v>2</v>
      </c>
      <c r="H792" s="35" t="n">
        <v>2</v>
      </c>
      <c r="I792" s="35" t="n">
        <v>2</v>
      </c>
      <c r="J792" s="35" t="n">
        <v>2</v>
      </c>
      <c r="K792" s="35" t="n">
        <v>2</v>
      </c>
      <c r="L792" s="35" t="n">
        <v>2</v>
      </c>
      <c r="M792" s="50" t="n">
        <f aca="false">IF(COUNT(G792:L792)&lt;6,"",ROUND((G792*Rubric!$D$5+H792*Rubric!$D$6+I792*Rubric!$D$7+J792*Rubric!$D$8+K792*Rubric!$D$9+L792*Rubric!$D$10)/5*100,1))</f>
        <v>40</v>
      </c>
      <c r="N792" s="37" t="str">
        <f aca="false">IF(OR(B792="",D792=""),"",IFERROR(IF(IF(E792="Primary",INDEX(Applications!$I$5:$I$600,MATCH(B792,Applications!$A$5:$A$600,0)),IF(E792="Secondary",INDEX(Applications!$J$5:$J$600,MATCH(B792,Applications!$A$5:$A$600,0)),INDEX(Applications!$K$5:$K$600,MATCH(B792,Applications!$A$5:$A$600,0))))=D792,"OK","Not assigned"),"Check ID"))</f>
        <v>OK</v>
      </c>
      <c r="O792" s="7"/>
    </row>
    <row r="793" customFormat="false" ht="15" hidden="false" customHeight="false" outlineLevel="0" collapsed="false">
      <c r="A793" s="35" t="s">
        <v>2190</v>
      </c>
      <c r="B793" s="35" t="s">
        <v>331</v>
      </c>
      <c r="C793" s="37" t="str">
        <f aca="false">IF(B793="","",IFERROR(INDEX(Applications!$B$5:$B$600,MATCH(B793,Applications!$A$5:$A$600,0)),"Application ID not found"))</f>
        <v>Durham Youth Food Lab</v>
      </c>
      <c r="D793" s="35" t="s">
        <v>78</v>
      </c>
      <c r="E793" s="35" t="s">
        <v>83</v>
      </c>
      <c r="F793" s="36" t="n">
        <v>45951</v>
      </c>
      <c r="G793" s="35" t="n">
        <v>4</v>
      </c>
      <c r="H793" s="35" t="n">
        <v>4</v>
      </c>
      <c r="I793" s="35" t="n">
        <v>4</v>
      </c>
      <c r="J793" s="35" t="n">
        <v>4</v>
      </c>
      <c r="K793" s="35" t="n">
        <v>4</v>
      </c>
      <c r="L793" s="35" t="n">
        <v>5</v>
      </c>
      <c r="M793" s="50" t="n">
        <f aca="false">IF(COUNT(G793:L793)&lt;6,"",ROUND((G793*Rubric!$D$5+H793*Rubric!$D$6+I793*Rubric!$D$7+J793*Rubric!$D$8+K793*Rubric!$D$9+L793*Rubric!$D$10)/5*100,1))</f>
        <v>82</v>
      </c>
      <c r="N793" s="37" t="str">
        <f aca="false">IF(OR(B793="",D793=""),"",IFERROR(IF(IF(E793="Primary",INDEX(Applications!$I$5:$I$600,MATCH(B793,Applications!$A$5:$A$600,0)),IF(E793="Secondary",INDEX(Applications!$J$5:$J$600,MATCH(B793,Applications!$A$5:$A$600,0)),INDEX(Applications!$K$5:$K$600,MATCH(B793,Applications!$A$5:$A$600,0))))=D793,"OK","Not assigned"),"Check ID"))</f>
        <v>OK</v>
      </c>
      <c r="O793" s="7"/>
    </row>
    <row r="794" customFormat="false" ht="15" hidden="false" customHeight="false" outlineLevel="0" collapsed="false">
      <c r="A794" s="35" t="s">
        <v>2191</v>
      </c>
      <c r="B794" s="35" t="s">
        <v>661</v>
      </c>
      <c r="C794" s="37" t="str">
        <f aca="false">IF(B794="","",IFERROR(INDEX(Applications!$B$5:$B$600,MATCH(B794,Applications!$A$5:$A$600,0)),"Application ID not found"))</f>
        <v>Regina Youth Food Lab</v>
      </c>
      <c r="D794" s="35" t="s">
        <v>78</v>
      </c>
      <c r="E794" s="35" t="s">
        <v>83</v>
      </c>
      <c r="F794" s="36" t="n">
        <v>45951</v>
      </c>
      <c r="G794" s="35" t="n">
        <v>3</v>
      </c>
      <c r="H794" s="35" t="n">
        <v>4</v>
      </c>
      <c r="I794" s="35" t="n">
        <v>3</v>
      </c>
      <c r="J794" s="35" t="n">
        <v>4</v>
      </c>
      <c r="K794" s="35" t="n">
        <v>3</v>
      </c>
      <c r="L794" s="35" t="n">
        <v>4</v>
      </c>
      <c r="M794" s="50" t="n">
        <f aca="false">IF(COUNT(G794:L794)&lt;6,"",ROUND((G794*Rubric!$D$5+H794*Rubric!$D$6+I794*Rubric!$D$7+J794*Rubric!$D$8+K794*Rubric!$D$9+L794*Rubric!$D$10)/5*100,1))</f>
        <v>69</v>
      </c>
      <c r="N794" s="37" t="str">
        <f aca="false">IF(OR(B794="",D794=""),"",IFERROR(IF(IF(E794="Primary",INDEX(Applications!$I$5:$I$600,MATCH(B794,Applications!$A$5:$A$600,0)),IF(E794="Secondary",INDEX(Applications!$J$5:$J$600,MATCH(B794,Applications!$A$5:$A$600,0)),INDEX(Applications!$K$5:$K$600,MATCH(B794,Applications!$A$5:$A$600,0))))=D794,"OK","Not assigned"),"Check ID"))</f>
        <v>OK</v>
      </c>
      <c r="O794" s="7"/>
    </row>
    <row r="795" customFormat="false" ht="15" hidden="false" customHeight="false" outlineLevel="0" collapsed="false">
      <c r="A795" s="35" t="s">
        <v>2192</v>
      </c>
      <c r="B795" s="35" t="s">
        <v>1065</v>
      </c>
      <c r="C795" s="37" t="str">
        <f aca="false">IF(B795="","",IFERROR(INDEX(Applications!$B$5:$B$600,MATCH(B795,Applications!$A$5:$A$600,0)),"Application ID not found"))</f>
        <v>Leipzig Community Pantry</v>
      </c>
      <c r="D795" s="35" t="s">
        <v>78</v>
      </c>
      <c r="E795" s="35" t="s">
        <v>80</v>
      </c>
      <c r="F795" s="36" t="n">
        <v>45951</v>
      </c>
      <c r="G795" s="35" t="n">
        <v>5</v>
      </c>
      <c r="H795" s="35" t="n">
        <v>5</v>
      </c>
      <c r="I795" s="35" t="n">
        <v>5</v>
      </c>
      <c r="J795" s="35" t="n">
        <v>5</v>
      </c>
      <c r="K795" s="35" t="n">
        <v>5</v>
      </c>
      <c r="L795" s="35" t="n">
        <v>5</v>
      </c>
      <c r="M795" s="50" t="n">
        <f aca="false">IF(COUNT(G795:L795)&lt;6,"",ROUND((G795*Rubric!$D$5+H795*Rubric!$D$6+I795*Rubric!$D$7+J795*Rubric!$D$8+K795*Rubric!$D$9+L795*Rubric!$D$10)/5*100,1))</f>
        <v>100</v>
      </c>
      <c r="N795" s="37" t="str">
        <f aca="false">IF(OR(B795="",D795=""),"",IFERROR(IF(IF(E795="Primary",INDEX(Applications!$I$5:$I$600,MATCH(B795,Applications!$A$5:$A$600,0)),IF(E795="Secondary",INDEX(Applications!$J$5:$J$600,MATCH(B795,Applications!$A$5:$A$600,0)),INDEX(Applications!$K$5:$K$600,MATCH(B795,Applications!$A$5:$A$600,0))))=D795,"OK","Not assigned"),"Check ID"))</f>
        <v>OK</v>
      </c>
      <c r="O795" s="7"/>
    </row>
    <row r="796" customFormat="false" ht="15" hidden="false" customHeight="false" outlineLevel="0" collapsed="false">
      <c r="A796" s="35" t="s">
        <v>2193</v>
      </c>
      <c r="B796" s="35" t="s">
        <v>1185</v>
      </c>
      <c r="C796" s="37" t="str">
        <f aca="false">IF(B796="","",IFERROR(INDEX(Applications!$B$5:$B$600,MATCH(B796,Applications!$A$5:$A$600,0)),"Application ID not found"))</f>
        <v>Des Moines Schools Nutrition Fund</v>
      </c>
      <c r="D796" s="35" t="s">
        <v>78</v>
      </c>
      <c r="E796" s="35" t="s">
        <v>80</v>
      </c>
      <c r="F796" s="36" t="n">
        <v>45951</v>
      </c>
      <c r="G796" s="35" t="n">
        <v>5</v>
      </c>
      <c r="H796" s="35" t="n">
        <v>5</v>
      </c>
      <c r="I796" s="35" t="n">
        <v>5</v>
      </c>
      <c r="J796" s="35" t="n">
        <v>5</v>
      </c>
      <c r="K796" s="35" t="n">
        <v>5</v>
      </c>
      <c r="L796" s="35" t="n">
        <v>4</v>
      </c>
      <c r="M796" s="50" t="n">
        <f aca="false">IF(COUNT(G796:L796)&lt;6,"",ROUND((G796*Rubric!$D$5+H796*Rubric!$D$6+I796*Rubric!$D$7+J796*Rubric!$D$8+K796*Rubric!$D$9+L796*Rubric!$D$10)/5*100,1))</f>
        <v>98</v>
      </c>
      <c r="N796" s="37" t="str">
        <f aca="false">IF(OR(B796="",D796=""),"",IFERROR(IF(IF(E796="Primary",INDEX(Applications!$I$5:$I$600,MATCH(B796,Applications!$A$5:$A$600,0)),IF(E796="Secondary",INDEX(Applications!$J$5:$J$600,MATCH(B796,Applications!$A$5:$A$600,0)),INDEX(Applications!$K$5:$K$600,MATCH(B796,Applications!$A$5:$A$600,0))))=D796,"OK","Not assigned"),"Check ID"))</f>
        <v>OK</v>
      </c>
      <c r="O796" s="7"/>
    </row>
    <row r="797" customFormat="false" ht="15" hidden="false" customHeight="false" outlineLevel="0" collapsed="false">
      <c r="A797" s="35" t="s">
        <v>2194</v>
      </c>
      <c r="B797" s="35" t="s">
        <v>1041</v>
      </c>
      <c r="C797" s="37" t="str">
        <f aca="false">IF(B797="","",IFERROR(INDEX(Applications!$B$5:$B$600,MATCH(B797,Applications!$A$5:$A$600,0)),"Application ID not found"))</f>
        <v>Cologne Farm Collective</v>
      </c>
      <c r="D797" s="35" t="s">
        <v>78</v>
      </c>
      <c r="E797" s="35" t="s">
        <v>83</v>
      </c>
      <c r="F797" s="36" t="n">
        <v>45951</v>
      </c>
      <c r="G797" s="35" t="n">
        <v>3</v>
      </c>
      <c r="H797" s="35" t="n">
        <v>4</v>
      </c>
      <c r="I797" s="35" t="n">
        <v>3</v>
      </c>
      <c r="J797" s="35" t="n">
        <v>3</v>
      </c>
      <c r="K797" s="35" t="n">
        <v>3</v>
      </c>
      <c r="L797" s="35" t="n">
        <v>3</v>
      </c>
      <c r="M797" s="50" t="n">
        <f aca="false">IF(COUNT(G797:L797)&lt;6,"",ROUND((G797*Rubric!$D$5+H797*Rubric!$D$6+I797*Rubric!$D$7+J797*Rubric!$D$8+K797*Rubric!$D$9+L797*Rubric!$D$10)/5*100,1))</f>
        <v>64</v>
      </c>
      <c r="N797" s="37" t="str">
        <f aca="false">IF(OR(B797="",D797=""),"",IFERROR(IF(IF(E797="Primary",INDEX(Applications!$I$5:$I$600,MATCH(B797,Applications!$A$5:$A$600,0)),IF(E797="Secondary",INDEX(Applications!$J$5:$J$600,MATCH(B797,Applications!$A$5:$A$600,0)),INDEX(Applications!$K$5:$K$600,MATCH(B797,Applications!$A$5:$A$600,0))))=D797,"OK","Not assigned"),"Check ID"))</f>
        <v>OK</v>
      </c>
      <c r="O797" s="7"/>
    </row>
    <row r="798" customFormat="false" ht="15" hidden="false" customHeight="false" outlineLevel="0" collapsed="false">
      <c r="A798" s="35" t="s">
        <v>2195</v>
      </c>
      <c r="B798" s="35" t="s">
        <v>241</v>
      </c>
      <c r="C798" s="37" t="str">
        <f aca="false">IF(B798="","",IFERROR(INDEX(Applications!$B$5:$B$600,MATCH(B798,Applications!$A$5:$A$600,0)),"Application ID not found"))</f>
        <v>Adelaide Seed Library</v>
      </c>
      <c r="D798" s="35" t="s">
        <v>78</v>
      </c>
      <c r="E798" s="35" t="s">
        <v>83</v>
      </c>
      <c r="F798" s="36" t="n">
        <v>45951</v>
      </c>
      <c r="G798" s="35" t="n">
        <v>3</v>
      </c>
      <c r="H798" s="35" t="n">
        <v>3</v>
      </c>
      <c r="I798" s="35" t="n">
        <v>4</v>
      </c>
      <c r="J798" s="35" t="n">
        <v>3</v>
      </c>
      <c r="K798" s="35" t="n">
        <v>3</v>
      </c>
      <c r="L798" s="35" t="n">
        <v>3</v>
      </c>
      <c r="M798" s="50" t="n">
        <f aca="false">IF(COUNT(G798:L798)&lt;6,"",ROUND((G798*Rubric!$D$5+H798*Rubric!$D$6+I798*Rubric!$D$7+J798*Rubric!$D$8+K798*Rubric!$D$9+L798*Rubric!$D$10)/5*100,1))</f>
        <v>64</v>
      </c>
      <c r="N798" s="37" t="str">
        <f aca="false">IF(OR(B798="",D798=""),"",IFERROR(IF(IF(E798="Primary",INDEX(Applications!$I$5:$I$600,MATCH(B798,Applications!$A$5:$A$600,0)),IF(E798="Secondary",INDEX(Applications!$J$5:$J$600,MATCH(B798,Applications!$A$5:$A$600,0)),INDEX(Applications!$K$5:$K$600,MATCH(B798,Applications!$A$5:$A$600,0))))=D798,"OK","Not assigned"),"Check ID"))</f>
        <v>OK</v>
      </c>
      <c r="O798" s="7"/>
    </row>
    <row r="799" customFormat="false" ht="15" hidden="false" customHeight="false" outlineLevel="0" collapsed="false">
      <c r="A799" s="35" t="s">
        <v>2196</v>
      </c>
      <c r="B799" s="35" t="s">
        <v>1199</v>
      </c>
      <c r="C799" s="37" t="str">
        <f aca="false">IF(B799="","",IFERROR(INDEX(Applications!$B$5:$B$600,MATCH(B799,Applications!$A$5:$A$600,0)),"Application ID not found"))</f>
        <v>Arequipa Farm School</v>
      </c>
      <c r="D799" s="35" t="s">
        <v>78</v>
      </c>
      <c r="E799" s="35" t="s">
        <v>80</v>
      </c>
      <c r="F799" s="36" t="n">
        <v>45951</v>
      </c>
      <c r="G799" s="35" t="n">
        <v>4</v>
      </c>
      <c r="H799" s="35" t="n">
        <v>5</v>
      </c>
      <c r="I799" s="35" t="n">
        <v>4</v>
      </c>
      <c r="J799" s="35" t="n">
        <v>4</v>
      </c>
      <c r="K799" s="35" t="n">
        <v>4</v>
      </c>
      <c r="L799" s="35" t="n">
        <v>3</v>
      </c>
      <c r="M799" s="50" t="n">
        <f aca="false">IF(COUNT(G799:L799)&lt;6,"",ROUND((G799*Rubric!$D$5+H799*Rubric!$D$6+I799*Rubric!$D$7+J799*Rubric!$D$8+K799*Rubric!$D$9+L799*Rubric!$D$10)/5*100,1))</f>
        <v>82</v>
      </c>
      <c r="N799" s="37" t="str">
        <f aca="false">IF(OR(B799="",D799=""),"",IFERROR(IF(IF(E799="Primary",INDEX(Applications!$I$5:$I$600,MATCH(B799,Applications!$A$5:$A$600,0)),IF(E799="Secondary",INDEX(Applications!$J$5:$J$600,MATCH(B799,Applications!$A$5:$A$600,0)),INDEX(Applications!$K$5:$K$600,MATCH(B799,Applications!$A$5:$A$600,0))))=D799,"OK","Not assigned"),"Check ID"))</f>
        <v>OK</v>
      </c>
      <c r="O799" s="7"/>
    </row>
    <row r="800" customFormat="false" ht="15" hidden="false" customHeight="false" outlineLevel="0" collapsed="false">
      <c r="A800" s="35" t="s">
        <v>2197</v>
      </c>
      <c r="B800" s="35" t="s">
        <v>1311</v>
      </c>
      <c r="C800" s="37" t="str">
        <f aca="false">IF(B800="","",IFERROR(INDEX(Applications!$B$5:$B$600,MATCH(B800,Applications!$A$5:$A$600,0)),"Application ID not found"))</f>
        <v>Madison Growers Cooperative</v>
      </c>
      <c r="D800" s="35" t="s">
        <v>78</v>
      </c>
      <c r="E800" s="35" t="s">
        <v>83</v>
      </c>
      <c r="F800" s="36" t="n">
        <v>45951</v>
      </c>
      <c r="G800" s="35" t="n">
        <v>5</v>
      </c>
      <c r="H800" s="35" t="n">
        <v>5</v>
      </c>
      <c r="I800" s="35" t="n">
        <v>5</v>
      </c>
      <c r="J800" s="35" t="n">
        <v>5</v>
      </c>
      <c r="K800" s="35" t="n">
        <v>4</v>
      </c>
      <c r="L800" s="35" t="n">
        <v>4</v>
      </c>
      <c r="M800" s="50" t="n">
        <f aca="false">IF(COUNT(G800:L800)&lt;6,"",ROUND((G800*Rubric!$D$5+H800*Rubric!$D$6+I800*Rubric!$D$7+J800*Rubric!$D$8+K800*Rubric!$D$9+L800*Rubric!$D$10)/5*100,1))</f>
        <v>96</v>
      </c>
      <c r="N800" s="37" t="str">
        <f aca="false">IF(OR(B800="",D800=""),"",IFERROR(IF(IF(E800="Primary",INDEX(Applications!$I$5:$I$600,MATCH(B800,Applications!$A$5:$A$600,0)),IF(E800="Secondary",INDEX(Applications!$J$5:$J$600,MATCH(B800,Applications!$A$5:$A$600,0)),INDEX(Applications!$K$5:$K$600,MATCH(B800,Applications!$A$5:$A$600,0))))=D800,"OK","Not assigned"),"Check ID"))</f>
        <v>OK</v>
      </c>
      <c r="O800" s="7" t="s">
        <v>1493</v>
      </c>
    </row>
    <row r="801" customFormat="false" ht="15" hidden="false" customHeight="false" outlineLevel="0" collapsed="false">
      <c r="A801" s="35" t="s">
        <v>2198</v>
      </c>
      <c r="B801" s="35" t="s">
        <v>436</v>
      </c>
      <c r="C801" s="37" t="str">
        <f aca="false">IF(B801="","",IFERROR(INDEX(Applications!$B$5:$B$600,MATCH(B801,Applications!$A$5:$A$600,0)),"Application ID not found"))</f>
        <v>Marigold Pantry Network</v>
      </c>
      <c r="D801" s="35" t="s">
        <v>78</v>
      </c>
      <c r="E801" s="35" t="s">
        <v>83</v>
      </c>
      <c r="F801" s="36" t="n">
        <v>45951</v>
      </c>
      <c r="G801" s="35" t="n">
        <v>5</v>
      </c>
      <c r="H801" s="35" t="n">
        <v>5</v>
      </c>
      <c r="I801" s="35" t="n">
        <v>5</v>
      </c>
      <c r="J801" s="35" t="n">
        <v>5</v>
      </c>
      <c r="K801" s="35" t="n">
        <v>5</v>
      </c>
      <c r="L801" s="35" t="n">
        <v>4</v>
      </c>
      <c r="M801" s="50" t="n">
        <f aca="false">IF(COUNT(G801:L801)&lt;6,"",ROUND((G801*Rubric!$D$5+H801*Rubric!$D$6+I801*Rubric!$D$7+J801*Rubric!$D$8+K801*Rubric!$D$9+L801*Rubric!$D$10)/5*100,1))</f>
        <v>98</v>
      </c>
      <c r="N801" s="37" t="str">
        <f aca="false">IF(OR(B801="",D801=""),"",IFERROR(IF(IF(E801="Primary",INDEX(Applications!$I$5:$I$600,MATCH(B801,Applications!$A$5:$A$600,0)),IF(E801="Secondary",INDEX(Applications!$J$5:$J$600,MATCH(B801,Applications!$A$5:$A$600,0)),INDEX(Applications!$K$5:$K$600,MATCH(B801,Applications!$A$5:$A$600,0))))=D801,"OK","Not assigned"),"Check ID"))</f>
        <v>OK</v>
      </c>
      <c r="O801" s="7" t="s">
        <v>1493</v>
      </c>
    </row>
    <row r="802" customFormat="false" ht="15" hidden="false" customHeight="false" outlineLevel="0" collapsed="false">
      <c r="A802" s="35" t="s">
        <v>2199</v>
      </c>
      <c r="B802" s="35" t="s">
        <v>947</v>
      </c>
      <c r="C802" s="37" t="str">
        <f aca="false">IF(B802="","",IFERROR(INDEX(Applications!$B$5:$B$600,MATCH(B802,Applications!$A$5:$A$600,0)),"Application ID not found"))</f>
        <v>Open Door Food Shelf</v>
      </c>
      <c r="D802" s="35" t="s">
        <v>78</v>
      </c>
      <c r="E802" s="35" t="s">
        <v>80</v>
      </c>
      <c r="F802" s="36" t="n">
        <v>45951</v>
      </c>
      <c r="G802" s="35" t="n">
        <v>5</v>
      </c>
      <c r="H802" s="35" t="n">
        <v>5</v>
      </c>
      <c r="I802" s="35" t="n">
        <v>4</v>
      </c>
      <c r="J802" s="35" t="n">
        <v>4</v>
      </c>
      <c r="K802" s="35" t="n">
        <v>4</v>
      </c>
      <c r="L802" s="35" t="n">
        <v>5</v>
      </c>
      <c r="M802" s="50" t="n">
        <f aca="false">IF(COUNT(G802:L802)&lt;6,"",ROUND((G802*Rubric!$D$5+H802*Rubric!$D$6+I802*Rubric!$D$7+J802*Rubric!$D$8+K802*Rubric!$D$9+L802*Rubric!$D$10)/5*100,1))</f>
        <v>91</v>
      </c>
      <c r="N802" s="37" t="str">
        <f aca="false">IF(OR(B802="",D802=""),"",IFERROR(IF(IF(E802="Primary",INDEX(Applications!$I$5:$I$600,MATCH(B802,Applications!$A$5:$A$600,0)),IF(E802="Secondary",INDEX(Applications!$J$5:$J$600,MATCH(B802,Applications!$A$5:$A$600,0)),INDEX(Applications!$K$5:$K$600,MATCH(B802,Applications!$A$5:$A$600,0))))=D802,"OK","Not assigned"),"Check ID"))</f>
        <v>OK</v>
      </c>
      <c r="O802" s="7"/>
    </row>
    <row r="803" customFormat="false" ht="15" hidden="false" customHeight="false" outlineLevel="0" collapsed="false">
      <c r="A803" s="35" t="s">
        <v>2200</v>
      </c>
      <c r="B803" s="35" t="s">
        <v>514</v>
      </c>
      <c r="C803" s="37" t="str">
        <f aca="false">IF(B803="","",IFERROR(INDEX(Applications!$B$5:$B$600,MATCH(B803,Applications!$A$5:$A$600,0)),"Application ID not found"))</f>
        <v>Utrecht Farm Collective</v>
      </c>
      <c r="D803" s="35" t="s">
        <v>78</v>
      </c>
      <c r="E803" s="35" t="s">
        <v>80</v>
      </c>
      <c r="F803" s="36" t="n">
        <v>45951</v>
      </c>
      <c r="G803" s="35" t="n">
        <v>3</v>
      </c>
      <c r="H803" s="35" t="n">
        <v>4</v>
      </c>
      <c r="I803" s="35" t="n">
        <v>4</v>
      </c>
      <c r="J803" s="35" t="n">
        <v>3</v>
      </c>
      <c r="K803" s="35" t="n">
        <v>3</v>
      </c>
      <c r="L803" s="35" t="n">
        <v>3</v>
      </c>
      <c r="M803" s="50" t="n">
        <f aca="false">IF(COUNT(G803:L803)&lt;6,"",ROUND((G803*Rubric!$D$5+H803*Rubric!$D$6+I803*Rubric!$D$7+J803*Rubric!$D$8+K803*Rubric!$D$9+L803*Rubric!$D$10)/5*100,1))</f>
        <v>68</v>
      </c>
      <c r="N803" s="37" t="str">
        <f aca="false">IF(OR(B803="",D803=""),"",IFERROR(IF(IF(E803="Primary",INDEX(Applications!$I$5:$I$600,MATCH(B803,Applications!$A$5:$A$600,0)),IF(E803="Secondary",INDEX(Applications!$J$5:$J$600,MATCH(B803,Applications!$A$5:$A$600,0)),INDEX(Applications!$K$5:$K$600,MATCH(B803,Applications!$A$5:$A$600,0))))=D803,"OK","Not assigned"),"Check ID"))</f>
        <v>OK</v>
      </c>
      <c r="O803" s="7" t="s">
        <v>1428</v>
      </c>
    </row>
    <row r="804" customFormat="false" ht="15" hidden="false" customHeight="false" outlineLevel="0" collapsed="false">
      <c r="A804" s="35" t="s">
        <v>2201</v>
      </c>
      <c r="B804" s="35" t="s">
        <v>1063</v>
      </c>
      <c r="C804" s="37" t="str">
        <f aca="false">IF(B804="","",IFERROR(INDEX(Applications!$B$5:$B$600,MATCH(B804,Applications!$A$5:$A$600,0)),"Application ID not found"))</f>
        <v>Riverbend Culinary Works</v>
      </c>
      <c r="D804" s="35" t="s">
        <v>78</v>
      </c>
      <c r="E804" s="35" t="s">
        <v>80</v>
      </c>
      <c r="F804" s="36" t="n">
        <v>45951</v>
      </c>
      <c r="G804" s="35" t="n">
        <v>4</v>
      </c>
      <c r="H804" s="35" t="n">
        <v>4</v>
      </c>
      <c r="I804" s="35" t="n">
        <v>3</v>
      </c>
      <c r="J804" s="35" t="n">
        <v>4</v>
      </c>
      <c r="K804" s="35" t="n">
        <v>3</v>
      </c>
      <c r="L804" s="35" t="n">
        <v>3</v>
      </c>
      <c r="M804" s="50" t="n">
        <f aca="false">IF(COUNT(G804:L804)&lt;6,"",ROUND((G804*Rubric!$D$5+H804*Rubric!$D$6+I804*Rubric!$D$7+J804*Rubric!$D$8+K804*Rubric!$D$9+L804*Rubric!$D$10)/5*100,1))</f>
        <v>72</v>
      </c>
      <c r="N804" s="37" t="str">
        <f aca="false">IF(OR(B804="",D804=""),"",IFERROR(IF(IF(E804="Primary",INDEX(Applications!$I$5:$I$600,MATCH(B804,Applications!$A$5:$A$600,0)),IF(E804="Secondary",INDEX(Applications!$J$5:$J$600,MATCH(B804,Applications!$A$5:$A$600,0)),INDEX(Applications!$K$5:$K$600,MATCH(B804,Applications!$A$5:$A$600,0))))=D804,"OK","Not assigned"),"Check ID"))</f>
        <v>OK</v>
      </c>
      <c r="O804" s="7"/>
    </row>
    <row r="805" customFormat="false" ht="15" hidden="false" customHeight="false" outlineLevel="0" collapsed="false">
      <c r="A805" s="35" t="s">
        <v>2202</v>
      </c>
      <c r="B805" s="35" t="s">
        <v>349</v>
      </c>
      <c r="C805" s="37" t="str">
        <f aca="false">IF(B805="","",IFERROR(INDEX(Applications!$B$5:$B$600,MATCH(B805,Applications!$A$5:$A$600,0)),"Application ID not found"))</f>
        <v>Commonground Cafe Training Program</v>
      </c>
      <c r="D805" s="35" t="s">
        <v>82</v>
      </c>
      <c r="E805" s="35" t="s">
        <v>80</v>
      </c>
      <c r="F805" s="36" t="n">
        <v>45951</v>
      </c>
      <c r="G805" s="35" t="n">
        <v>2</v>
      </c>
      <c r="H805" s="35" t="n">
        <v>3</v>
      </c>
      <c r="I805" s="35" t="n">
        <v>3</v>
      </c>
      <c r="J805" s="35" t="n">
        <v>3</v>
      </c>
      <c r="K805" s="35" t="n">
        <v>3</v>
      </c>
      <c r="L805" s="35" t="n">
        <v>3</v>
      </c>
      <c r="M805" s="50" t="n">
        <f aca="false">IF(COUNT(G805:L805)&lt;6,"",ROUND((G805*Rubric!$D$5+H805*Rubric!$D$6+I805*Rubric!$D$7+J805*Rubric!$D$8+K805*Rubric!$D$9+L805*Rubric!$D$10)/5*100,1))</f>
        <v>55</v>
      </c>
      <c r="N805" s="37" t="str">
        <f aca="false">IF(OR(B805="",D805=""),"",IFERROR(IF(IF(E805="Primary",INDEX(Applications!$I$5:$I$600,MATCH(B805,Applications!$A$5:$A$600,0)),IF(E805="Secondary",INDEX(Applications!$J$5:$J$600,MATCH(B805,Applications!$A$5:$A$600,0)),INDEX(Applications!$K$5:$K$600,MATCH(B805,Applications!$A$5:$A$600,0))))=D805,"OK","Not assigned"),"Check ID"))</f>
        <v>OK</v>
      </c>
      <c r="O805" s="7" t="s">
        <v>1592</v>
      </c>
    </row>
    <row r="806" customFormat="false" ht="15" hidden="false" customHeight="false" outlineLevel="0" collapsed="false">
      <c r="A806" s="35" t="s">
        <v>2203</v>
      </c>
      <c r="B806" s="35" t="s">
        <v>563</v>
      </c>
      <c r="C806" s="37" t="str">
        <f aca="false">IF(B806="","",IFERROR(INDEX(Applications!$B$5:$B$600,MATCH(B806,Applications!$A$5:$A$600,0)),"Application ID not found"))</f>
        <v>Guadalajara Community Kitchen</v>
      </c>
      <c r="D806" s="35" t="s">
        <v>82</v>
      </c>
      <c r="E806" s="35" t="s">
        <v>80</v>
      </c>
      <c r="F806" s="36" t="n">
        <v>45951</v>
      </c>
      <c r="G806" s="35" t="n">
        <v>4</v>
      </c>
      <c r="H806" s="35" t="n">
        <v>4</v>
      </c>
      <c r="I806" s="35" t="n">
        <v>4</v>
      </c>
      <c r="J806" s="35" t="n">
        <v>4</v>
      </c>
      <c r="K806" s="35" t="n">
        <v>4</v>
      </c>
      <c r="L806" s="35" t="n">
        <v>4</v>
      </c>
      <c r="M806" s="50" t="n">
        <f aca="false">IF(COUNT(G806:L806)&lt;6,"",ROUND((G806*Rubric!$D$5+H806*Rubric!$D$6+I806*Rubric!$D$7+J806*Rubric!$D$8+K806*Rubric!$D$9+L806*Rubric!$D$10)/5*100,1))</f>
        <v>80</v>
      </c>
      <c r="N806" s="37" t="str">
        <f aca="false">IF(OR(B806="",D806=""),"",IFERROR(IF(IF(E806="Primary",INDEX(Applications!$I$5:$I$600,MATCH(B806,Applications!$A$5:$A$600,0)),IF(E806="Secondary",INDEX(Applications!$J$5:$J$600,MATCH(B806,Applications!$A$5:$A$600,0)),INDEX(Applications!$K$5:$K$600,MATCH(B806,Applications!$A$5:$A$600,0))))=D806,"OK","Not assigned"),"Check ID"))</f>
        <v>OK</v>
      </c>
      <c r="O806" s="7"/>
    </row>
    <row r="807" customFormat="false" ht="15" hidden="false" customHeight="false" outlineLevel="0" collapsed="false">
      <c r="A807" s="35" t="s">
        <v>2204</v>
      </c>
      <c r="B807" s="35" t="s">
        <v>353</v>
      </c>
      <c r="C807" s="37" t="str">
        <f aca="false">IF(B807="","",IFERROR(INDEX(Applications!$B$5:$B$600,MATCH(B807,Applications!$A$5:$A$600,0)),"Application ID not found"))</f>
        <v>Pune Farm Collective</v>
      </c>
      <c r="D807" s="35" t="s">
        <v>82</v>
      </c>
      <c r="E807" s="35" t="s">
        <v>80</v>
      </c>
      <c r="F807" s="36" t="n">
        <v>45951</v>
      </c>
      <c r="G807" s="35" t="n">
        <v>4</v>
      </c>
      <c r="H807" s="35" t="n">
        <v>3</v>
      </c>
      <c r="I807" s="35" t="n">
        <v>5</v>
      </c>
      <c r="J807" s="35" t="n">
        <v>3</v>
      </c>
      <c r="K807" s="35" t="n">
        <v>4</v>
      </c>
      <c r="L807" s="35" t="n">
        <v>5</v>
      </c>
      <c r="M807" s="50" t="n">
        <f aca="false">IF(COUNT(G807:L807)&lt;6,"",ROUND((G807*Rubric!$D$5+H807*Rubric!$D$6+I807*Rubric!$D$7+J807*Rubric!$D$8+K807*Rubric!$D$9+L807*Rubric!$D$10)/5*100,1))</f>
        <v>79</v>
      </c>
      <c r="N807" s="37" t="str">
        <f aca="false">IF(OR(B807="",D807=""),"",IFERROR(IF(IF(E807="Primary",INDEX(Applications!$I$5:$I$600,MATCH(B807,Applications!$A$5:$A$600,0)),IF(E807="Secondary",INDEX(Applications!$J$5:$J$600,MATCH(B807,Applications!$A$5:$A$600,0)),INDEX(Applications!$K$5:$K$600,MATCH(B807,Applications!$A$5:$A$600,0))))=D807,"OK","Not assigned"),"Check ID"))</f>
        <v>OK</v>
      </c>
      <c r="O807" s="7"/>
    </row>
    <row r="808" customFormat="false" ht="15" hidden="false" customHeight="false" outlineLevel="0" collapsed="false">
      <c r="A808" s="35" t="s">
        <v>2205</v>
      </c>
      <c r="B808" s="35" t="s">
        <v>669</v>
      </c>
      <c r="C808" s="37" t="str">
        <f aca="false">IF(B808="","",IFERROR(INDEX(Applications!$B$5:$B$600,MATCH(B808,Applications!$A$5:$A$600,0)),"Application ID not found"))</f>
        <v>Ironwood Food Shelf</v>
      </c>
      <c r="D808" s="35" t="s">
        <v>82</v>
      </c>
      <c r="E808" s="35" t="s">
        <v>80</v>
      </c>
      <c r="F808" s="36" t="n">
        <v>45951</v>
      </c>
      <c r="G808" s="35" t="n">
        <v>3</v>
      </c>
      <c r="H808" s="35" t="n">
        <v>3</v>
      </c>
      <c r="I808" s="35" t="n">
        <v>3</v>
      </c>
      <c r="J808" s="35" t="n">
        <v>4</v>
      </c>
      <c r="K808" s="35" t="n">
        <v>4</v>
      </c>
      <c r="L808" s="35" t="n">
        <v>4</v>
      </c>
      <c r="M808" s="50" t="n">
        <f aca="false">IF(COUNT(G808:L808)&lt;6,"",ROUND((G808*Rubric!$D$5+H808*Rubric!$D$6+I808*Rubric!$D$7+J808*Rubric!$D$8+K808*Rubric!$D$9+L808*Rubric!$D$10)/5*100,1))</f>
        <v>67</v>
      </c>
      <c r="N808" s="37" t="str">
        <f aca="false">IF(OR(B808="",D808=""),"",IFERROR(IF(IF(E808="Primary",INDEX(Applications!$I$5:$I$600,MATCH(B808,Applications!$A$5:$A$600,0)),IF(E808="Secondary",INDEX(Applications!$J$5:$J$600,MATCH(B808,Applications!$A$5:$A$600,0)),INDEX(Applications!$K$5:$K$600,MATCH(B808,Applications!$A$5:$A$600,0))))=D808,"OK","Not assigned"),"Check ID"))</f>
        <v>OK</v>
      </c>
      <c r="O808" s="7"/>
    </row>
    <row r="809" customFormat="false" ht="15" hidden="false" customHeight="false" outlineLevel="0" collapsed="false">
      <c r="A809" s="35" t="s">
        <v>2206</v>
      </c>
      <c r="B809" s="35" t="s">
        <v>665</v>
      </c>
      <c r="C809" s="37" t="str">
        <f aca="false">IF(B809="","",IFERROR(INDEX(Applications!$B$5:$B$600,MATCH(B809,Applications!$A$5:$A$600,0)),"Application ID not found"))</f>
        <v>Kestrel Pantry Network</v>
      </c>
      <c r="D809" s="35" t="s">
        <v>82</v>
      </c>
      <c r="E809" s="35" t="s">
        <v>83</v>
      </c>
      <c r="F809" s="36" t="n">
        <v>45951</v>
      </c>
      <c r="G809" s="35" t="n">
        <v>4</v>
      </c>
      <c r="H809" s="35" t="n">
        <v>3</v>
      </c>
      <c r="I809" s="35" t="n">
        <v>3</v>
      </c>
      <c r="J809" s="35" t="n">
        <v>3</v>
      </c>
      <c r="K809" s="35" t="n">
        <v>3</v>
      </c>
      <c r="L809" s="35" t="n">
        <v>3</v>
      </c>
      <c r="M809" s="50" t="n">
        <f aca="false">IF(COUNT(G809:L809)&lt;6,"",ROUND((G809*Rubric!$D$5+H809*Rubric!$D$6+I809*Rubric!$D$7+J809*Rubric!$D$8+K809*Rubric!$D$9+L809*Rubric!$D$10)/5*100,1))</f>
        <v>65</v>
      </c>
      <c r="N809" s="37" t="str">
        <f aca="false">IF(OR(B809="",D809=""),"",IFERROR(IF(IF(E809="Primary",INDEX(Applications!$I$5:$I$600,MATCH(B809,Applications!$A$5:$A$600,0)),IF(E809="Secondary",INDEX(Applications!$J$5:$J$600,MATCH(B809,Applications!$A$5:$A$600,0)),INDEX(Applications!$K$5:$K$600,MATCH(B809,Applications!$A$5:$A$600,0))))=D809,"OK","Not assigned"),"Check ID"))</f>
        <v>OK</v>
      </c>
      <c r="O809" s="7"/>
    </row>
    <row r="810" customFormat="false" ht="15" hidden="false" customHeight="false" outlineLevel="0" collapsed="false">
      <c r="A810" s="35" t="s">
        <v>2207</v>
      </c>
      <c r="B810" s="35" t="s">
        <v>1211</v>
      </c>
      <c r="C810" s="37" t="str">
        <f aca="false">IF(B810="","",IFERROR(INDEX(Applications!$B$5:$B$600,MATCH(B810,Applications!$A$5:$A$600,0)),"Application ID not found"))</f>
        <v>Chicago Food Bank</v>
      </c>
      <c r="D810" s="35" t="s">
        <v>82</v>
      </c>
      <c r="E810" s="35" t="s">
        <v>80</v>
      </c>
      <c r="F810" s="36" t="n">
        <v>45951</v>
      </c>
      <c r="G810" s="35" t="n">
        <v>3</v>
      </c>
      <c r="H810" s="35" t="n">
        <v>3</v>
      </c>
      <c r="I810" s="35" t="n">
        <v>3</v>
      </c>
      <c r="J810" s="35" t="n">
        <v>3</v>
      </c>
      <c r="K810" s="35" t="n">
        <v>3</v>
      </c>
      <c r="L810" s="35" t="n">
        <v>2</v>
      </c>
      <c r="M810" s="50" t="n">
        <f aca="false">IF(COUNT(G810:L810)&lt;6,"",ROUND((G810*Rubric!$D$5+H810*Rubric!$D$6+I810*Rubric!$D$7+J810*Rubric!$D$8+K810*Rubric!$D$9+L810*Rubric!$D$10)/5*100,1))</f>
        <v>58</v>
      </c>
      <c r="N810" s="37" t="str">
        <f aca="false">IF(OR(B810="",D810=""),"",IFERROR(IF(IF(E810="Primary",INDEX(Applications!$I$5:$I$600,MATCH(B810,Applications!$A$5:$A$600,0)),IF(E810="Secondary",INDEX(Applications!$J$5:$J$600,MATCH(B810,Applications!$A$5:$A$600,0)),INDEX(Applications!$K$5:$K$600,MATCH(B810,Applications!$A$5:$A$600,0))))=D810,"OK","Not assigned"),"Check ID"))</f>
        <v>OK</v>
      </c>
      <c r="O810" s="7"/>
    </row>
    <row r="811" customFormat="false" ht="15" hidden="false" customHeight="false" outlineLevel="0" collapsed="false">
      <c r="A811" s="35" t="s">
        <v>2208</v>
      </c>
      <c r="B811" s="35" t="s">
        <v>1259</v>
      </c>
      <c r="C811" s="37" t="str">
        <f aca="false">IF(B811="","",IFERROR(INDEX(Applications!$B$5:$B$600,MATCH(B811,Applications!$A$5:$A$600,0)),"Application ID not found"))</f>
        <v>Prairie Food Shelf</v>
      </c>
      <c r="D811" s="35" t="s">
        <v>82</v>
      </c>
      <c r="E811" s="35" t="s">
        <v>80</v>
      </c>
      <c r="F811" s="36" t="n">
        <v>45951</v>
      </c>
      <c r="G811" s="35" t="n">
        <v>3</v>
      </c>
      <c r="H811" s="35" t="n">
        <v>2</v>
      </c>
      <c r="I811" s="35" t="n">
        <v>2</v>
      </c>
      <c r="J811" s="35" t="n">
        <v>3</v>
      </c>
      <c r="K811" s="35" t="n">
        <v>2</v>
      </c>
      <c r="L811" s="35" t="n">
        <v>3</v>
      </c>
      <c r="M811" s="50" t="n">
        <f aca="false">IF(COUNT(G811:L811)&lt;6,"",ROUND((G811*Rubric!$D$5+H811*Rubric!$D$6+I811*Rubric!$D$7+J811*Rubric!$D$8+K811*Rubric!$D$9+L811*Rubric!$D$10)/5*100,1))</f>
        <v>50</v>
      </c>
      <c r="N811" s="37" t="str">
        <f aca="false">IF(OR(B811="",D811=""),"",IFERROR(IF(IF(E811="Primary",INDEX(Applications!$I$5:$I$600,MATCH(B811,Applications!$A$5:$A$600,0)),IF(E811="Secondary",INDEX(Applications!$J$5:$J$600,MATCH(B811,Applications!$A$5:$A$600,0)),INDEX(Applications!$K$5:$K$600,MATCH(B811,Applications!$A$5:$A$600,0))))=D811,"OK","Not assigned"),"Check ID"))</f>
        <v>OK</v>
      </c>
      <c r="O811" s="7"/>
    </row>
    <row r="812" customFormat="false" ht="15" hidden="false" customHeight="false" outlineLevel="0" collapsed="false">
      <c r="A812" s="35" t="s">
        <v>2209</v>
      </c>
      <c r="B812" s="35" t="s">
        <v>216</v>
      </c>
      <c r="C812" s="37" t="str">
        <f aca="false">IF(B812="","",IFERROR(INDEX(Applications!$B$5:$B$600,MATCH(B812,Applications!$A$5:$A$600,0)),"Application ID not found"))</f>
        <v>Southfield Family Center</v>
      </c>
      <c r="D812" s="35" t="s">
        <v>82</v>
      </c>
      <c r="E812" s="35" t="s">
        <v>80</v>
      </c>
      <c r="F812" s="36" t="n">
        <v>45951</v>
      </c>
      <c r="G812" s="35" t="n">
        <v>3</v>
      </c>
      <c r="H812" s="35" t="n">
        <v>2</v>
      </c>
      <c r="I812" s="35" t="n">
        <v>2</v>
      </c>
      <c r="J812" s="35" t="n">
        <v>3</v>
      </c>
      <c r="K812" s="35" t="n">
        <v>3</v>
      </c>
      <c r="L812" s="35" t="n">
        <v>2</v>
      </c>
      <c r="M812" s="50" t="n">
        <f aca="false">IF(COUNT(G812:L812)&lt;6,"",ROUND((G812*Rubric!$D$5+H812*Rubric!$D$6+I812*Rubric!$D$7+J812*Rubric!$D$8+K812*Rubric!$D$9+L812*Rubric!$D$10)/5*100,1))</f>
        <v>50</v>
      </c>
      <c r="N812" s="37" t="str">
        <f aca="false">IF(OR(B812="",D812=""),"",IFERROR(IF(IF(E812="Primary",INDEX(Applications!$I$5:$I$600,MATCH(B812,Applications!$A$5:$A$600,0)),IF(E812="Secondary",INDEX(Applications!$J$5:$J$600,MATCH(B812,Applications!$A$5:$A$600,0)),INDEX(Applications!$K$5:$K$600,MATCH(B812,Applications!$A$5:$A$600,0))))=D812,"OK","Not assigned"),"Check ID"))</f>
        <v>OK</v>
      </c>
      <c r="O812" s="7"/>
    </row>
    <row r="813" customFormat="false" ht="15" hidden="false" customHeight="false" outlineLevel="0" collapsed="false">
      <c r="A813" s="35" t="s">
        <v>2210</v>
      </c>
      <c r="B813" s="35" t="s">
        <v>1309</v>
      </c>
      <c r="C813" s="37" t="str">
        <f aca="false">IF(B813="","",IFERROR(INDEX(Applications!$B$5:$B$600,MATCH(B813,Applications!$A$5:$A$600,0)),"Application ID not found"))</f>
        <v>Hamburg Mobile Market</v>
      </c>
      <c r="D813" s="35" t="s">
        <v>82</v>
      </c>
      <c r="E813" s="35" t="s">
        <v>83</v>
      </c>
      <c r="F813" s="36" t="n">
        <v>45951</v>
      </c>
      <c r="G813" s="35" t="n">
        <v>3</v>
      </c>
      <c r="H813" s="35" t="n">
        <v>4</v>
      </c>
      <c r="I813" s="35" t="n">
        <v>3</v>
      </c>
      <c r="J813" s="35" t="n">
        <v>3</v>
      </c>
      <c r="K813" s="35" t="n">
        <v>3</v>
      </c>
      <c r="L813" s="35" t="n">
        <v>3</v>
      </c>
      <c r="M813" s="50" t="n">
        <f aca="false">IF(COUNT(G813:L813)&lt;6,"",ROUND((G813*Rubric!$D$5+H813*Rubric!$D$6+I813*Rubric!$D$7+J813*Rubric!$D$8+K813*Rubric!$D$9+L813*Rubric!$D$10)/5*100,1))</f>
        <v>64</v>
      </c>
      <c r="N813" s="37" t="str">
        <f aca="false">IF(OR(B813="",D813=""),"",IFERROR(IF(IF(E813="Primary",INDEX(Applications!$I$5:$I$600,MATCH(B813,Applications!$A$5:$A$600,0)),IF(E813="Secondary",INDEX(Applications!$J$5:$J$600,MATCH(B813,Applications!$A$5:$A$600,0)),INDEX(Applications!$K$5:$K$600,MATCH(B813,Applications!$A$5:$A$600,0))))=D813,"OK","Not assigned"),"Check ID"))</f>
        <v>OK</v>
      </c>
      <c r="O813" s="7"/>
    </row>
    <row r="814" customFormat="false" ht="15" hidden="false" customHeight="false" outlineLevel="0" collapsed="false">
      <c r="A814" s="35" t="s">
        <v>2211</v>
      </c>
      <c r="B814" s="35" t="s">
        <v>319</v>
      </c>
      <c r="C814" s="37" t="str">
        <f aca="false">IF(B814="","",IFERROR(INDEX(Applications!$B$5:$B$600,MATCH(B814,Applications!$A$5:$A$600,0)),"Application ID not found"))</f>
        <v>Lakeshore Bakery Collective</v>
      </c>
      <c r="D814" s="35" t="s">
        <v>82</v>
      </c>
      <c r="E814" s="35" t="s">
        <v>80</v>
      </c>
      <c r="F814" s="36" t="n">
        <v>45951</v>
      </c>
      <c r="G814" s="35" t="n">
        <v>3</v>
      </c>
      <c r="H814" s="35" t="n">
        <v>3</v>
      </c>
      <c r="I814" s="35" t="n">
        <v>2</v>
      </c>
      <c r="J814" s="35" t="n">
        <v>3</v>
      </c>
      <c r="K814" s="35" t="n">
        <v>3</v>
      </c>
      <c r="L814" s="35" t="n">
        <v>3</v>
      </c>
      <c r="M814" s="50" t="n">
        <f aca="false">IF(COUNT(G814:L814)&lt;6,"",ROUND((G814*Rubric!$D$5+H814*Rubric!$D$6+I814*Rubric!$D$7+J814*Rubric!$D$8+K814*Rubric!$D$9+L814*Rubric!$D$10)/5*100,1))</f>
        <v>56</v>
      </c>
      <c r="N814" s="37" t="str">
        <f aca="false">IF(OR(B814="",D814=""),"",IFERROR(IF(IF(E814="Primary",INDEX(Applications!$I$5:$I$600,MATCH(B814,Applications!$A$5:$A$600,0)),IF(E814="Secondary",INDEX(Applications!$J$5:$J$600,MATCH(B814,Applications!$A$5:$A$600,0)),INDEX(Applications!$K$5:$K$600,MATCH(B814,Applications!$A$5:$A$600,0))))=D814,"OK","Not assigned"),"Check ID"))</f>
        <v>OK</v>
      </c>
      <c r="O814" s="7"/>
    </row>
    <row r="815" customFormat="false" ht="15" hidden="false" customHeight="false" outlineLevel="0" collapsed="false">
      <c r="A815" s="35" t="s">
        <v>2212</v>
      </c>
      <c r="B815" s="35" t="s">
        <v>1255</v>
      </c>
      <c r="C815" s="37" t="str">
        <f aca="false">IF(B815="","",IFERROR(INDEX(Applications!$B$5:$B$600,MATCH(B815,Applications!$A$5:$A$600,0)),"Application ID not found"))</f>
        <v>Bogotá Pantry Network</v>
      </c>
      <c r="D815" s="35" t="s">
        <v>82</v>
      </c>
      <c r="E815" s="35" t="s">
        <v>80</v>
      </c>
      <c r="F815" s="36" t="n">
        <v>45951</v>
      </c>
      <c r="G815" s="35" t="n">
        <v>3</v>
      </c>
      <c r="H815" s="35" t="n">
        <v>3</v>
      </c>
      <c r="I815" s="35" t="n">
        <v>3</v>
      </c>
      <c r="J815" s="35" t="n">
        <v>3</v>
      </c>
      <c r="K815" s="35" t="n">
        <v>3</v>
      </c>
      <c r="L815" s="35" t="n">
        <v>4</v>
      </c>
      <c r="M815" s="50" t="n">
        <f aca="false">IF(COUNT(G815:L815)&lt;6,"",ROUND((G815*Rubric!$D$5+H815*Rubric!$D$6+I815*Rubric!$D$7+J815*Rubric!$D$8+K815*Rubric!$D$9+L815*Rubric!$D$10)/5*100,1))</f>
        <v>62</v>
      </c>
      <c r="N815" s="37" t="str">
        <f aca="false">IF(OR(B815="",D815=""),"",IFERROR(IF(IF(E815="Primary",INDEX(Applications!$I$5:$I$600,MATCH(B815,Applications!$A$5:$A$600,0)),IF(E815="Secondary",INDEX(Applications!$J$5:$J$600,MATCH(B815,Applications!$A$5:$A$600,0)),INDEX(Applications!$K$5:$K$600,MATCH(B815,Applications!$A$5:$A$600,0))))=D815,"OK","Not assigned"),"Check ID"))</f>
        <v>OK</v>
      </c>
      <c r="O815" s="7"/>
    </row>
    <row r="816" customFormat="false" ht="15" hidden="false" customHeight="false" outlineLevel="0" collapsed="false">
      <c r="A816" s="35" t="s">
        <v>2213</v>
      </c>
      <c r="B816" s="35" t="s">
        <v>943</v>
      </c>
      <c r="C816" s="37" t="str">
        <f aca="false">IF(B816="","",IFERROR(INDEX(Applications!$B$5:$B$600,MATCH(B816,Applications!$A$5:$A$600,0)),"Application ID not found"))</f>
        <v>Halifax Pantry Network</v>
      </c>
      <c r="D816" s="35" t="s">
        <v>82</v>
      </c>
      <c r="E816" s="35" t="s">
        <v>80</v>
      </c>
      <c r="F816" s="36" t="n">
        <v>45951</v>
      </c>
      <c r="G816" s="35" t="n">
        <v>4</v>
      </c>
      <c r="H816" s="35" t="n">
        <v>3</v>
      </c>
      <c r="I816" s="35" t="n">
        <v>3</v>
      </c>
      <c r="J816" s="35" t="n">
        <v>4</v>
      </c>
      <c r="K816" s="35" t="n">
        <v>3</v>
      </c>
      <c r="L816" s="35" t="n">
        <v>4</v>
      </c>
      <c r="M816" s="50" t="n">
        <f aca="false">IF(COUNT(G816:L816)&lt;6,"",ROUND((G816*Rubric!$D$5+H816*Rubric!$D$6+I816*Rubric!$D$7+J816*Rubric!$D$8+K816*Rubric!$D$9+L816*Rubric!$D$10)/5*100,1))</f>
        <v>70</v>
      </c>
      <c r="N816" s="37" t="str">
        <f aca="false">IF(OR(B816="",D816=""),"",IFERROR(IF(IF(E816="Primary",INDEX(Applications!$I$5:$I$600,MATCH(B816,Applications!$A$5:$A$600,0)),IF(E816="Secondary",INDEX(Applications!$J$5:$J$600,MATCH(B816,Applications!$A$5:$A$600,0)),INDEX(Applications!$K$5:$K$600,MATCH(B816,Applications!$A$5:$A$600,0))))=D816,"OK","Not assigned"),"Check ID"))</f>
        <v>OK</v>
      </c>
      <c r="O816" s="7" t="s">
        <v>1493</v>
      </c>
    </row>
    <row r="817" customFormat="false" ht="15" hidden="false" customHeight="false" outlineLevel="0" collapsed="false">
      <c r="A817" s="35" t="s">
        <v>2214</v>
      </c>
      <c r="B817" s="35" t="s">
        <v>871</v>
      </c>
      <c r="C817" s="37" t="str">
        <f aca="false">IF(B817="","",IFERROR(INDEX(Applications!$B$5:$B$600,MATCH(B817,Applications!$A$5:$A$600,0)),"Application ID not found"))</f>
        <v>Chicago Youth Food Lab</v>
      </c>
      <c r="D817" s="35" t="s">
        <v>82</v>
      </c>
      <c r="E817" s="35" t="s">
        <v>80</v>
      </c>
      <c r="F817" s="36" t="n">
        <v>45951</v>
      </c>
      <c r="G817" s="35" t="n">
        <v>4</v>
      </c>
      <c r="H817" s="35" t="n">
        <v>5</v>
      </c>
      <c r="I817" s="35" t="n">
        <v>4</v>
      </c>
      <c r="J817" s="35" t="n">
        <v>5</v>
      </c>
      <c r="K817" s="35" t="n">
        <v>4</v>
      </c>
      <c r="L817" s="35" t="n">
        <v>5</v>
      </c>
      <c r="M817" s="50" t="n">
        <f aca="false">IF(COUNT(G817:L817)&lt;6,"",ROUND((G817*Rubric!$D$5+H817*Rubric!$D$6+I817*Rubric!$D$7+J817*Rubric!$D$8+K817*Rubric!$D$9+L817*Rubric!$D$10)/5*100,1))</f>
        <v>89</v>
      </c>
      <c r="N817" s="37" t="str">
        <f aca="false">IF(OR(B817="",D817=""),"",IFERROR(IF(IF(E817="Primary",INDEX(Applications!$I$5:$I$600,MATCH(B817,Applications!$A$5:$A$600,0)),IF(E817="Secondary",INDEX(Applications!$J$5:$J$600,MATCH(B817,Applications!$A$5:$A$600,0)),INDEX(Applications!$K$5:$K$600,MATCH(B817,Applications!$A$5:$A$600,0))))=D817,"OK","Not assigned"),"Check ID"))</f>
        <v>OK</v>
      </c>
      <c r="O817" s="7" t="s">
        <v>1437</v>
      </c>
    </row>
    <row r="818" customFormat="false" ht="15" hidden="false" customHeight="false" outlineLevel="0" collapsed="false">
      <c r="A818" s="35" t="s">
        <v>2215</v>
      </c>
      <c r="B818" s="35" t="s">
        <v>765</v>
      </c>
      <c r="C818" s="37" t="str">
        <f aca="false">IF(B818="","",IFERROR(INDEX(Applications!$B$5:$B$600,MATCH(B818,Applications!$A$5:$A$600,0)),"Application ID not found"))</f>
        <v>Parkside Bakery Collective</v>
      </c>
      <c r="D818" s="35" t="s">
        <v>82</v>
      </c>
      <c r="E818" s="35" t="s">
        <v>86</v>
      </c>
      <c r="F818" s="36" t="n">
        <v>45951</v>
      </c>
      <c r="G818" s="35" t="n">
        <v>3</v>
      </c>
      <c r="H818" s="35" t="n">
        <v>3</v>
      </c>
      <c r="I818" s="35" t="n">
        <v>2</v>
      </c>
      <c r="J818" s="35" t="n">
        <v>2</v>
      </c>
      <c r="K818" s="35" t="n">
        <v>2</v>
      </c>
      <c r="L818" s="35" t="n">
        <v>3</v>
      </c>
      <c r="M818" s="50" t="n">
        <f aca="false">IF(COUNT(G818:L818)&lt;6,"",ROUND((G818*Rubric!$D$5+H818*Rubric!$D$6+I818*Rubric!$D$7+J818*Rubric!$D$8+K818*Rubric!$D$9+L818*Rubric!$D$10)/5*100,1))</f>
        <v>51</v>
      </c>
      <c r="N818" s="37" t="str">
        <f aca="false">IF(OR(B818="",D818=""),"",IFERROR(IF(IF(E818="Primary",INDEX(Applications!$I$5:$I$600,MATCH(B818,Applications!$A$5:$A$600,0)),IF(E818="Secondary",INDEX(Applications!$J$5:$J$600,MATCH(B818,Applications!$A$5:$A$600,0)),INDEX(Applications!$K$5:$K$600,MATCH(B818,Applications!$A$5:$A$600,0))))=D818,"OK","Not assigned"),"Check ID"))</f>
        <v>OK</v>
      </c>
      <c r="O818" s="7" t="s">
        <v>1493</v>
      </c>
    </row>
    <row r="819" customFormat="false" ht="15" hidden="false" customHeight="false" outlineLevel="0" collapsed="false">
      <c r="A819" s="35" t="s">
        <v>2216</v>
      </c>
      <c r="B819" s="35" t="s">
        <v>623</v>
      </c>
      <c r="C819" s="37" t="str">
        <f aca="false">IF(B819="","",IFERROR(INDEX(Applications!$B$5:$B$600,MATCH(B819,Applications!$A$5:$A$600,0)),"Application ID not found"))</f>
        <v>Mill Creek Farm Collective</v>
      </c>
      <c r="D819" s="35" t="s">
        <v>88</v>
      </c>
      <c r="E819" s="35" t="s">
        <v>80</v>
      </c>
      <c r="F819" s="36" t="n">
        <v>45951</v>
      </c>
      <c r="G819" s="35" t="n">
        <v>3</v>
      </c>
      <c r="H819" s="35" t="n">
        <v>3</v>
      </c>
      <c r="I819" s="35" t="n">
        <v>3</v>
      </c>
      <c r="J819" s="35" t="n">
        <v>4</v>
      </c>
      <c r="K819" s="35" t="n">
        <v>3</v>
      </c>
      <c r="L819" s="35" t="n">
        <v>3</v>
      </c>
      <c r="M819" s="50" t="n">
        <f aca="false">IF(COUNT(G819:L819)&lt;6,"",ROUND((G819*Rubric!$D$5+H819*Rubric!$D$6+I819*Rubric!$D$7+J819*Rubric!$D$8+K819*Rubric!$D$9+L819*Rubric!$D$10)/5*100,1))</f>
        <v>63</v>
      </c>
      <c r="N819" s="37" t="str">
        <f aca="false">IF(OR(B819="",D819=""),"",IFERROR(IF(IF(E819="Primary",INDEX(Applications!$I$5:$I$600,MATCH(B819,Applications!$A$5:$A$600,0)),IF(E819="Secondary",INDEX(Applications!$J$5:$J$600,MATCH(B819,Applications!$A$5:$A$600,0)),INDEX(Applications!$K$5:$K$600,MATCH(B819,Applications!$A$5:$A$600,0))))=D819,"OK","Not assigned"),"Check ID"))</f>
        <v>OK</v>
      </c>
      <c r="O819" s="7"/>
    </row>
    <row r="820" customFormat="false" ht="15" hidden="false" customHeight="false" outlineLevel="0" collapsed="false">
      <c r="A820" s="35" t="s">
        <v>2217</v>
      </c>
      <c r="B820" s="35" t="s">
        <v>1111</v>
      </c>
      <c r="C820" s="37" t="str">
        <f aca="false">IF(B820="","",IFERROR(INDEX(Applications!$B$5:$B$600,MATCH(B820,Applications!$A$5:$A$600,0)),"Application ID not found"))</f>
        <v>Greenway Food Bank</v>
      </c>
      <c r="D820" s="35" t="s">
        <v>88</v>
      </c>
      <c r="E820" s="35" t="s">
        <v>80</v>
      </c>
      <c r="F820" s="36" t="n">
        <v>45951</v>
      </c>
      <c r="G820" s="35" t="n">
        <v>3</v>
      </c>
      <c r="H820" s="35" t="n">
        <v>4</v>
      </c>
      <c r="I820" s="35" t="n">
        <v>3</v>
      </c>
      <c r="J820" s="35" t="n">
        <v>3</v>
      </c>
      <c r="K820" s="35" t="n">
        <v>3</v>
      </c>
      <c r="L820" s="35" t="n">
        <v>3</v>
      </c>
      <c r="M820" s="50" t="n">
        <f aca="false">IF(COUNT(G820:L820)&lt;6,"",ROUND((G820*Rubric!$D$5+H820*Rubric!$D$6+I820*Rubric!$D$7+J820*Rubric!$D$8+K820*Rubric!$D$9+L820*Rubric!$D$10)/5*100,1))</f>
        <v>64</v>
      </c>
      <c r="N820" s="37" t="str">
        <f aca="false">IF(OR(B820="",D820=""),"",IFERROR(IF(IF(E820="Primary",INDEX(Applications!$I$5:$I$600,MATCH(B820,Applications!$A$5:$A$600,0)),IF(E820="Secondary",INDEX(Applications!$J$5:$J$600,MATCH(B820,Applications!$A$5:$A$600,0)),INDEX(Applications!$K$5:$K$600,MATCH(B820,Applications!$A$5:$A$600,0))))=D820,"OK","Not assigned"),"Check ID"))</f>
        <v>OK</v>
      </c>
      <c r="O820" s="7"/>
    </row>
    <row r="821" customFormat="false" ht="15" hidden="false" customHeight="false" outlineLevel="0" collapsed="false">
      <c r="A821" s="35" t="s">
        <v>2218</v>
      </c>
      <c r="B821" s="35" t="s">
        <v>759</v>
      </c>
      <c r="C821" s="37" t="str">
        <f aca="false">IF(B821="","",IFERROR(INDEX(Applications!$B$5:$B$600,MATCH(B821,Applications!$A$5:$A$600,0)),"Application ID not found"))</f>
        <v>Tucson Pantry Network</v>
      </c>
      <c r="D821" s="35" t="s">
        <v>88</v>
      </c>
      <c r="E821" s="35" t="s">
        <v>80</v>
      </c>
      <c r="F821" s="36" t="n">
        <v>45951</v>
      </c>
      <c r="G821" s="35" t="n">
        <v>3</v>
      </c>
      <c r="H821" s="35" t="n">
        <v>2</v>
      </c>
      <c r="I821" s="35" t="n">
        <v>3</v>
      </c>
      <c r="J821" s="35" t="n">
        <v>2</v>
      </c>
      <c r="K821" s="35" t="n">
        <v>2</v>
      </c>
      <c r="L821" s="35" t="n">
        <v>2</v>
      </c>
      <c r="M821" s="50" t="n">
        <f aca="false">IF(COUNT(G821:L821)&lt;6,"",ROUND((G821*Rubric!$D$5+H821*Rubric!$D$6+I821*Rubric!$D$7+J821*Rubric!$D$8+K821*Rubric!$D$9+L821*Rubric!$D$10)/5*100,1))</f>
        <v>49</v>
      </c>
      <c r="N821" s="37" t="str">
        <f aca="false">IF(OR(B821="",D821=""),"",IFERROR(IF(IF(E821="Primary",INDEX(Applications!$I$5:$I$600,MATCH(B821,Applications!$A$5:$A$600,0)),IF(E821="Secondary",INDEX(Applications!$J$5:$J$600,MATCH(B821,Applications!$A$5:$A$600,0)),INDEX(Applications!$K$5:$K$600,MATCH(B821,Applications!$A$5:$A$600,0))))=D821,"OK","Not assigned"),"Check ID"))</f>
        <v>OK</v>
      </c>
      <c r="O821" s="7"/>
    </row>
    <row r="822" customFormat="false" ht="15" hidden="false" customHeight="false" outlineLevel="0" collapsed="false">
      <c r="A822" s="35" t="s">
        <v>2219</v>
      </c>
      <c r="B822" s="35" t="s">
        <v>424</v>
      </c>
      <c r="C822" s="37" t="str">
        <f aca="false">IF(B822="","",IFERROR(INDEX(Applications!$B$5:$B$600,MATCH(B822,Applications!$A$5:$A$600,0)),"Application ID not found"))</f>
        <v>Omaha Youth Food Lab</v>
      </c>
      <c r="D822" s="35" t="s">
        <v>88</v>
      </c>
      <c r="E822" s="35" t="s">
        <v>80</v>
      </c>
      <c r="F822" s="36" t="n">
        <v>45951</v>
      </c>
      <c r="G822" s="35" t="n">
        <v>3</v>
      </c>
      <c r="H822" s="35" t="n">
        <v>4</v>
      </c>
      <c r="I822" s="35" t="n">
        <v>4</v>
      </c>
      <c r="J822" s="35" t="n">
        <v>3</v>
      </c>
      <c r="K822" s="35" t="n">
        <v>4</v>
      </c>
      <c r="L822" s="35" t="n">
        <v>4</v>
      </c>
      <c r="M822" s="50" t="n">
        <f aca="false">IF(COUNT(G822:L822)&lt;6,"",ROUND((G822*Rubric!$D$5+H822*Rubric!$D$6+I822*Rubric!$D$7+J822*Rubric!$D$8+K822*Rubric!$D$9+L822*Rubric!$D$10)/5*100,1))</f>
        <v>72</v>
      </c>
      <c r="N822" s="37" t="str">
        <f aca="false">IF(OR(B822="",D822=""),"",IFERROR(IF(IF(E822="Primary",INDEX(Applications!$I$5:$I$600,MATCH(B822,Applications!$A$5:$A$600,0)),IF(E822="Secondary",INDEX(Applications!$J$5:$J$600,MATCH(B822,Applications!$A$5:$A$600,0)),INDEX(Applications!$K$5:$K$600,MATCH(B822,Applications!$A$5:$A$600,0))))=D822,"OK","Not assigned"),"Check ID"))</f>
        <v>OK</v>
      </c>
      <c r="O822" s="7" t="s">
        <v>1402</v>
      </c>
    </row>
    <row r="823" customFormat="false" ht="15" hidden="false" customHeight="false" outlineLevel="0" collapsed="false">
      <c r="A823" s="35" t="s">
        <v>2220</v>
      </c>
      <c r="B823" s="35" t="s">
        <v>749</v>
      </c>
      <c r="C823" s="37" t="str">
        <f aca="false">IF(B823="","",IFERROR(INDEX(Applications!$B$5:$B$600,MATCH(B823,Applications!$A$5:$A$600,0)),"Application ID not found"))</f>
        <v>Willow Run Bakery Collective</v>
      </c>
      <c r="D823" s="35" t="s">
        <v>88</v>
      </c>
      <c r="E823" s="35" t="s">
        <v>80</v>
      </c>
      <c r="F823" s="36" t="n">
        <v>45951</v>
      </c>
      <c r="G823" s="35" t="n">
        <v>3</v>
      </c>
      <c r="H823" s="35" t="n">
        <v>3</v>
      </c>
      <c r="I823" s="35" t="n">
        <v>3</v>
      </c>
      <c r="J823" s="35" t="n">
        <v>4</v>
      </c>
      <c r="K823" s="35" t="n">
        <v>3</v>
      </c>
      <c r="L823" s="35" t="n">
        <v>3</v>
      </c>
      <c r="M823" s="50" t="n">
        <f aca="false">IF(COUNT(G823:L823)&lt;6,"",ROUND((G823*Rubric!$D$5+H823*Rubric!$D$6+I823*Rubric!$D$7+J823*Rubric!$D$8+K823*Rubric!$D$9+L823*Rubric!$D$10)/5*100,1))</f>
        <v>63</v>
      </c>
      <c r="N823" s="37" t="str">
        <f aca="false">IF(OR(B823="",D823=""),"",IFERROR(IF(IF(E823="Primary",INDEX(Applications!$I$5:$I$600,MATCH(B823,Applications!$A$5:$A$600,0)),IF(E823="Secondary",INDEX(Applications!$J$5:$J$600,MATCH(B823,Applications!$A$5:$A$600,0)),INDEX(Applications!$K$5:$K$600,MATCH(B823,Applications!$A$5:$A$600,0))))=D823,"OK","Not assigned"),"Check ID"))</f>
        <v>OK</v>
      </c>
      <c r="O823" s="7"/>
    </row>
    <row r="824" customFormat="false" ht="15" hidden="false" customHeight="false" outlineLevel="0" collapsed="false">
      <c r="A824" s="35" t="s">
        <v>2221</v>
      </c>
      <c r="B824" s="35" t="s">
        <v>1143</v>
      </c>
      <c r="C824" s="37" t="str">
        <f aca="false">IF(B824="","",IFERROR(INDEX(Applications!$B$5:$B$600,MATCH(B824,Applications!$A$5:$A$600,0)),"Application ID not found"))</f>
        <v>Old Town Food Shelf</v>
      </c>
      <c r="D824" s="35" t="s">
        <v>88</v>
      </c>
      <c r="E824" s="35" t="s">
        <v>83</v>
      </c>
      <c r="F824" s="36" t="n">
        <v>45951</v>
      </c>
      <c r="G824" s="35" t="n">
        <v>4</v>
      </c>
      <c r="H824" s="35" t="n">
        <v>3</v>
      </c>
      <c r="I824" s="35" t="n">
        <v>4</v>
      </c>
      <c r="J824" s="35" t="n">
        <v>4</v>
      </c>
      <c r="K824" s="35" t="n">
        <v>3</v>
      </c>
      <c r="L824" s="35" t="n">
        <v>4</v>
      </c>
      <c r="M824" s="50" t="n">
        <f aca="false">IF(COUNT(G824:L824)&lt;6,"",ROUND((G824*Rubric!$D$5+H824*Rubric!$D$6+I824*Rubric!$D$7+J824*Rubric!$D$8+K824*Rubric!$D$9+L824*Rubric!$D$10)/5*100,1))</f>
        <v>74</v>
      </c>
      <c r="N824" s="37" t="str">
        <f aca="false">IF(OR(B824="",D824=""),"",IFERROR(IF(IF(E824="Primary",INDEX(Applications!$I$5:$I$600,MATCH(B824,Applications!$A$5:$A$600,0)),IF(E824="Secondary",INDEX(Applications!$J$5:$J$600,MATCH(B824,Applications!$A$5:$A$600,0)),INDEX(Applications!$K$5:$K$600,MATCH(B824,Applications!$A$5:$A$600,0))))=D824,"OK","Not assigned"),"Check ID"))</f>
        <v>OK</v>
      </c>
      <c r="O824" s="7"/>
    </row>
    <row r="825" customFormat="false" ht="15" hidden="false" customHeight="false" outlineLevel="0" collapsed="false">
      <c r="A825" s="35" t="s">
        <v>2222</v>
      </c>
      <c r="B825" s="35" t="s">
        <v>969</v>
      </c>
      <c r="C825" s="37" t="str">
        <f aca="false">IF(B825="","",IFERROR(INDEX(Applications!$B$5:$B$600,MATCH(B825,Applications!$A$5:$A$600,0)),"Application ID not found"))</f>
        <v>Davao Seed Library</v>
      </c>
      <c r="D825" s="35" t="s">
        <v>88</v>
      </c>
      <c r="E825" s="35" t="s">
        <v>83</v>
      </c>
      <c r="F825" s="36" t="n">
        <v>45951</v>
      </c>
      <c r="G825" s="35" t="n">
        <v>4</v>
      </c>
      <c r="H825" s="35" t="n">
        <v>4</v>
      </c>
      <c r="I825" s="35" t="n">
        <v>4</v>
      </c>
      <c r="J825" s="35" t="n">
        <v>4</v>
      </c>
      <c r="K825" s="35" t="n">
        <v>3</v>
      </c>
      <c r="L825" s="35" t="n">
        <v>4</v>
      </c>
      <c r="M825" s="50" t="n">
        <f aca="false">IF(COUNT(G825:L825)&lt;6,"",ROUND((G825*Rubric!$D$5+H825*Rubric!$D$6+I825*Rubric!$D$7+J825*Rubric!$D$8+K825*Rubric!$D$9+L825*Rubric!$D$10)/5*100,1))</f>
        <v>78</v>
      </c>
      <c r="N825" s="37" t="str">
        <f aca="false">IF(OR(B825="",D825=""),"",IFERROR(IF(IF(E825="Primary",INDEX(Applications!$I$5:$I$600,MATCH(B825,Applications!$A$5:$A$600,0)),IF(E825="Secondary",INDEX(Applications!$J$5:$J$600,MATCH(B825,Applications!$A$5:$A$600,0)),INDEX(Applications!$K$5:$K$600,MATCH(B825,Applications!$A$5:$A$600,0))))=D825,"OK","Not assigned"),"Check ID"))</f>
        <v>OK</v>
      </c>
      <c r="O825" s="7"/>
    </row>
    <row r="826" customFormat="false" ht="15" hidden="false" customHeight="false" outlineLevel="0" collapsed="false">
      <c r="A826" s="35" t="s">
        <v>2223</v>
      </c>
      <c r="B826" s="35" t="s">
        <v>1373</v>
      </c>
      <c r="C826" s="37" t="str">
        <f aca="false">IF(B826="","",IFERROR(INDEX(Applications!$B$5:$B$600,MATCH(B826,Applications!$A$5:$A$600,0)),"Application ID not found"))</f>
        <v>Denver Youth Food Lab</v>
      </c>
      <c r="D826" s="35" t="s">
        <v>88</v>
      </c>
      <c r="E826" s="35" t="s">
        <v>83</v>
      </c>
      <c r="F826" s="36" t="n">
        <v>45951</v>
      </c>
      <c r="G826" s="35" t="n">
        <v>3</v>
      </c>
      <c r="H826" s="35" t="n">
        <v>2</v>
      </c>
      <c r="I826" s="35" t="n">
        <v>3</v>
      </c>
      <c r="J826" s="35" t="n">
        <v>1</v>
      </c>
      <c r="K826" s="35" t="n">
        <v>2</v>
      </c>
      <c r="L826" s="35" t="n">
        <v>2</v>
      </c>
      <c r="M826" s="50" t="n">
        <f aca="false">IF(COUNT(G826:L826)&lt;6,"",ROUND((G826*Rubric!$D$5+H826*Rubric!$D$6+I826*Rubric!$D$7+J826*Rubric!$D$8+K826*Rubric!$D$9+L826*Rubric!$D$10)/5*100,1))</f>
        <v>46</v>
      </c>
      <c r="N826" s="37" t="str">
        <f aca="false">IF(OR(B826="",D826=""),"",IFERROR(IF(IF(E826="Primary",INDEX(Applications!$I$5:$I$600,MATCH(B826,Applications!$A$5:$A$600,0)),IF(E826="Secondary",INDEX(Applications!$J$5:$J$600,MATCH(B826,Applications!$A$5:$A$600,0)),INDEX(Applications!$K$5:$K$600,MATCH(B826,Applications!$A$5:$A$600,0))))=D826,"OK","Not assigned"),"Check ID"))</f>
        <v>OK</v>
      </c>
      <c r="O826" s="7" t="s">
        <v>1416</v>
      </c>
    </row>
    <row r="827" customFormat="false" ht="15" hidden="false" customHeight="false" outlineLevel="0" collapsed="false">
      <c r="A827" s="35" t="s">
        <v>2224</v>
      </c>
      <c r="B827" s="35" t="s">
        <v>390</v>
      </c>
      <c r="C827" s="37" t="str">
        <f aca="false">IF(B827="","",IFERROR(INDEX(Applications!$B$5:$B$600,MATCH(B827,Applications!$A$5:$A$600,0)),"Application ID not found"))</f>
        <v>Jaipur Farm School</v>
      </c>
      <c r="D827" s="35" t="s">
        <v>88</v>
      </c>
      <c r="E827" s="35" t="s">
        <v>83</v>
      </c>
      <c r="F827" s="36" t="n">
        <v>45951</v>
      </c>
      <c r="G827" s="35" t="n">
        <v>3</v>
      </c>
      <c r="H827" s="35" t="n">
        <v>3</v>
      </c>
      <c r="I827" s="35" t="n">
        <v>4</v>
      </c>
      <c r="J827" s="35" t="n">
        <v>3</v>
      </c>
      <c r="K827" s="35" t="n">
        <v>3</v>
      </c>
      <c r="L827" s="35" t="n">
        <v>4</v>
      </c>
      <c r="M827" s="50" t="n">
        <f aca="false">IF(COUNT(G827:L827)&lt;6,"",ROUND((G827*Rubric!$D$5+H827*Rubric!$D$6+I827*Rubric!$D$7+J827*Rubric!$D$8+K827*Rubric!$D$9+L827*Rubric!$D$10)/5*100,1))</f>
        <v>66</v>
      </c>
      <c r="N827" s="37" t="str">
        <f aca="false">IF(OR(B827="",D827=""),"",IFERROR(IF(IF(E827="Primary",INDEX(Applications!$I$5:$I$600,MATCH(B827,Applications!$A$5:$A$600,0)),IF(E827="Secondary",INDEX(Applications!$J$5:$J$600,MATCH(B827,Applications!$A$5:$A$600,0)),INDEX(Applications!$K$5:$K$600,MATCH(B827,Applications!$A$5:$A$600,0))))=D827,"OK","Not assigned"),"Check ID"))</f>
        <v>OK</v>
      </c>
      <c r="O827" s="7"/>
    </row>
    <row r="828" customFormat="false" ht="15" hidden="false" customHeight="false" outlineLevel="0" collapsed="false">
      <c r="A828" s="35" t="s">
        <v>2225</v>
      </c>
      <c r="B828" s="35" t="s">
        <v>891</v>
      </c>
      <c r="C828" s="37" t="str">
        <f aca="false">IF(B828="","",IFERROR(INDEX(Applications!$B$5:$B$600,MATCH(B828,Applications!$A$5:$A$600,0)),"Application ID not found"))</f>
        <v>Commonground Culinary Works</v>
      </c>
      <c r="D828" s="35" t="s">
        <v>88</v>
      </c>
      <c r="E828" s="35" t="s">
        <v>83</v>
      </c>
      <c r="F828" s="36" t="n">
        <v>45951</v>
      </c>
      <c r="G828" s="35" t="n">
        <v>3</v>
      </c>
      <c r="H828" s="35" t="n">
        <v>3</v>
      </c>
      <c r="I828" s="35" t="n">
        <v>2</v>
      </c>
      <c r="J828" s="35" t="n">
        <v>4</v>
      </c>
      <c r="K828" s="35" t="n">
        <v>3</v>
      </c>
      <c r="L828" s="35" t="n">
        <v>3</v>
      </c>
      <c r="M828" s="50" t="n">
        <f aca="false">IF(COUNT(G828:L828)&lt;6,"",ROUND((G828*Rubric!$D$5+H828*Rubric!$D$6+I828*Rubric!$D$7+J828*Rubric!$D$8+K828*Rubric!$D$9+L828*Rubric!$D$10)/5*100,1))</f>
        <v>59</v>
      </c>
      <c r="N828" s="37" t="str">
        <f aca="false">IF(OR(B828="",D828=""),"",IFERROR(IF(IF(E828="Primary",INDEX(Applications!$I$5:$I$600,MATCH(B828,Applications!$A$5:$A$600,0)),IF(E828="Secondary",INDEX(Applications!$J$5:$J$600,MATCH(B828,Applications!$A$5:$A$600,0)),INDEX(Applications!$K$5:$K$600,MATCH(B828,Applications!$A$5:$A$600,0))))=D828,"OK","Not assigned"),"Check ID"))</f>
        <v>OK</v>
      </c>
      <c r="O828" s="7"/>
    </row>
    <row r="829" customFormat="false" ht="15" hidden="false" customHeight="false" outlineLevel="0" collapsed="false">
      <c r="A829" s="35" t="s">
        <v>2226</v>
      </c>
      <c r="B829" s="35" t="s">
        <v>248</v>
      </c>
      <c r="C829" s="37" t="str">
        <f aca="false">IF(B829="","",IFERROR(INDEX(Applications!$B$5:$B$600,MATCH(B829,Applications!$A$5:$A$600,0)),"Application ID not found"))</f>
        <v>Omaha Food Bank</v>
      </c>
      <c r="D829" s="35" t="s">
        <v>88</v>
      </c>
      <c r="E829" s="35" t="s">
        <v>80</v>
      </c>
      <c r="F829" s="36" t="n">
        <v>45951</v>
      </c>
      <c r="G829" s="35" t="n">
        <v>3</v>
      </c>
      <c r="H829" s="35" t="n">
        <v>2</v>
      </c>
      <c r="I829" s="35" t="n">
        <v>3</v>
      </c>
      <c r="J829" s="35" t="n">
        <v>3</v>
      </c>
      <c r="K829" s="35" t="n">
        <v>2</v>
      </c>
      <c r="L829" s="35" t="n">
        <v>3</v>
      </c>
      <c r="M829" s="50" t="n">
        <f aca="false">IF(COUNT(G829:L829)&lt;6,"",ROUND((G829*Rubric!$D$5+H829*Rubric!$D$6+I829*Rubric!$D$7+J829*Rubric!$D$8+K829*Rubric!$D$9+L829*Rubric!$D$10)/5*100,1))</f>
        <v>54</v>
      </c>
      <c r="N829" s="37" t="str">
        <f aca="false">IF(OR(B829="",D829=""),"",IFERROR(IF(IF(E829="Primary",INDEX(Applications!$I$5:$I$600,MATCH(B829,Applications!$A$5:$A$600,0)),IF(E829="Secondary",INDEX(Applications!$J$5:$J$600,MATCH(B829,Applications!$A$5:$A$600,0)),INDEX(Applications!$K$5:$K$600,MATCH(B829,Applications!$A$5:$A$600,0))))=D829,"OK","Not assigned"),"Check ID"))</f>
        <v>OK</v>
      </c>
      <c r="O829" s="7"/>
    </row>
    <row r="830" customFormat="false" ht="15" hidden="false" customHeight="false" outlineLevel="0" collapsed="false">
      <c r="A830" s="35" t="s">
        <v>2227</v>
      </c>
      <c r="B830" s="35" t="s">
        <v>1341</v>
      </c>
      <c r="C830" s="37" t="str">
        <f aca="false">IF(B830="","",IFERROR(INDEX(Applications!$B$5:$B$600,MATCH(B830,Applications!$A$5:$A$600,0)),"Application ID not found"))</f>
        <v>Detroit Youth Food Lab</v>
      </c>
      <c r="D830" s="35" t="s">
        <v>88</v>
      </c>
      <c r="E830" s="35" t="s">
        <v>80</v>
      </c>
      <c r="F830" s="36" t="n">
        <v>45951</v>
      </c>
      <c r="G830" s="35" t="n">
        <v>3</v>
      </c>
      <c r="H830" s="35" t="n">
        <v>4</v>
      </c>
      <c r="I830" s="35" t="n">
        <v>3</v>
      </c>
      <c r="J830" s="35" t="n">
        <v>3</v>
      </c>
      <c r="K830" s="35" t="n">
        <v>4</v>
      </c>
      <c r="L830" s="35" t="n">
        <v>4</v>
      </c>
      <c r="M830" s="50" t="n">
        <f aca="false">IF(COUNT(G830:L830)&lt;6,"",ROUND((G830*Rubric!$D$5+H830*Rubric!$D$6+I830*Rubric!$D$7+J830*Rubric!$D$8+K830*Rubric!$D$9+L830*Rubric!$D$10)/5*100,1))</f>
        <v>68</v>
      </c>
      <c r="N830" s="37" t="str">
        <f aca="false">IF(OR(B830="",D830=""),"",IFERROR(IF(IF(E830="Primary",INDEX(Applications!$I$5:$I$600,MATCH(B830,Applications!$A$5:$A$600,0)),IF(E830="Secondary",INDEX(Applications!$J$5:$J$600,MATCH(B830,Applications!$A$5:$A$600,0)),INDEX(Applications!$K$5:$K$600,MATCH(B830,Applications!$A$5:$A$600,0))))=D830,"OK","Not assigned"),"Check ID"))</f>
        <v>OK</v>
      </c>
      <c r="O830" s="7" t="s">
        <v>1428</v>
      </c>
    </row>
    <row r="831" customFormat="false" ht="15" hidden="false" customHeight="false" outlineLevel="0" collapsed="false">
      <c r="A831" s="35" t="s">
        <v>2228</v>
      </c>
      <c r="B831" s="35" t="s">
        <v>1001</v>
      </c>
      <c r="C831" s="37" t="str">
        <f aca="false">IF(B831="","",IFERROR(INDEX(Applications!$B$5:$B$600,MATCH(B831,Applications!$A$5:$A$600,0)),"Application ID not found"))</f>
        <v>Oak Hollow Food Ventures</v>
      </c>
      <c r="D831" s="35" t="s">
        <v>88</v>
      </c>
      <c r="E831" s="35" t="s">
        <v>86</v>
      </c>
      <c r="F831" s="36" t="n">
        <v>45951</v>
      </c>
      <c r="G831" s="35" t="n">
        <v>4</v>
      </c>
      <c r="H831" s="35" t="n">
        <v>4</v>
      </c>
      <c r="I831" s="35" t="n">
        <v>4</v>
      </c>
      <c r="J831" s="35" t="n">
        <v>4</v>
      </c>
      <c r="K831" s="35" t="n">
        <v>4</v>
      </c>
      <c r="L831" s="35" t="n">
        <v>4</v>
      </c>
      <c r="M831" s="50" t="n">
        <f aca="false">IF(COUNT(G831:L831)&lt;6,"",ROUND((G831*Rubric!$D$5+H831*Rubric!$D$6+I831*Rubric!$D$7+J831*Rubric!$D$8+K831*Rubric!$D$9+L831*Rubric!$D$10)/5*100,1))</f>
        <v>80</v>
      </c>
      <c r="N831" s="37" t="str">
        <f aca="false">IF(OR(B831="",D831=""),"",IFERROR(IF(IF(E831="Primary",INDEX(Applications!$I$5:$I$600,MATCH(B831,Applications!$A$5:$A$600,0)),IF(E831="Secondary",INDEX(Applications!$J$5:$J$600,MATCH(B831,Applications!$A$5:$A$600,0)),INDEX(Applications!$K$5:$K$600,MATCH(B831,Applications!$A$5:$A$600,0))))=D831,"OK","Not assigned"),"Check ID"))</f>
        <v>OK</v>
      </c>
      <c r="O831" s="7"/>
    </row>
    <row r="832" customFormat="false" ht="15" hidden="false" customHeight="false" outlineLevel="0" collapsed="false">
      <c r="A832" s="35" t="s">
        <v>2229</v>
      </c>
      <c r="B832" s="35" t="s">
        <v>705</v>
      </c>
      <c r="C832" s="37" t="str">
        <f aca="false">IF(B832="","",IFERROR(INDEX(Applications!$B$5:$B$600,MATCH(B832,Applications!$A$5:$A$600,0)),"Application ID not found"))</f>
        <v>Bridgeview Community Pantry</v>
      </c>
      <c r="D832" s="35" t="s">
        <v>91</v>
      </c>
      <c r="E832" s="35" t="s">
        <v>83</v>
      </c>
      <c r="F832" s="36" t="n">
        <v>45951</v>
      </c>
      <c r="G832" s="35" t="n">
        <v>3</v>
      </c>
      <c r="H832" s="35" t="n">
        <v>3</v>
      </c>
      <c r="I832" s="35" t="n">
        <v>4</v>
      </c>
      <c r="J832" s="35" t="n">
        <v>4</v>
      </c>
      <c r="K832" s="35" t="n">
        <v>3</v>
      </c>
      <c r="L832" s="35" t="n">
        <v>4</v>
      </c>
      <c r="M832" s="50" t="n">
        <f aca="false">IF(COUNT(G832:L832)&lt;6,"",ROUND((G832*Rubric!$D$5+H832*Rubric!$D$6+I832*Rubric!$D$7+J832*Rubric!$D$8+K832*Rubric!$D$9+L832*Rubric!$D$10)/5*100,1))</f>
        <v>69</v>
      </c>
      <c r="N832" s="37" t="str">
        <f aca="false">IF(OR(B832="",D832=""),"",IFERROR(IF(IF(E832="Primary",INDEX(Applications!$I$5:$I$600,MATCH(B832,Applications!$A$5:$A$600,0)),IF(E832="Secondary",INDEX(Applications!$J$5:$J$600,MATCH(B832,Applications!$A$5:$A$600,0)),INDEX(Applications!$K$5:$K$600,MATCH(B832,Applications!$A$5:$A$600,0))))=D832,"OK","Not assigned"),"Check ID"))</f>
        <v>OK</v>
      </c>
      <c r="O832" s="7"/>
    </row>
    <row r="833" customFormat="false" ht="15" hidden="false" customHeight="false" outlineLevel="0" collapsed="false">
      <c r="A833" s="35" t="s">
        <v>2230</v>
      </c>
      <c r="B833" s="35" t="s">
        <v>432</v>
      </c>
      <c r="C833" s="37" t="str">
        <f aca="false">IF(B833="","",IFERROR(INDEX(Applications!$B$5:$B$600,MATCH(B833,Applications!$A$5:$A$600,0)),"Application ID not found"))</f>
        <v>Valley Food Bank</v>
      </c>
      <c r="D833" s="35" t="s">
        <v>91</v>
      </c>
      <c r="E833" s="35" t="s">
        <v>80</v>
      </c>
      <c r="F833" s="36" t="n">
        <v>45951</v>
      </c>
      <c r="G833" s="35" t="n">
        <v>3</v>
      </c>
      <c r="H833" s="35" t="n">
        <v>4</v>
      </c>
      <c r="I833" s="35" t="n">
        <v>4</v>
      </c>
      <c r="J833" s="35" t="n">
        <v>4</v>
      </c>
      <c r="K833" s="35" t="n">
        <v>4</v>
      </c>
      <c r="L833" s="35" t="n">
        <v>3</v>
      </c>
      <c r="M833" s="50" t="n">
        <f aca="false">IF(COUNT(G833:L833)&lt;6,"",ROUND((G833*Rubric!$D$5+H833*Rubric!$D$6+I833*Rubric!$D$7+J833*Rubric!$D$8+K833*Rubric!$D$9+L833*Rubric!$D$10)/5*100,1))</f>
        <v>73</v>
      </c>
      <c r="N833" s="37" t="str">
        <f aca="false">IF(OR(B833="",D833=""),"",IFERROR(IF(IF(E833="Primary",INDEX(Applications!$I$5:$I$600,MATCH(B833,Applications!$A$5:$A$600,0)),IF(E833="Secondary",INDEX(Applications!$J$5:$J$600,MATCH(B833,Applications!$A$5:$A$600,0)),INDEX(Applications!$K$5:$K$600,MATCH(B833,Applications!$A$5:$A$600,0))))=D833,"OK","Not assigned"),"Check ID"))</f>
        <v>OK</v>
      </c>
      <c r="O833" s="7"/>
    </row>
    <row r="834" customFormat="false" ht="15" hidden="false" customHeight="false" outlineLevel="0" collapsed="false">
      <c r="A834" s="35" t="s">
        <v>2231</v>
      </c>
      <c r="B834" s="35" t="s">
        <v>905</v>
      </c>
      <c r="C834" s="37" t="str">
        <f aca="false">IF(B834="","",IFERROR(INDEX(Applications!$B$5:$B$600,MATCH(B834,Applications!$A$5:$A$600,0)),"Application ID not found"))</f>
        <v>Sheffield Farm School</v>
      </c>
      <c r="D834" s="35" t="s">
        <v>91</v>
      </c>
      <c r="E834" s="35" t="s">
        <v>83</v>
      </c>
      <c r="F834" s="36" t="n">
        <v>45951</v>
      </c>
      <c r="G834" s="35" t="n">
        <v>5</v>
      </c>
      <c r="H834" s="35" t="n">
        <v>5</v>
      </c>
      <c r="I834" s="35" t="n">
        <v>5</v>
      </c>
      <c r="J834" s="35" t="n">
        <v>4</v>
      </c>
      <c r="K834" s="35" t="n">
        <v>5</v>
      </c>
      <c r="L834" s="35" t="n">
        <v>5</v>
      </c>
      <c r="M834" s="50" t="n">
        <f aca="false">IF(COUNT(G834:L834)&lt;6,"",ROUND((G834*Rubric!$D$5+H834*Rubric!$D$6+I834*Rubric!$D$7+J834*Rubric!$D$8+K834*Rubric!$D$9+L834*Rubric!$D$10)/5*100,1))</f>
        <v>97</v>
      </c>
      <c r="N834" s="37" t="str">
        <f aca="false">IF(OR(B834="",D834=""),"",IFERROR(IF(IF(E834="Primary",INDEX(Applications!$I$5:$I$600,MATCH(B834,Applications!$A$5:$A$600,0)),IF(E834="Secondary",INDEX(Applications!$J$5:$J$600,MATCH(B834,Applications!$A$5:$A$600,0)),INDEX(Applications!$K$5:$K$600,MATCH(B834,Applications!$A$5:$A$600,0))))=D834,"OK","Not assigned"),"Check ID"))</f>
        <v>OK</v>
      </c>
      <c r="O834" s="7"/>
    </row>
    <row r="835" customFormat="false" ht="15" hidden="false" customHeight="false" outlineLevel="0" collapsed="false">
      <c r="A835" s="35" t="s">
        <v>2232</v>
      </c>
      <c r="B835" s="35" t="s">
        <v>1007</v>
      </c>
      <c r="C835" s="37" t="str">
        <f aca="false">IF(B835="","",IFERROR(INDEX(Applications!$B$5:$B$600,MATCH(B835,Applications!$A$5:$A$600,0)),"Application ID not found"))</f>
        <v>Tidewater Growers Cooperative</v>
      </c>
      <c r="D835" s="35" t="s">
        <v>91</v>
      </c>
      <c r="E835" s="35" t="s">
        <v>83</v>
      </c>
      <c r="F835" s="36" t="n">
        <v>45951</v>
      </c>
      <c r="G835" s="35" t="n">
        <v>4</v>
      </c>
      <c r="H835" s="35" t="n">
        <v>5</v>
      </c>
      <c r="I835" s="35" t="n">
        <v>4</v>
      </c>
      <c r="J835" s="35" t="n">
        <v>4</v>
      </c>
      <c r="K835" s="35" t="n">
        <v>4</v>
      </c>
      <c r="L835" s="35" t="n">
        <v>3</v>
      </c>
      <c r="M835" s="50" t="n">
        <f aca="false">IF(COUNT(G835:L835)&lt;6,"",ROUND((G835*Rubric!$D$5+H835*Rubric!$D$6+I835*Rubric!$D$7+J835*Rubric!$D$8+K835*Rubric!$D$9+L835*Rubric!$D$10)/5*100,1))</f>
        <v>82</v>
      </c>
      <c r="N835" s="37" t="str">
        <f aca="false">IF(OR(B835="",D835=""),"",IFERROR(IF(IF(E835="Primary",INDEX(Applications!$I$5:$I$600,MATCH(B835,Applications!$A$5:$A$600,0)),IF(E835="Secondary",INDEX(Applications!$J$5:$J$600,MATCH(B835,Applications!$A$5:$A$600,0)),INDEX(Applications!$K$5:$K$600,MATCH(B835,Applications!$A$5:$A$600,0))))=D835,"OK","Not assigned"),"Check ID"))</f>
        <v>OK</v>
      </c>
      <c r="O835" s="7"/>
    </row>
    <row r="836" customFormat="false" ht="15" hidden="false" customHeight="false" outlineLevel="0" collapsed="false">
      <c r="A836" s="35" t="s">
        <v>2233</v>
      </c>
      <c r="B836" s="35" t="s">
        <v>699</v>
      </c>
      <c r="C836" s="37" t="str">
        <f aca="false">IF(B836="","",IFERROR(INDEX(Applications!$B$5:$B$600,MATCH(B836,Applications!$A$5:$A$600,0)),"Application ID not found"))</f>
        <v>Kumasi Food Ventures</v>
      </c>
      <c r="D836" s="35" t="s">
        <v>91</v>
      </c>
      <c r="E836" s="35" t="s">
        <v>83</v>
      </c>
      <c r="F836" s="36" t="n">
        <v>45951</v>
      </c>
      <c r="G836" s="35" t="n">
        <v>4</v>
      </c>
      <c r="H836" s="35" t="n">
        <v>5</v>
      </c>
      <c r="I836" s="35" t="n">
        <v>4</v>
      </c>
      <c r="J836" s="35" t="n">
        <v>4</v>
      </c>
      <c r="K836" s="35" t="n">
        <v>5</v>
      </c>
      <c r="L836" s="35" t="n">
        <v>4</v>
      </c>
      <c r="M836" s="50" t="n">
        <f aca="false">IF(COUNT(G836:L836)&lt;6,"",ROUND((G836*Rubric!$D$5+H836*Rubric!$D$6+I836*Rubric!$D$7+J836*Rubric!$D$8+K836*Rubric!$D$9+L836*Rubric!$D$10)/5*100,1))</f>
        <v>86</v>
      </c>
      <c r="N836" s="37" t="str">
        <f aca="false">IF(OR(B836="",D836=""),"",IFERROR(IF(IF(E836="Primary",INDEX(Applications!$I$5:$I$600,MATCH(B836,Applications!$A$5:$A$600,0)),IF(E836="Secondary",INDEX(Applications!$J$5:$J$600,MATCH(B836,Applications!$A$5:$A$600,0)),INDEX(Applications!$K$5:$K$600,MATCH(B836,Applications!$A$5:$A$600,0))))=D836,"OK","Not assigned"),"Check ID"))</f>
        <v>OK</v>
      </c>
      <c r="O836" s="7"/>
    </row>
    <row r="837" customFormat="false" ht="15" hidden="false" customHeight="false" outlineLevel="0" collapsed="false">
      <c r="A837" s="35" t="s">
        <v>2234</v>
      </c>
      <c r="B837" s="35" t="s">
        <v>1223</v>
      </c>
      <c r="C837" s="37" t="str">
        <f aca="false">IF(B837="","",IFERROR(INDEX(Applications!$B$5:$B$600,MATCH(B837,Applications!$A$5:$A$600,0)),"Application ID not found"))</f>
        <v>Crossroads Community Pantry</v>
      </c>
      <c r="D837" s="35" t="s">
        <v>91</v>
      </c>
      <c r="E837" s="35" t="s">
        <v>83</v>
      </c>
      <c r="F837" s="36" t="n">
        <v>45951</v>
      </c>
      <c r="G837" s="35" t="n">
        <v>4</v>
      </c>
      <c r="H837" s="35" t="n">
        <v>3</v>
      </c>
      <c r="I837" s="35" t="n">
        <v>3</v>
      </c>
      <c r="J837" s="35" t="n">
        <v>4</v>
      </c>
      <c r="K837" s="35" t="n">
        <v>4</v>
      </c>
      <c r="L837" s="35" t="n">
        <v>4</v>
      </c>
      <c r="M837" s="50" t="n">
        <f aca="false">IF(COUNT(G837:L837)&lt;6,"",ROUND((G837*Rubric!$D$5+H837*Rubric!$D$6+I837*Rubric!$D$7+J837*Rubric!$D$8+K837*Rubric!$D$9+L837*Rubric!$D$10)/5*100,1))</f>
        <v>72</v>
      </c>
      <c r="N837" s="37" t="str">
        <f aca="false">IF(OR(B837="",D837=""),"",IFERROR(IF(IF(E837="Primary",INDEX(Applications!$I$5:$I$600,MATCH(B837,Applications!$A$5:$A$600,0)),IF(E837="Secondary",INDEX(Applications!$J$5:$J$600,MATCH(B837,Applications!$A$5:$A$600,0)),INDEX(Applications!$K$5:$K$600,MATCH(B837,Applications!$A$5:$A$600,0))))=D837,"OK","Not assigned"),"Check ID"))</f>
        <v>OK</v>
      </c>
      <c r="O837" s="7"/>
    </row>
    <row r="838" customFormat="false" ht="15" hidden="false" customHeight="false" outlineLevel="0" collapsed="false">
      <c r="A838" s="35" t="s">
        <v>2235</v>
      </c>
      <c r="B838" s="35" t="s">
        <v>223</v>
      </c>
      <c r="C838" s="37" t="str">
        <f aca="false">IF(B838="","",IFERROR(INDEX(Applications!$B$5:$B$600,MATCH(B838,Applications!$A$5:$A$600,0)),"Application ID not found"))</f>
        <v>Cardiff Market Gardens</v>
      </c>
      <c r="D838" s="35" t="s">
        <v>91</v>
      </c>
      <c r="E838" s="35" t="s">
        <v>80</v>
      </c>
      <c r="F838" s="36" t="n">
        <v>45951</v>
      </c>
      <c r="G838" s="35" t="n">
        <v>4</v>
      </c>
      <c r="H838" s="35" t="n">
        <v>4</v>
      </c>
      <c r="I838" s="35" t="n">
        <v>4</v>
      </c>
      <c r="J838" s="35" t="n">
        <v>4</v>
      </c>
      <c r="K838" s="35" t="n">
        <v>4</v>
      </c>
      <c r="L838" s="35" t="n">
        <v>4</v>
      </c>
      <c r="M838" s="50" t="n">
        <f aca="false">IF(COUNT(G838:L838)&lt;6,"",ROUND((G838*Rubric!$D$5+H838*Rubric!$D$6+I838*Rubric!$D$7+J838*Rubric!$D$8+K838*Rubric!$D$9+L838*Rubric!$D$10)/5*100,1))</f>
        <v>80</v>
      </c>
      <c r="N838" s="37" t="str">
        <f aca="false">IF(OR(B838="",D838=""),"",IFERROR(IF(IF(E838="Primary",INDEX(Applications!$I$5:$I$600,MATCH(B838,Applications!$A$5:$A$600,0)),IF(E838="Secondary",INDEX(Applications!$J$5:$J$600,MATCH(B838,Applications!$A$5:$A$600,0)),INDEX(Applications!$K$5:$K$600,MATCH(B838,Applications!$A$5:$A$600,0))))=D838,"OK","Not assigned"),"Check ID"))</f>
        <v>OK</v>
      </c>
      <c r="O838" s="7"/>
    </row>
    <row r="839" customFormat="false" ht="15" hidden="false" customHeight="false" outlineLevel="0" collapsed="false">
      <c r="A839" s="35" t="s">
        <v>2236</v>
      </c>
      <c r="B839" s="35" t="s">
        <v>675</v>
      </c>
      <c r="C839" s="37" t="str">
        <f aca="false">IF(B839="","",IFERROR(INDEX(Applications!$B$5:$B$600,MATCH(B839,Applications!$A$5:$A$600,0)),"Application ID not found"))</f>
        <v>Cedar Community Pantry</v>
      </c>
      <c r="D839" s="35" t="s">
        <v>94</v>
      </c>
      <c r="E839" s="35" t="s">
        <v>80</v>
      </c>
      <c r="F839" s="36" t="n">
        <v>45951</v>
      </c>
      <c r="G839" s="35" t="n">
        <v>3</v>
      </c>
      <c r="H839" s="35" t="n">
        <v>3</v>
      </c>
      <c r="I839" s="35" t="n">
        <v>3</v>
      </c>
      <c r="J839" s="35" t="n">
        <v>3</v>
      </c>
      <c r="K839" s="35" t="n">
        <v>3</v>
      </c>
      <c r="L839" s="35" t="n">
        <v>3</v>
      </c>
      <c r="M839" s="50" t="n">
        <f aca="false">IF(COUNT(G839:L839)&lt;6,"",ROUND((G839*Rubric!$D$5+H839*Rubric!$D$6+I839*Rubric!$D$7+J839*Rubric!$D$8+K839*Rubric!$D$9+L839*Rubric!$D$10)/5*100,1))</f>
        <v>60</v>
      </c>
      <c r="N839" s="37" t="str">
        <f aca="false">IF(OR(B839="",D839=""),"",IFERROR(IF(IF(E839="Primary",INDEX(Applications!$I$5:$I$600,MATCH(B839,Applications!$A$5:$A$600,0)),IF(E839="Secondary",INDEX(Applications!$J$5:$J$600,MATCH(B839,Applications!$A$5:$A$600,0)),INDEX(Applications!$K$5:$K$600,MATCH(B839,Applications!$A$5:$A$600,0))))=D839,"OK","Not assigned"),"Check ID"))</f>
        <v>OK</v>
      </c>
      <c r="O839" s="7"/>
    </row>
    <row r="840" customFormat="false" ht="15" hidden="false" customHeight="false" outlineLevel="0" collapsed="false">
      <c r="A840" s="35" t="s">
        <v>2237</v>
      </c>
      <c r="B840" s="35" t="s">
        <v>1255</v>
      </c>
      <c r="C840" s="37" t="str">
        <f aca="false">IF(B840="","",IFERROR(INDEX(Applications!$B$5:$B$600,MATCH(B840,Applications!$A$5:$A$600,0)),"Application ID not found"))</f>
        <v>Bogotá Pantry Network</v>
      </c>
      <c r="D840" s="35" t="s">
        <v>94</v>
      </c>
      <c r="E840" s="35" t="s">
        <v>83</v>
      </c>
      <c r="F840" s="36" t="n">
        <v>45951</v>
      </c>
      <c r="G840" s="35" t="n">
        <v>3</v>
      </c>
      <c r="H840" s="35" t="n">
        <v>3</v>
      </c>
      <c r="I840" s="35" t="n">
        <v>3</v>
      </c>
      <c r="J840" s="35" t="n">
        <v>4</v>
      </c>
      <c r="K840" s="35" t="n">
        <v>4</v>
      </c>
      <c r="L840" s="35" t="n">
        <v>3</v>
      </c>
      <c r="M840" s="50" t="n">
        <f aca="false">IF(COUNT(G840:L840)&lt;6,"",ROUND((G840*Rubric!$D$5+H840*Rubric!$D$6+I840*Rubric!$D$7+J840*Rubric!$D$8+K840*Rubric!$D$9+L840*Rubric!$D$10)/5*100,1))</f>
        <v>65</v>
      </c>
      <c r="N840" s="37" t="str">
        <f aca="false">IF(OR(B840="",D840=""),"",IFERROR(IF(IF(E840="Primary",INDEX(Applications!$I$5:$I$600,MATCH(B840,Applications!$A$5:$A$600,0)),IF(E840="Secondary",INDEX(Applications!$J$5:$J$600,MATCH(B840,Applications!$A$5:$A$600,0)),INDEX(Applications!$K$5:$K$600,MATCH(B840,Applications!$A$5:$A$600,0))))=D840,"OK","Not assigned"),"Check ID"))</f>
        <v>OK</v>
      </c>
      <c r="O840" s="7"/>
    </row>
    <row r="841" customFormat="false" ht="15" hidden="false" customHeight="false" outlineLevel="0" collapsed="false">
      <c r="A841" s="35" t="s">
        <v>2238</v>
      </c>
      <c r="B841" s="35" t="s">
        <v>721</v>
      </c>
      <c r="C841" s="37" t="str">
        <f aca="false">IF(B841="","",IFERROR(INDEX(Applications!$B$5:$B$600,MATCH(B841,Applications!$A$5:$A$600,0)),"Application ID not found"))</f>
        <v>Ironwood Family Center</v>
      </c>
      <c r="D841" s="35" t="s">
        <v>94</v>
      </c>
      <c r="E841" s="35" t="s">
        <v>80</v>
      </c>
      <c r="F841" s="36" t="n">
        <v>45951</v>
      </c>
      <c r="G841" s="35" t="n">
        <v>4</v>
      </c>
      <c r="H841" s="35" t="n">
        <v>5</v>
      </c>
      <c r="I841" s="35" t="n">
        <v>4</v>
      </c>
      <c r="J841" s="35" t="n">
        <v>4</v>
      </c>
      <c r="K841" s="35" t="n">
        <v>4</v>
      </c>
      <c r="L841" s="35" t="n">
        <v>4</v>
      </c>
      <c r="M841" s="50" t="n">
        <f aca="false">IF(COUNT(G841:L841)&lt;6,"",ROUND((G841*Rubric!$D$5+H841*Rubric!$D$6+I841*Rubric!$D$7+J841*Rubric!$D$8+K841*Rubric!$D$9+L841*Rubric!$D$10)/5*100,1))</f>
        <v>84</v>
      </c>
      <c r="N841" s="37" t="str">
        <f aca="false">IF(OR(B841="",D841=""),"",IFERROR(IF(IF(E841="Primary",INDEX(Applications!$I$5:$I$600,MATCH(B841,Applications!$A$5:$A$600,0)),IF(E841="Secondary",INDEX(Applications!$J$5:$J$600,MATCH(B841,Applications!$A$5:$A$600,0)),INDEX(Applications!$K$5:$K$600,MATCH(B841,Applications!$A$5:$A$600,0))))=D841,"OK","Not assigned"),"Check ID"))</f>
        <v>OK</v>
      </c>
      <c r="O841" s="7"/>
    </row>
    <row r="842" customFormat="false" ht="15" hidden="false" customHeight="false" outlineLevel="0" collapsed="false">
      <c r="A842" s="35" t="s">
        <v>2239</v>
      </c>
      <c r="B842" s="35" t="s">
        <v>991</v>
      </c>
      <c r="C842" s="37" t="str">
        <f aca="false">IF(B842="","",IFERROR(INDEX(Applications!$B$5:$B$600,MATCH(B842,Applications!$A$5:$A$600,0)),"Application ID not found"))</f>
        <v>Two Rivers Mobile Market</v>
      </c>
      <c r="D842" s="35" t="s">
        <v>94</v>
      </c>
      <c r="E842" s="35" t="s">
        <v>83</v>
      </c>
      <c r="F842" s="36" t="n">
        <v>45951</v>
      </c>
      <c r="G842" s="35" t="n">
        <v>4</v>
      </c>
      <c r="H842" s="35" t="n">
        <v>4</v>
      </c>
      <c r="I842" s="35" t="n">
        <v>4</v>
      </c>
      <c r="J842" s="35" t="n">
        <v>4</v>
      </c>
      <c r="K842" s="35" t="n">
        <v>4</v>
      </c>
      <c r="L842" s="35" t="n">
        <v>4</v>
      </c>
      <c r="M842" s="50" t="n">
        <f aca="false">IF(COUNT(G842:L842)&lt;6,"",ROUND((G842*Rubric!$D$5+H842*Rubric!$D$6+I842*Rubric!$D$7+J842*Rubric!$D$8+K842*Rubric!$D$9+L842*Rubric!$D$10)/5*100,1))</f>
        <v>80</v>
      </c>
      <c r="N842" s="37" t="str">
        <f aca="false">IF(OR(B842="",D842=""),"",IFERROR(IF(IF(E842="Primary",INDEX(Applications!$I$5:$I$600,MATCH(B842,Applications!$A$5:$A$600,0)),IF(E842="Secondary",INDEX(Applications!$J$5:$J$600,MATCH(B842,Applications!$A$5:$A$600,0)),INDEX(Applications!$K$5:$K$600,MATCH(B842,Applications!$A$5:$A$600,0))))=D842,"OK","Not assigned"),"Check ID"))</f>
        <v>OK</v>
      </c>
      <c r="O842" s="7"/>
    </row>
    <row r="843" customFormat="false" ht="15" hidden="false" customHeight="false" outlineLevel="0" collapsed="false">
      <c r="A843" s="35" t="s">
        <v>2240</v>
      </c>
      <c r="B843" s="35" t="s">
        <v>859</v>
      </c>
      <c r="C843" s="37" t="str">
        <f aca="false">IF(B843="","",IFERROR(INDEX(Applications!$B$5:$B$600,MATCH(B843,Applications!$A$5:$A$600,0)),"Application ID not found"))</f>
        <v>Des Moines Farm School</v>
      </c>
      <c r="D843" s="35" t="s">
        <v>94</v>
      </c>
      <c r="E843" s="35" t="s">
        <v>80</v>
      </c>
      <c r="F843" s="36" t="n">
        <v>45951</v>
      </c>
      <c r="G843" s="35" t="n">
        <v>3</v>
      </c>
      <c r="H843" s="35" t="n">
        <v>3</v>
      </c>
      <c r="I843" s="35" t="n">
        <v>4</v>
      </c>
      <c r="J843" s="35" t="n">
        <v>4</v>
      </c>
      <c r="K843" s="35" t="n">
        <v>3</v>
      </c>
      <c r="L843" s="35" t="n">
        <v>4</v>
      </c>
      <c r="M843" s="50" t="n">
        <f aca="false">IF(COUNT(G843:L843)&lt;6,"",ROUND((G843*Rubric!$D$5+H843*Rubric!$D$6+I843*Rubric!$D$7+J843*Rubric!$D$8+K843*Rubric!$D$9+L843*Rubric!$D$10)/5*100,1))</f>
        <v>69</v>
      </c>
      <c r="N843" s="37" t="str">
        <f aca="false">IF(OR(B843="",D843=""),"",IFERROR(IF(IF(E843="Primary",INDEX(Applications!$I$5:$I$600,MATCH(B843,Applications!$A$5:$A$600,0)),IF(E843="Secondary",INDEX(Applications!$J$5:$J$600,MATCH(B843,Applications!$A$5:$A$600,0)),INDEX(Applications!$K$5:$K$600,MATCH(B843,Applications!$A$5:$A$600,0))))=D843,"OK","Not assigned"),"Check ID"))</f>
        <v>OK</v>
      </c>
      <c r="O843" s="7" t="s">
        <v>1493</v>
      </c>
    </row>
    <row r="844" customFormat="false" ht="15" hidden="false" customHeight="false" outlineLevel="0" collapsed="false">
      <c r="A844" s="35" t="s">
        <v>2241</v>
      </c>
      <c r="B844" s="35" t="s">
        <v>414</v>
      </c>
      <c r="C844" s="37" t="str">
        <f aca="false">IF(B844="","",IFERROR(INDEX(Applications!$B$5:$B$600,MATCH(B844,Applications!$A$5:$A$600,0)),"Application ID not found"))</f>
        <v>Two Rivers Kitchen Project</v>
      </c>
      <c r="D844" s="35" t="s">
        <v>94</v>
      </c>
      <c r="E844" s="35" t="s">
        <v>80</v>
      </c>
      <c r="F844" s="36" t="n">
        <v>45951</v>
      </c>
      <c r="G844" s="35" t="n">
        <v>3</v>
      </c>
      <c r="H844" s="35" t="n">
        <v>3</v>
      </c>
      <c r="I844" s="35" t="n">
        <v>3</v>
      </c>
      <c r="J844" s="35" t="n">
        <v>2</v>
      </c>
      <c r="K844" s="35" t="n">
        <v>3</v>
      </c>
      <c r="L844" s="35" t="n">
        <v>3</v>
      </c>
      <c r="M844" s="50" t="n">
        <f aca="false">IF(COUNT(G844:L844)&lt;6,"",ROUND((G844*Rubric!$D$5+H844*Rubric!$D$6+I844*Rubric!$D$7+J844*Rubric!$D$8+K844*Rubric!$D$9+L844*Rubric!$D$10)/5*100,1))</f>
        <v>57</v>
      </c>
      <c r="N844" s="37" t="str">
        <f aca="false">IF(OR(B844="",D844=""),"",IFERROR(IF(IF(E844="Primary",INDEX(Applications!$I$5:$I$600,MATCH(B844,Applications!$A$5:$A$600,0)),IF(E844="Secondary",INDEX(Applications!$J$5:$J$600,MATCH(B844,Applications!$A$5:$A$600,0)),INDEX(Applications!$K$5:$K$600,MATCH(B844,Applications!$A$5:$A$600,0))))=D844,"OK","Not assigned"),"Check ID"))</f>
        <v>OK</v>
      </c>
      <c r="O844" s="7" t="s">
        <v>1592</v>
      </c>
    </row>
    <row r="845" customFormat="false" ht="15" hidden="false" customHeight="false" outlineLevel="0" collapsed="false">
      <c r="A845" s="35" t="s">
        <v>2242</v>
      </c>
      <c r="B845" s="35" t="s">
        <v>753</v>
      </c>
      <c r="C845" s="37" t="str">
        <f aca="false">IF(B845="","",IFERROR(INDEX(Applications!$B$5:$B$600,MATCH(B845,Applications!$A$5:$A$600,0)),"Application ID not found"))</f>
        <v>Tucson Food Bank</v>
      </c>
      <c r="D845" s="35" t="s">
        <v>94</v>
      </c>
      <c r="E845" s="35" t="s">
        <v>80</v>
      </c>
      <c r="F845" s="36" t="n">
        <v>45951</v>
      </c>
      <c r="G845" s="35" t="n">
        <v>4</v>
      </c>
      <c r="H845" s="35" t="n">
        <v>5</v>
      </c>
      <c r="I845" s="35" t="n">
        <v>5</v>
      </c>
      <c r="J845" s="35" t="n">
        <v>5</v>
      </c>
      <c r="K845" s="35" t="n">
        <v>4</v>
      </c>
      <c r="L845" s="35" t="n">
        <v>5</v>
      </c>
      <c r="M845" s="50" t="n">
        <f aca="false">IF(COUNT(G845:L845)&lt;6,"",ROUND((G845*Rubric!$D$5+H845*Rubric!$D$6+I845*Rubric!$D$7+J845*Rubric!$D$8+K845*Rubric!$D$9+L845*Rubric!$D$10)/5*100,1))</f>
        <v>93</v>
      </c>
      <c r="N845" s="37" t="str">
        <f aca="false">IF(OR(B845="",D845=""),"",IFERROR(IF(IF(E845="Primary",INDEX(Applications!$I$5:$I$600,MATCH(B845,Applications!$A$5:$A$600,0)),IF(E845="Secondary",INDEX(Applications!$J$5:$J$600,MATCH(B845,Applications!$A$5:$A$600,0)),INDEX(Applications!$K$5:$K$600,MATCH(B845,Applications!$A$5:$A$600,0))))=D845,"OK","Not assigned"),"Check ID"))</f>
        <v>OK</v>
      </c>
      <c r="O845" s="7" t="s">
        <v>1592</v>
      </c>
    </row>
    <row r="846" customFormat="false" ht="15" hidden="false" customHeight="false" outlineLevel="0" collapsed="false">
      <c r="A846" s="35" t="s">
        <v>2243</v>
      </c>
      <c r="B846" s="35" t="s">
        <v>999</v>
      </c>
      <c r="C846" s="37" t="str">
        <f aca="false">IF(B846="","",IFERROR(INDEX(Applications!$B$5:$B$600,MATCH(B846,Applications!$A$5:$A$600,0)),"Application ID not found"))</f>
        <v>Tidewater Seed Library</v>
      </c>
      <c r="D846" s="35" t="s">
        <v>94</v>
      </c>
      <c r="E846" s="35" t="s">
        <v>83</v>
      </c>
      <c r="F846" s="36" t="n">
        <v>45951</v>
      </c>
      <c r="G846" s="35" t="n">
        <v>3</v>
      </c>
      <c r="H846" s="35" t="n">
        <v>4</v>
      </c>
      <c r="I846" s="35" t="n">
        <v>3</v>
      </c>
      <c r="J846" s="35" t="n">
        <v>4</v>
      </c>
      <c r="K846" s="35" t="n">
        <v>2</v>
      </c>
      <c r="L846" s="35" t="n">
        <v>3</v>
      </c>
      <c r="M846" s="50" t="n">
        <f aca="false">IF(COUNT(G846:L846)&lt;6,"",ROUND((G846*Rubric!$D$5+H846*Rubric!$D$6+I846*Rubric!$D$7+J846*Rubric!$D$8+K846*Rubric!$D$9+L846*Rubric!$D$10)/5*100,1))</f>
        <v>65</v>
      </c>
      <c r="N846" s="37" t="str">
        <f aca="false">IF(OR(B846="",D846=""),"",IFERROR(IF(IF(E846="Primary",INDEX(Applications!$I$5:$I$600,MATCH(B846,Applications!$A$5:$A$600,0)),IF(E846="Secondary",INDEX(Applications!$J$5:$J$600,MATCH(B846,Applications!$A$5:$A$600,0)),INDEX(Applications!$K$5:$K$600,MATCH(B846,Applications!$A$5:$A$600,0))))=D846,"OK","Not assigned"),"Check ID"))</f>
        <v>OK</v>
      </c>
      <c r="O846" s="7" t="s">
        <v>1592</v>
      </c>
    </row>
    <row r="847" customFormat="false" ht="15" hidden="false" customHeight="false" outlineLevel="0" collapsed="false">
      <c r="A847" s="35" t="s">
        <v>2244</v>
      </c>
      <c r="B847" s="35" t="s">
        <v>737</v>
      </c>
      <c r="C847" s="37" t="str">
        <f aca="false">IF(B847="","",IFERROR(INDEX(Applications!$B$5:$B$600,MATCH(B847,Applications!$A$5:$A$600,0)),"Application ID not found"))</f>
        <v>Juniper Community Kitchen</v>
      </c>
      <c r="D847" s="35" t="s">
        <v>94</v>
      </c>
      <c r="E847" s="35" t="s">
        <v>83</v>
      </c>
      <c r="F847" s="36" t="n">
        <v>45951</v>
      </c>
      <c r="G847" s="35" t="n">
        <v>4</v>
      </c>
      <c r="H847" s="35" t="n">
        <v>5</v>
      </c>
      <c r="I847" s="35" t="n">
        <v>5</v>
      </c>
      <c r="J847" s="35" t="n">
        <v>4</v>
      </c>
      <c r="K847" s="35" t="n">
        <v>5</v>
      </c>
      <c r="L847" s="35" t="n">
        <v>5</v>
      </c>
      <c r="M847" s="50" t="n">
        <f aca="false">IF(COUNT(G847:L847)&lt;6,"",ROUND((G847*Rubric!$D$5+H847*Rubric!$D$6+I847*Rubric!$D$7+J847*Rubric!$D$8+K847*Rubric!$D$9+L847*Rubric!$D$10)/5*100,1))</f>
        <v>92</v>
      </c>
      <c r="N847" s="37" t="str">
        <f aca="false">IF(OR(B847="",D847=""),"",IFERROR(IF(IF(E847="Primary",INDEX(Applications!$I$5:$I$600,MATCH(B847,Applications!$A$5:$A$600,0)),IF(E847="Secondary",INDEX(Applications!$J$5:$J$600,MATCH(B847,Applications!$A$5:$A$600,0)),INDEX(Applications!$K$5:$K$600,MATCH(B847,Applications!$A$5:$A$600,0))))=D847,"OK","Not assigned"),"Check ID"))</f>
        <v>OK</v>
      </c>
      <c r="O847" s="7"/>
    </row>
    <row r="848" customFormat="false" ht="15" hidden="false" customHeight="false" outlineLevel="0" collapsed="false">
      <c r="A848" s="35" t="s">
        <v>2245</v>
      </c>
      <c r="B848" s="35" t="s">
        <v>945</v>
      </c>
      <c r="C848" s="37" t="str">
        <f aca="false">IF(B848="","",IFERROR(INDEX(Applications!$B$5:$B$600,MATCH(B848,Applications!$A$5:$A$600,0)),"Application ID not found"))</f>
        <v>Puebla Farm Collective</v>
      </c>
      <c r="D848" s="35" t="s">
        <v>94</v>
      </c>
      <c r="E848" s="35" t="s">
        <v>83</v>
      </c>
      <c r="F848" s="36" t="n">
        <v>45951</v>
      </c>
      <c r="G848" s="35" t="n">
        <v>2</v>
      </c>
      <c r="H848" s="35" t="n">
        <v>2</v>
      </c>
      <c r="I848" s="35" t="n">
        <v>3</v>
      </c>
      <c r="J848" s="35" t="n">
        <v>2</v>
      </c>
      <c r="K848" s="35" t="n">
        <v>2</v>
      </c>
      <c r="L848" s="35" t="n">
        <v>3</v>
      </c>
      <c r="M848" s="50" t="n">
        <f aca="false">IF(COUNT(G848:L848)&lt;6,"",ROUND((G848*Rubric!$D$5+H848*Rubric!$D$6+I848*Rubric!$D$7+J848*Rubric!$D$8+K848*Rubric!$D$9+L848*Rubric!$D$10)/5*100,1))</f>
        <v>46</v>
      </c>
      <c r="N848" s="37" t="str">
        <f aca="false">IF(OR(B848="",D848=""),"",IFERROR(IF(IF(E848="Primary",INDEX(Applications!$I$5:$I$600,MATCH(B848,Applications!$A$5:$A$600,0)),IF(E848="Secondary",INDEX(Applications!$J$5:$J$600,MATCH(B848,Applications!$A$5:$A$600,0)),INDEX(Applications!$K$5:$K$600,MATCH(B848,Applications!$A$5:$A$600,0))))=D848,"OK","Not assigned"),"Check ID"))</f>
        <v>OK</v>
      </c>
      <c r="O848" s="7"/>
    </row>
    <row r="849" customFormat="false" ht="15" hidden="false" customHeight="false" outlineLevel="0" collapsed="false">
      <c r="A849" s="35" t="s">
        <v>2246</v>
      </c>
      <c r="B849" s="35" t="s">
        <v>248</v>
      </c>
      <c r="C849" s="37" t="str">
        <f aca="false">IF(B849="","",IFERROR(INDEX(Applications!$B$5:$B$600,MATCH(B849,Applications!$A$5:$A$600,0)),"Application ID not found"))</f>
        <v>Omaha Food Bank</v>
      </c>
      <c r="D849" s="35" t="s">
        <v>94</v>
      </c>
      <c r="E849" s="35" t="s">
        <v>83</v>
      </c>
      <c r="F849" s="36" t="n">
        <v>45951</v>
      </c>
      <c r="G849" s="35" t="n">
        <v>2</v>
      </c>
      <c r="H849" s="35" t="n">
        <v>3</v>
      </c>
      <c r="I849" s="35" t="n">
        <v>3</v>
      </c>
      <c r="J849" s="35" t="n">
        <v>3</v>
      </c>
      <c r="K849" s="35" t="n">
        <v>3</v>
      </c>
      <c r="L849" s="35" t="n">
        <v>3</v>
      </c>
      <c r="M849" s="50" t="n">
        <f aca="false">IF(COUNT(G849:L849)&lt;6,"",ROUND((G849*Rubric!$D$5+H849*Rubric!$D$6+I849*Rubric!$D$7+J849*Rubric!$D$8+K849*Rubric!$D$9+L849*Rubric!$D$10)/5*100,1))</f>
        <v>55</v>
      </c>
      <c r="N849" s="37" t="str">
        <f aca="false">IF(OR(B849="",D849=""),"",IFERROR(IF(IF(E849="Primary",INDEX(Applications!$I$5:$I$600,MATCH(B849,Applications!$A$5:$A$600,0)),IF(E849="Secondary",INDEX(Applications!$J$5:$J$600,MATCH(B849,Applications!$A$5:$A$600,0)),INDEX(Applications!$K$5:$K$600,MATCH(B849,Applications!$A$5:$A$600,0))))=D849,"OK","Not assigned"),"Check ID"))</f>
        <v>OK</v>
      </c>
      <c r="O849" s="7"/>
    </row>
    <row r="850" customFormat="false" ht="15" hidden="false" customHeight="false" outlineLevel="0" collapsed="false">
      <c r="A850" s="35" t="s">
        <v>2247</v>
      </c>
      <c r="B850" s="35" t="s">
        <v>747</v>
      </c>
      <c r="C850" s="37" t="str">
        <f aca="false">IF(B850="","",IFERROR(INDEX(Applications!$B$5:$B$600,MATCH(B850,Applications!$A$5:$A$600,0)),"Application ID not found"))</f>
        <v>Durham Seed Library</v>
      </c>
      <c r="D850" s="35" t="s">
        <v>94</v>
      </c>
      <c r="E850" s="35" t="s">
        <v>80</v>
      </c>
      <c r="F850" s="36" t="n">
        <v>45951</v>
      </c>
      <c r="G850" s="35" t="n">
        <v>5</v>
      </c>
      <c r="H850" s="35" t="n">
        <v>5</v>
      </c>
      <c r="I850" s="35" t="n">
        <v>4</v>
      </c>
      <c r="J850" s="35" t="n">
        <v>4</v>
      </c>
      <c r="K850" s="35" t="n">
        <v>5</v>
      </c>
      <c r="L850" s="35" t="n">
        <v>4</v>
      </c>
      <c r="M850" s="50" t="n">
        <f aca="false">IF(COUNT(G850:L850)&lt;6,"",ROUND((G850*Rubric!$D$5+H850*Rubric!$D$6+I850*Rubric!$D$7+J850*Rubric!$D$8+K850*Rubric!$D$9+L850*Rubric!$D$10)/5*100,1))</f>
        <v>91</v>
      </c>
      <c r="N850" s="37" t="str">
        <f aca="false">IF(OR(B850="",D850=""),"",IFERROR(IF(IF(E850="Primary",INDEX(Applications!$I$5:$I$600,MATCH(B850,Applications!$A$5:$A$600,0)),IF(E850="Secondary",INDEX(Applications!$J$5:$J$600,MATCH(B850,Applications!$A$5:$A$600,0)),INDEX(Applications!$K$5:$K$600,MATCH(B850,Applications!$A$5:$A$600,0))))=D850,"OK","Not assigned"),"Check ID"))</f>
        <v>OK</v>
      </c>
      <c r="O850" s="7"/>
    </row>
    <row r="851" customFormat="false" ht="15" hidden="false" customHeight="false" outlineLevel="0" collapsed="false">
      <c r="A851" s="35" t="s">
        <v>2248</v>
      </c>
      <c r="B851" s="35" t="s">
        <v>321</v>
      </c>
      <c r="C851" s="37" t="str">
        <f aca="false">IF(B851="","",IFERROR(INDEX(Applications!$B$5:$B$600,MATCH(B851,Applications!$A$5:$A$600,0)),"Application ID not found"))</f>
        <v>Wichita Food Ventures</v>
      </c>
      <c r="D851" s="35" t="s">
        <v>94</v>
      </c>
      <c r="E851" s="35" t="s">
        <v>86</v>
      </c>
      <c r="F851" s="36" t="n">
        <v>45951</v>
      </c>
      <c r="G851" s="35" t="n">
        <v>2</v>
      </c>
      <c r="H851" s="35" t="n">
        <v>2</v>
      </c>
      <c r="I851" s="35" t="n">
        <v>2</v>
      </c>
      <c r="J851" s="35" t="n">
        <v>2</v>
      </c>
      <c r="K851" s="35" t="n">
        <v>2</v>
      </c>
      <c r="L851" s="35" t="n">
        <v>1</v>
      </c>
      <c r="M851" s="50" t="n">
        <f aca="false">IF(COUNT(G851:L851)&lt;6,"",ROUND((G851*Rubric!$D$5+H851*Rubric!$D$6+I851*Rubric!$D$7+J851*Rubric!$D$8+K851*Rubric!$D$9+L851*Rubric!$D$10)/5*100,1))</f>
        <v>38</v>
      </c>
      <c r="N851" s="37" t="str">
        <f aca="false">IF(OR(B851="",D851=""),"",IFERROR(IF(IF(E851="Primary",INDEX(Applications!$I$5:$I$600,MATCH(B851,Applications!$A$5:$A$600,0)),IF(E851="Secondary",INDEX(Applications!$J$5:$J$600,MATCH(B851,Applications!$A$5:$A$600,0)),INDEX(Applications!$K$5:$K$600,MATCH(B851,Applications!$A$5:$A$600,0))))=D851,"OK","Not assigned"),"Check ID"))</f>
        <v>OK</v>
      </c>
      <c r="O851" s="7"/>
    </row>
    <row r="852" customFormat="false" ht="15" hidden="false" customHeight="false" outlineLevel="0" collapsed="false">
      <c r="A852" s="35" t="s">
        <v>2249</v>
      </c>
      <c r="B852" s="35" t="s">
        <v>1191</v>
      </c>
      <c r="C852" s="37" t="str">
        <f aca="false">IF(B852="","",IFERROR(INDEX(Applications!$B$5:$B$600,MATCH(B852,Applications!$A$5:$A$600,0)),"Application ID not found"))</f>
        <v>Toronto Community Pantry</v>
      </c>
      <c r="D852" s="35" t="s">
        <v>94</v>
      </c>
      <c r="E852" s="35" t="s">
        <v>86</v>
      </c>
      <c r="F852" s="36" t="n">
        <v>45951</v>
      </c>
      <c r="G852" s="35" t="n">
        <v>3</v>
      </c>
      <c r="H852" s="35" t="n">
        <v>3</v>
      </c>
      <c r="I852" s="35" t="n">
        <v>3</v>
      </c>
      <c r="J852" s="35" t="n">
        <v>3</v>
      </c>
      <c r="K852" s="35" t="n">
        <v>3</v>
      </c>
      <c r="L852" s="35" t="n">
        <v>3</v>
      </c>
      <c r="M852" s="50" t="n">
        <f aca="false">IF(COUNT(G852:L852)&lt;6,"",ROUND((G852*Rubric!$D$5+H852*Rubric!$D$6+I852*Rubric!$D$7+J852*Rubric!$D$8+K852*Rubric!$D$9+L852*Rubric!$D$10)/5*100,1))</f>
        <v>60</v>
      </c>
      <c r="N852" s="37" t="str">
        <f aca="false">IF(OR(B852="",D852=""),"",IFERROR(IF(IF(E852="Primary",INDEX(Applications!$I$5:$I$600,MATCH(B852,Applications!$A$5:$A$600,0)),IF(E852="Secondary",INDEX(Applications!$J$5:$J$600,MATCH(B852,Applications!$A$5:$A$600,0)),INDEX(Applications!$K$5:$K$600,MATCH(B852,Applications!$A$5:$A$600,0))))=D852,"OK","Not assigned"),"Check ID"))</f>
        <v>OK</v>
      </c>
      <c r="O852" s="7"/>
    </row>
    <row r="853" customFormat="false" ht="15" hidden="false" customHeight="false" outlineLevel="0" collapsed="false">
      <c r="A853" s="35" t="s">
        <v>2250</v>
      </c>
      <c r="B853" s="35" t="s">
        <v>470</v>
      </c>
      <c r="C853" s="37" t="str">
        <f aca="false">IF(B853="","",IFERROR(INDEX(Applications!$B$5:$B$600,MATCH(B853,Applications!$A$5:$A$600,0)),"Application ID not found"))</f>
        <v>Union Square Market Gardens</v>
      </c>
      <c r="D853" s="35" t="s">
        <v>94</v>
      </c>
      <c r="E853" s="35" t="s">
        <v>86</v>
      </c>
      <c r="F853" s="36" t="n">
        <v>45951</v>
      </c>
      <c r="G853" s="35" t="n">
        <v>3</v>
      </c>
      <c r="H853" s="35" t="n">
        <v>2</v>
      </c>
      <c r="I853" s="35" t="n">
        <v>4</v>
      </c>
      <c r="J853" s="35" t="n">
        <v>4</v>
      </c>
      <c r="K853" s="35" t="n">
        <v>3</v>
      </c>
      <c r="L853" s="35" t="n">
        <v>3</v>
      </c>
      <c r="M853" s="50" t="n">
        <f aca="false">IF(COUNT(G853:L853)&lt;6,"",ROUND((G853*Rubric!$D$5+H853*Rubric!$D$6+I853*Rubric!$D$7+J853*Rubric!$D$8+K853*Rubric!$D$9+L853*Rubric!$D$10)/5*100,1))</f>
        <v>63</v>
      </c>
      <c r="N853" s="37" t="str">
        <f aca="false">IF(OR(B853="",D853=""),"",IFERROR(IF(IF(E853="Primary",INDEX(Applications!$I$5:$I$600,MATCH(B853,Applications!$A$5:$A$600,0)),IF(E853="Secondary",INDEX(Applications!$J$5:$J$600,MATCH(B853,Applications!$A$5:$A$600,0)),INDEX(Applications!$K$5:$K$600,MATCH(B853,Applications!$A$5:$A$600,0))))=D853,"OK","Not assigned"),"Check ID"))</f>
        <v>OK</v>
      </c>
      <c r="O853" s="7" t="s">
        <v>1418</v>
      </c>
    </row>
    <row r="854" customFormat="false" ht="15" hidden="false" customHeight="false" outlineLevel="0" collapsed="false">
      <c r="A854" s="35" t="s">
        <v>2251</v>
      </c>
      <c r="B854" s="35" t="s">
        <v>589</v>
      </c>
      <c r="C854" s="37" t="str">
        <f aca="false">IF(B854="","",IFERROR(INDEX(Applications!$B$5:$B$600,MATCH(B854,Applications!$A$5:$A$600,0)),"Application ID not found"))</f>
        <v>Hamburg Cafe Training Program</v>
      </c>
      <c r="D854" s="35" t="s">
        <v>85</v>
      </c>
      <c r="E854" s="35" t="s">
        <v>83</v>
      </c>
      <c r="F854" s="36" t="n">
        <v>45951</v>
      </c>
      <c r="G854" s="35" t="n">
        <v>2</v>
      </c>
      <c r="H854" s="35" t="n">
        <v>3</v>
      </c>
      <c r="I854" s="35" t="n">
        <v>3</v>
      </c>
      <c r="J854" s="35" t="n">
        <v>3</v>
      </c>
      <c r="K854" s="35" t="n">
        <v>3</v>
      </c>
      <c r="L854" s="35" t="n">
        <v>3</v>
      </c>
      <c r="M854" s="50" t="n">
        <f aca="false">IF(COUNT(G854:L854)&lt;6,"",ROUND((G854*Rubric!$D$5+H854*Rubric!$D$6+I854*Rubric!$D$7+J854*Rubric!$D$8+K854*Rubric!$D$9+L854*Rubric!$D$10)/5*100,1))</f>
        <v>55</v>
      </c>
      <c r="N854" s="37" t="str">
        <f aca="false">IF(OR(B854="",D854=""),"",IFERROR(IF(IF(E854="Primary",INDEX(Applications!$I$5:$I$600,MATCH(B854,Applications!$A$5:$A$600,0)),IF(E854="Secondary",INDEX(Applications!$J$5:$J$600,MATCH(B854,Applications!$A$5:$A$600,0)),INDEX(Applications!$K$5:$K$600,MATCH(B854,Applications!$A$5:$A$600,0))))=D854,"OK","Not assigned"),"Check ID"))</f>
        <v>OK</v>
      </c>
      <c r="O854" s="7"/>
    </row>
    <row r="855" customFormat="false" ht="15" hidden="false" customHeight="false" outlineLevel="0" collapsed="false">
      <c r="A855" s="35" t="s">
        <v>2252</v>
      </c>
      <c r="B855" s="35" t="s">
        <v>1093</v>
      </c>
      <c r="C855" s="37" t="str">
        <f aca="false">IF(B855="","",IFERROR(INDEX(Applications!$B$5:$B$600,MATCH(B855,Applications!$A$5:$A$600,0)),"Application ID not found"))</f>
        <v>Chicago Growers Cooperative</v>
      </c>
      <c r="D855" s="35" t="s">
        <v>85</v>
      </c>
      <c r="E855" s="35" t="s">
        <v>80</v>
      </c>
      <c r="F855" s="36" t="n">
        <v>45951</v>
      </c>
      <c r="G855" s="35" t="n">
        <v>4</v>
      </c>
      <c r="H855" s="35" t="n">
        <v>3</v>
      </c>
      <c r="I855" s="35" t="n">
        <v>3</v>
      </c>
      <c r="J855" s="35" t="n">
        <v>4</v>
      </c>
      <c r="K855" s="35" t="n">
        <v>3</v>
      </c>
      <c r="L855" s="35" t="n">
        <v>3</v>
      </c>
      <c r="M855" s="50" t="n">
        <f aca="false">IF(COUNT(G855:L855)&lt;6,"",ROUND((G855*Rubric!$D$5+H855*Rubric!$D$6+I855*Rubric!$D$7+J855*Rubric!$D$8+K855*Rubric!$D$9+L855*Rubric!$D$10)/5*100,1))</f>
        <v>68</v>
      </c>
      <c r="N855" s="37" t="str">
        <f aca="false">IF(OR(B855="",D855=""),"",IFERROR(IF(IF(E855="Primary",INDEX(Applications!$I$5:$I$600,MATCH(B855,Applications!$A$5:$A$600,0)),IF(E855="Secondary",INDEX(Applications!$J$5:$J$600,MATCH(B855,Applications!$A$5:$A$600,0)),INDEX(Applications!$K$5:$K$600,MATCH(B855,Applications!$A$5:$A$600,0))))=D855,"OK","Not assigned"),"Check ID"))</f>
        <v>OK</v>
      </c>
      <c r="O855" s="7"/>
    </row>
    <row r="856" customFormat="false" ht="15" hidden="false" customHeight="false" outlineLevel="0" collapsed="false">
      <c r="A856" s="35" t="s">
        <v>2253</v>
      </c>
      <c r="B856" s="35" t="s">
        <v>963</v>
      </c>
      <c r="C856" s="37" t="str">
        <f aca="false">IF(B856="","",IFERROR(INDEX(Applications!$B$5:$B$600,MATCH(B856,Applications!$A$5:$A$600,0)),"Application ID not found"))</f>
        <v>Marigold Cafe Training Program</v>
      </c>
      <c r="D856" s="35" t="s">
        <v>85</v>
      </c>
      <c r="E856" s="35" t="s">
        <v>83</v>
      </c>
      <c r="F856" s="36" t="n">
        <v>45951</v>
      </c>
      <c r="G856" s="35" t="n">
        <v>4</v>
      </c>
      <c r="H856" s="35" t="n">
        <v>3</v>
      </c>
      <c r="I856" s="35" t="n">
        <v>4</v>
      </c>
      <c r="J856" s="35" t="n">
        <v>4</v>
      </c>
      <c r="K856" s="35" t="n">
        <v>4</v>
      </c>
      <c r="L856" s="35" t="n">
        <v>4</v>
      </c>
      <c r="M856" s="50" t="n">
        <f aca="false">IF(COUNT(G856:L856)&lt;6,"",ROUND((G856*Rubric!$D$5+H856*Rubric!$D$6+I856*Rubric!$D$7+J856*Rubric!$D$8+K856*Rubric!$D$9+L856*Rubric!$D$10)/5*100,1))</f>
        <v>76</v>
      </c>
      <c r="N856" s="37" t="str">
        <f aca="false">IF(OR(B856="",D856=""),"",IFERROR(IF(IF(E856="Primary",INDEX(Applications!$I$5:$I$600,MATCH(B856,Applications!$A$5:$A$600,0)),IF(E856="Secondary",INDEX(Applications!$J$5:$J$600,MATCH(B856,Applications!$A$5:$A$600,0)),INDEX(Applications!$K$5:$K$600,MATCH(B856,Applications!$A$5:$A$600,0))))=D856,"OK","Not assigned"),"Check ID"))</f>
        <v>OK</v>
      </c>
      <c r="O856" s="7"/>
    </row>
    <row r="857" customFormat="false" ht="15" hidden="false" customHeight="false" outlineLevel="0" collapsed="false">
      <c r="A857" s="35" t="s">
        <v>2254</v>
      </c>
      <c r="B857" s="35" t="s">
        <v>498</v>
      </c>
      <c r="C857" s="37" t="str">
        <f aca="false">IF(B857="","",IFERROR(INDEX(Applications!$B$5:$B$600,MATCH(B857,Applications!$A$5:$A$600,0)),"Application ID not found"))</f>
        <v>Calgary Culinary Works</v>
      </c>
      <c r="D857" s="35" t="s">
        <v>85</v>
      </c>
      <c r="E857" s="35" t="s">
        <v>80</v>
      </c>
      <c r="F857" s="36" t="n">
        <v>45951</v>
      </c>
      <c r="G857" s="35" t="n">
        <v>3</v>
      </c>
      <c r="H857" s="35" t="n">
        <v>3</v>
      </c>
      <c r="I857" s="35" t="n">
        <v>3</v>
      </c>
      <c r="J857" s="35" t="n">
        <v>3</v>
      </c>
      <c r="K857" s="35" t="n">
        <v>2</v>
      </c>
      <c r="L857" s="35" t="n">
        <v>3</v>
      </c>
      <c r="M857" s="50" t="n">
        <f aca="false">IF(COUNT(G857:L857)&lt;6,"",ROUND((G857*Rubric!$D$5+H857*Rubric!$D$6+I857*Rubric!$D$7+J857*Rubric!$D$8+K857*Rubric!$D$9+L857*Rubric!$D$10)/5*100,1))</f>
        <v>58</v>
      </c>
      <c r="N857" s="37" t="str">
        <f aca="false">IF(OR(B857="",D857=""),"",IFERROR(IF(IF(E857="Primary",INDEX(Applications!$I$5:$I$600,MATCH(B857,Applications!$A$5:$A$600,0)),IF(E857="Secondary",INDEX(Applications!$J$5:$J$600,MATCH(B857,Applications!$A$5:$A$600,0)),INDEX(Applications!$K$5:$K$600,MATCH(B857,Applications!$A$5:$A$600,0))))=D857,"OK","Not assigned"),"Check ID"))</f>
        <v>OK</v>
      </c>
      <c r="O857" s="7"/>
    </row>
    <row r="858" customFormat="false" ht="15" hidden="false" customHeight="false" outlineLevel="0" collapsed="false">
      <c r="A858" s="35" t="s">
        <v>2255</v>
      </c>
      <c r="B858" s="35" t="s">
        <v>212</v>
      </c>
      <c r="C858" s="37" t="str">
        <f aca="false">IF(B858="","",IFERROR(INDEX(Applications!$B$5:$B$600,MATCH(B858,Applications!$A$5:$A$600,0)),"Application ID not found"))</f>
        <v>Louisville Food Bank</v>
      </c>
      <c r="D858" s="35" t="s">
        <v>85</v>
      </c>
      <c r="E858" s="35" t="s">
        <v>80</v>
      </c>
      <c r="F858" s="36" t="n">
        <v>45951</v>
      </c>
      <c r="G858" s="35" t="n">
        <v>4</v>
      </c>
      <c r="H858" s="35" t="n">
        <v>4</v>
      </c>
      <c r="I858" s="35" t="n">
        <v>3</v>
      </c>
      <c r="J858" s="35" t="n">
        <v>4</v>
      </c>
      <c r="K858" s="35" t="n">
        <v>4</v>
      </c>
      <c r="L858" s="35" t="n">
        <v>4</v>
      </c>
      <c r="M858" s="50" t="n">
        <f aca="false">IF(COUNT(G858:L858)&lt;6,"",ROUND((G858*Rubric!$D$5+H858*Rubric!$D$6+I858*Rubric!$D$7+J858*Rubric!$D$8+K858*Rubric!$D$9+L858*Rubric!$D$10)/5*100,1))</f>
        <v>76</v>
      </c>
      <c r="N858" s="37" t="str">
        <f aca="false">IF(OR(B858="",D858=""),"",IFERROR(IF(IF(E858="Primary",INDEX(Applications!$I$5:$I$600,MATCH(B858,Applications!$A$5:$A$600,0)),IF(E858="Secondary",INDEX(Applications!$J$5:$J$600,MATCH(B858,Applications!$A$5:$A$600,0)),INDEX(Applications!$K$5:$K$600,MATCH(B858,Applications!$A$5:$A$600,0))))=D858,"OK","Not assigned"),"Check ID"))</f>
        <v>OK</v>
      </c>
      <c r="O858" s="7" t="s">
        <v>1493</v>
      </c>
    </row>
    <row r="859" customFormat="false" ht="15" hidden="false" customHeight="false" outlineLevel="0" collapsed="false">
      <c r="A859" s="35" t="s">
        <v>2256</v>
      </c>
      <c r="B859" s="35" t="s">
        <v>825</v>
      </c>
      <c r="C859" s="37" t="str">
        <f aca="false">IF(B859="","",IFERROR(INDEX(Applications!$B$5:$B$600,MATCH(B859,Applications!$A$5:$A$600,0)),"Application ID not found"))</f>
        <v>Kestrel Community Pantry</v>
      </c>
      <c r="D859" s="35" t="s">
        <v>85</v>
      </c>
      <c r="E859" s="35" t="s">
        <v>80</v>
      </c>
      <c r="F859" s="36" t="n">
        <v>45951</v>
      </c>
      <c r="G859" s="35" t="n">
        <v>3</v>
      </c>
      <c r="H859" s="35" t="n">
        <v>4</v>
      </c>
      <c r="I859" s="35" t="n">
        <v>4</v>
      </c>
      <c r="J859" s="35" t="n">
        <v>4</v>
      </c>
      <c r="K859" s="35" t="n">
        <v>3</v>
      </c>
      <c r="L859" s="35" t="n">
        <v>3</v>
      </c>
      <c r="M859" s="50" t="n">
        <f aca="false">IF(COUNT(G859:L859)&lt;6,"",ROUND((G859*Rubric!$D$5+H859*Rubric!$D$6+I859*Rubric!$D$7+J859*Rubric!$D$8+K859*Rubric!$D$9+L859*Rubric!$D$10)/5*100,1))</f>
        <v>71</v>
      </c>
      <c r="N859" s="37" t="str">
        <f aca="false">IF(OR(B859="",D859=""),"",IFERROR(IF(IF(E859="Primary",INDEX(Applications!$I$5:$I$600,MATCH(B859,Applications!$A$5:$A$600,0)),IF(E859="Secondary",INDEX(Applications!$J$5:$J$600,MATCH(B859,Applications!$A$5:$A$600,0)),INDEX(Applications!$K$5:$K$600,MATCH(B859,Applications!$A$5:$A$600,0))))=D859,"OK","Not assigned"),"Check ID"))</f>
        <v>OK</v>
      </c>
      <c r="O859" s="7" t="s">
        <v>1592</v>
      </c>
    </row>
    <row r="860" customFormat="false" ht="15" hidden="false" customHeight="false" outlineLevel="0" collapsed="false">
      <c r="A860" s="35" t="s">
        <v>2257</v>
      </c>
      <c r="B860" s="35" t="s">
        <v>274</v>
      </c>
      <c r="C860" s="37" t="str">
        <f aca="false">IF(B860="","",IFERROR(INDEX(Applications!$B$5:$B$600,MATCH(B860,Applications!$A$5:$A$600,0)),"Application ID not found"))</f>
        <v>Toronto Farm Collective</v>
      </c>
      <c r="D860" s="35" t="s">
        <v>85</v>
      </c>
      <c r="E860" s="35" t="s">
        <v>80</v>
      </c>
      <c r="F860" s="36" t="n">
        <v>45951</v>
      </c>
      <c r="G860" s="35" t="n">
        <v>4</v>
      </c>
      <c r="H860" s="35" t="n">
        <v>4</v>
      </c>
      <c r="I860" s="35" t="n">
        <v>4</v>
      </c>
      <c r="J860" s="35" t="n">
        <v>4</v>
      </c>
      <c r="K860" s="35" t="n">
        <v>4</v>
      </c>
      <c r="L860" s="35" t="n">
        <v>4</v>
      </c>
      <c r="M860" s="50" t="n">
        <f aca="false">IF(COUNT(G860:L860)&lt;6,"",ROUND((G860*Rubric!$D$5+H860*Rubric!$D$6+I860*Rubric!$D$7+J860*Rubric!$D$8+K860*Rubric!$D$9+L860*Rubric!$D$10)/5*100,1))</f>
        <v>80</v>
      </c>
      <c r="N860" s="37" t="str">
        <f aca="false">IF(OR(B860="",D860=""),"",IFERROR(IF(IF(E860="Primary",INDEX(Applications!$I$5:$I$600,MATCH(B860,Applications!$A$5:$A$600,0)),IF(E860="Secondary",INDEX(Applications!$J$5:$J$600,MATCH(B860,Applications!$A$5:$A$600,0)),INDEX(Applications!$K$5:$K$600,MATCH(B860,Applications!$A$5:$A$600,0))))=D860,"OK","Not assigned"),"Check ID"))</f>
        <v>OK</v>
      </c>
      <c r="O860" s="7"/>
    </row>
    <row r="861" customFormat="false" ht="15" hidden="false" customHeight="false" outlineLevel="0" collapsed="false">
      <c r="A861" s="35" t="s">
        <v>2258</v>
      </c>
      <c r="B861" s="35" t="s">
        <v>313</v>
      </c>
      <c r="C861" s="37" t="str">
        <f aca="false">IF(B861="","",IFERROR(INDEX(Applications!$B$5:$B$600,MATCH(B861,Applications!$A$5:$A$600,0)),"Application ID not found"))</f>
        <v>Maple Street Mobile Market</v>
      </c>
      <c r="D861" s="35" t="s">
        <v>85</v>
      </c>
      <c r="E861" s="35" t="s">
        <v>83</v>
      </c>
      <c r="F861" s="36" t="n">
        <v>45951</v>
      </c>
      <c r="G861" s="35" t="n">
        <v>4</v>
      </c>
      <c r="H861" s="35" t="n">
        <v>4</v>
      </c>
      <c r="I861" s="35" t="n">
        <v>3</v>
      </c>
      <c r="J861" s="35" t="n">
        <v>4</v>
      </c>
      <c r="K861" s="35" t="n">
        <v>4</v>
      </c>
      <c r="L861" s="35" t="n">
        <v>4</v>
      </c>
      <c r="M861" s="50" t="n">
        <f aca="false">IF(COUNT(G861:L861)&lt;6,"",ROUND((G861*Rubric!$D$5+H861*Rubric!$D$6+I861*Rubric!$D$7+J861*Rubric!$D$8+K861*Rubric!$D$9+L861*Rubric!$D$10)/5*100,1))</f>
        <v>76</v>
      </c>
      <c r="N861" s="37" t="str">
        <f aca="false">IF(OR(B861="",D861=""),"",IFERROR(IF(IF(E861="Primary",INDEX(Applications!$I$5:$I$600,MATCH(B861,Applications!$A$5:$A$600,0)),IF(E861="Secondary",INDEX(Applications!$J$5:$J$600,MATCH(B861,Applications!$A$5:$A$600,0)),INDEX(Applications!$K$5:$K$600,MATCH(B861,Applications!$A$5:$A$600,0))))=D861,"OK","Not assigned"),"Check ID"))</f>
        <v>OK</v>
      </c>
      <c r="O861" s="7"/>
    </row>
    <row r="862" customFormat="false" ht="15" hidden="false" customHeight="false" outlineLevel="0" collapsed="false">
      <c r="A862" s="35" t="s">
        <v>2259</v>
      </c>
      <c r="B862" s="35" t="s">
        <v>681</v>
      </c>
      <c r="C862" s="37" t="str">
        <f aca="false">IF(B862="","",IFERROR(INDEX(Applications!$B$5:$B$600,MATCH(B862,Applications!$A$5:$A$600,0)),"Application ID not found"))</f>
        <v>Louisville Schools Nutrition Fund</v>
      </c>
      <c r="D862" s="35" t="s">
        <v>85</v>
      </c>
      <c r="E862" s="35" t="s">
        <v>80</v>
      </c>
      <c r="F862" s="36" t="n">
        <v>45951</v>
      </c>
      <c r="G862" s="35" t="n">
        <v>3</v>
      </c>
      <c r="H862" s="35" t="n">
        <v>3</v>
      </c>
      <c r="I862" s="35" t="n">
        <v>3</v>
      </c>
      <c r="J862" s="35" t="n">
        <v>3</v>
      </c>
      <c r="K862" s="35" t="n">
        <v>4</v>
      </c>
      <c r="L862" s="35" t="n">
        <v>3</v>
      </c>
      <c r="M862" s="50" t="n">
        <f aca="false">IF(COUNT(G862:L862)&lt;6,"",ROUND((G862*Rubric!$D$5+H862*Rubric!$D$6+I862*Rubric!$D$7+J862*Rubric!$D$8+K862*Rubric!$D$9+L862*Rubric!$D$10)/5*100,1))</f>
        <v>62</v>
      </c>
      <c r="N862" s="37" t="str">
        <f aca="false">IF(OR(B862="",D862=""),"",IFERROR(IF(IF(E862="Primary",INDEX(Applications!$I$5:$I$600,MATCH(B862,Applications!$A$5:$A$600,0)),IF(E862="Secondary",INDEX(Applications!$J$5:$J$600,MATCH(B862,Applications!$A$5:$A$600,0)),INDEX(Applications!$K$5:$K$600,MATCH(B862,Applications!$A$5:$A$600,0))))=D862,"OK","Not assigned"),"Check ID"))</f>
        <v>OK</v>
      </c>
      <c r="O862" s="7"/>
    </row>
    <row r="863" customFormat="false" ht="15" hidden="false" customHeight="false" outlineLevel="0" collapsed="false">
      <c r="A863" s="35" t="s">
        <v>2260</v>
      </c>
      <c r="B863" s="35" t="s">
        <v>701</v>
      </c>
      <c r="C863" s="37" t="str">
        <f aca="false">IF(B863="","",IFERROR(INDEX(Applications!$B$5:$B$600,MATCH(B863,Applications!$A$5:$A$600,0)),"Application ID not found"))</f>
        <v>Toledo Food Bank</v>
      </c>
      <c r="D863" s="35" t="s">
        <v>85</v>
      </c>
      <c r="E863" s="35" t="s">
        <v>83</v>
      </c>
      <c r="F863" s="36" t="n">
        <v>45951</v>
      </c>
      <c r="G863" s="35" t="n">
        <v>2</v>
      </c>
      <c r="H863" s="35" t="n">
        <v>2</v>
      </c>
      <c r="I863" s="35" t="n">
        <v>2</v>
      </c>
      <c r="J863" s="35" t="n">
        <v>1</v>
      </c>
      <c r="K863" s="35" t="n">
        <v>2</v>
      </c>
      <c r="L863" s="35" t="n">
        <v>2</v>
      </c>
      <c r="M863" s="50" t="n">
        <f aca="false">IF(COUNT(G863:L863)&lt;6,"",ROUND((G863*Rubric!$D$5+H863*Rubric!$D$6+I863*Rubric!$D$7+J863*Rubric!$D$8+K863*Rubric!$D$9+L863*Rubric!$D$10)/5*100,1))</f>
        <v>37</v>
      </c>
      <c r="N863" s="37" t="str">
        <f aca="false">IF(OR(B863="",D863=""),"",IFERROR(IF(IF(E863="Primary",INDEX(Applications!$I$5:$I$600,MATCH(B863,Applications!$A$5:$A$600,0)),IF(E863="Secondary",INDEX(Applications!$J$5:$J$600,MATCH(B863,Applications!$A$5:$A$600,0)),INDEX(Applications!$K$5:$K$600,MATCH(B863,Applications!$A$5:$A$600,0))))=D863,"OK","Not assigned"),"Check ID"))</f>
        <v>OK</v>
      </c>
      <c r="O863" s="7"/>
    </row>
    <row r="864" customFormat="false" ht="15" hidden="false" customHeight="false" outlineLevel="0" collapsed="false">
      <c r="A864" s="35" t="s">
        <v>2261</v>
      </c>
      <c r="B864" s="35" t="s">
        <v>957</v>
      </c>
      <c r="C864" s="37" t="str">
        <f aca="false">IF(B864="","",IFERROR(INDEX(Applications!$B$5:$B$600,MATCH(B864,Applications!$A$5:$A$600,0)),"Application ID not found"))</f>
        <v>Mill Creek Community Pantry</v>
      </c>
      <c r="D864" s="35" t="s">
        <v>85</v>
      </c>
      <c r="E864" s="35" t="s">
        <v>83</v>
      </c>
      <c r="F864" s="36" t="n">
        <v>45951</v>
      </c>
      <c r="G864" s="35" t="n">
        <v>2</v>
      </c>
      <c r="H864" s="35" t="n">
        <v>3</v>
      </c>
      <c r="I864" s="35" t="n">
        <v>3</v>
      </c>
      <c r="J864" s="35" t="n">
        <v>3</v>
      </c>
      <c r="K864" s="35" t="n">
        <v>4</v>
      </c>
      <c r="L864" s="35" t="n">
        <v>4</v>
      </c>
      <c r="M864" s="50" t="n">
        <f aca="false">IF(COUNT(G864:L864)&lt;6,"",ROUND((G864*Rubric!$D$5+H864*Rubric!$D$6+I864*Rubric!$D$7+J864*Rubric!$D$8+K864*Rubric!$D$9+L864*Rubric!$D$10)/5*100,1))</f>
        <v>59</v>
      </c>
      <c r="N864" s="37" t="str">
        <f aca="false">IF(OR(B864="",D864=""),"",IFERROR(IF(IF(E864="Primary",INDEX(Applications!$I$5:$I$600,MATCH(B864,Applications!$A$5:$A$600,0)),IF(E864="Secondary",INDEX(Applications!$J$5:$J$600,MATCH(B864,Applications!$A$5:$A$600,0)),INDEX(Applications!$K$5:$K$600,MATCH(B864,Applications!$A$5:$A$600,0))))=D864,"OK","Not assigned"),"Check ID"))</f>
        <v>OK</v>
      </c>
      <c r="O864" s="7"/>
    </row>
    <row r="865" customFormat="false" ht="15" hidden="false" customHeight="false" outlineLevel="0" collapsed="false">
      <c r="A865" s="35" t="s">
        <v>2262</v>
      </c>
      <c r="B865" s="35" t="s">
        <v>987</v>
      </c>
      <c r="C865" s="37" t="str">
        <f aca="false">IF(B865="","",IFERROR(INDEX(Applications!$B$5:$B$600,MATCH(B865,Applications!$A$5:$A$600,0)),"Application ID not found"))</f>
        <v>Hillcrest Market Gardens</v>
      </c>
      <c r="D865" s="35" t="s">
        <v>85</v>
      </c>
      <c r="E865" s="35" t="s">
        <v>80</v>
      </c>
      <c r="F865" s="36" t="n">
        <v>45951</v>
      </c>
      <c r="G865" s="35" t="n">
        <v>2</v>
      </c>
      <c r="H865" s="35" t="n">
        <v>2</v>
      </c>
      <c r="I865" s="35" t="n">
        <v>2</v>
      </c>
      <c r="J865" s="35" t="n">
        <v>3</v>
      </c>
      <c r="K865" s="35" t="n">
        <v>2</v>
      </c>
      <c r="L865" s="35" t="n">
        <v>2</v>
      </c>
      <c r="M865" s="50" t="n">
        <f aca="false">IF(COUNT(G865:L865)&lt;6,"",ROUND((G865*Rubric!$D$5+H865*Rubric!$D$6+I865*Rubric!$D$7+J865*Rubric!$D$8+K865*Rubric!$D$9+L865*Rubric!$D$10)/5*100,1))</f>
        <v>43</v>
      </c>
      <c r="N865" s="37" t="str">
        <f aca="false">IF(OR(B865="",D865=""),"",IFERROR(IF(IF(E865="Primary",INDEX(Applications!$I$5:$I$600,MATCH(B865,Applications!$A$5:$A$600,0)),IF(E865="Secondary",INDEX(Applications!$J$5:$J$600,MATCH(B865,Applications!$A$5:$A$600,0)),INDEX(Applications!$K$5:$K$600,MATCH(B865,Applications!$A$5:$A$600,0))))=D865,"OK","Not assigned"),"Check ID"))</f>
        <v>OK</v>
      </c>
      <c r="O865" s="7" t="s">
        <v>1416</v>
      </c>
    </row>
    <row r="866" customFormat="false" ht="15" hidden="false" customHeight="false" outlineLevel="0" collapsed="false">
      <c r="A866" s="35" t="s">
        <v>2263</v>
      </c>
      <c r="B866" s="35" t="s">
        <v>470</v>
      </c>
      <c r="C866" s="37" t="str">
        <f aca="false">IF(B866="","",IFERROR(INDEX(Applications!$B$5:$B$600,MATCH(B866,Applications!$A$5:$A$600,0)),"Application ID not found"))</f>
        <v>Union Square Market Gardens</v>
      </c>
      <c r="D866" s="35" t="s">
        <v>85</v>
      </c>
      <c r="E866" s="35" t="s">
        <v>83</v>
      </c>
      <c r="F866" s="36" t="n">
        <v>45951</v>
      </c>
      <c r="G866" s="35" t="n">
        <v>3</v>
      </c>
      <c r="H866" s="35" t="n">
        <v>3</v>
      </c>
      <c r="I866" s="35" t="n">
        <v>3</v>
      </c>
      <c r="J866" s="35" t="n">
        <v>3</v>
      </c>
      <c r="K866" s="35" t="n">
        <v>4</v>
      </c>
      <c r="L866" s="35" t="n">
        <v>3</v>
      </c>
      <c r="M866" s="50" t="n">
        <f aca="false">IF(COUNT(G866:L866)&lt;6,"",ROUND((G866*Rubric!$D$5+H866*Rubric!$D$6+I866*Rubric!$D$7+J866*Rubric!$D$8+K866*Rubric!$D$9+L866*Rubric!$D$10)/5*100,1))</f>
        <v>62</v>
      </c>
      <c r="N866" s="37" t="str">
        <f aca="false">IF(OR(B866="",D866=""),"",IFERROR(IF(IF(E866="Primary",INDEX(Applications!$I$5:$I$600,MATCH(B866,Applications!$A$5:$A$600,0)),IF(E866="Secondary",INDEX(Applications!$J$5:$J$600,MATCH(B866,Applications!$A$5:$A$600,0)),INDEX(Applications!$K$5:$K$600,MATCH(B866,Applications!$A$5:$A$600,0))))=D866,"OK","Not assigned"),"Check ID"))</f>
        <v>OK</v>
      </c>
      <c r="O866" s="7" t="s">
        <v>1493</v>
      </c>
    </row>
    <row r="867" customFormat="false" ht="15" hidden="false" customHeight="false" outlineLevel="0" collapsed="false">
      <c r="A867" s="35" t="s">
        <v>2264</v>
      </c>
      <c r="B867" s="35" t="s">
        <v>693</v>
      </c>
      <c r="C867" s="37" t="str">
        <f aca="false">IF(B867="","",IFERROR(INDEX(Applications!$B$5:$B$600,MATCH(B867,Applications!$A$5:$A$600,0)),"Application ID not found"))</f>
        <v>Kumasi Mobile Market</v>
      </c>
      <c r="D867" s="35" t="s">
        <v>85</v>
      </c>
      <c r="E867" s="35" t="s">
        <v>83</v>
      </c>
      <c r="F867" s="36" t="n">
        <v>45951</v>
      </c>
      <c r="G867" s="35" t="n">
        <v>2</v>
      </c>
      <c r="H867" s="35" t="n">
        <v>3</v>
      </c>
      <c r="I867" s="35" t="n">
        <v>3</v>
      </c>
      <c r="J867" s="35" t="n">
        <v>2</v>
      </c>
      <c r="K867" s="35" t="n">
        <v>3</v>
      </c>
      <c r="L867" s="35" t="n">
        <v>3</v>
      </c>
      <c r="M867" s="50" t="n">
        <f aca="false">IF(COUNT(G867:L867)&lt;6,"",ROUND((G867*Rubric!$D$5+H867*Rubric!$D$6+I867*Rubric!$D$7+J867*Rubric!$D$8+K867*Rubric!$D$9+L867*Rubric!$D$10)/5*100,1))</f>
        <v>52</v>
      </c>
      <c r="N867" s="37" t="str">
        <f aca="false">IF(OR(B867="",D867=""),"",IFERROR(IF(IF(E867="Primary",INDEX(Applications!$I$5:$I$600,MATCH(B867,Applications!$A$5:$A$600,0)),IF(E867="Secondary",INDEX(Applications!$J$5:$J$600,MATCH(B867,Applications!$A$5:$A$600,0)),INDEX(Applications!$K$5:$K$600,MATCH(B867,Applications!$A$5:$A$600,0))))=D867,"OK","Not assigned"),"Check ID"))</f>
        <v>OK</v>
      </c>
      <c r="O867" s="7"/>
    </row>
    <row r="868" customFormat="false" ht="15" hidden="false" customHeight="false" outlineLevel="0" collapsed="false">
      <c r="A868" s="35" t="s">
        <v>2265</v>
      </c>
      <c r="B868" s="35" t="s">
        <v>663</v>
      </c>
      <c r="C868" s="37" t="str">
        <f aca="false">IF(B868="","",IFERROR(INDEX(Applications!$B$5:$B$600,MATCH(B868,Applications!$A$5:$A$600,0)),"Application ID not found"))</f>
        <v>Stonebridge Pantry Network</v>
      </c>
      <c r="D868" s="35" t="s">
        <v>85</v>
      </c>
      <c r="E868" s="35" t="s">
        <v>80</v>
      </c>
      <c r="F868" s="36" t="n">
        <v>45951</v>
      </c>
      <c r="G868" s="35" t="n">
        <v>4</v>
      </c>
      <c r="H868" s="35" t="n">
        <v>3</v>
      </c>
      <c r="I868" s="35" t="n">
        <v>4</v>
      </c>
      <c r="J868" s="35" t="n">
        <v>4</v>
      </c>
      <c r="K868" s="35" t="n">
        <v>5</v>
      </c>
      <c r="L868" s="35" t="n">
        <v>5</v>
      </c>
      <c r="M868" s="50" t="n">
        <f aca="false">IF(COUNT(G868:L868)&lt;6,"",ROUND((G868*Rubric!$D$5+H868*Rubric!$D$6+I868*Rubric!$D$7+J868*Rubric!$D$8+K868*Rubric!$D$9+L868*Rubric!$D$10)/5*100,1))</f>
        <v>80</v>
      </c>
      <c r="N868" s="37" t="str">
        <f aca="false">IF(OR(B868="",D868=""),"",IFERROR(IF(IF(E868="Primary",INDEX(Applications!$I$5:$I$600,MATCH(B868,Applications!$A$5:$A$600,0)),IF(E868="Secondary",INDEX(Applications!$J$5:$J$600,MATCH(B868,Applications!$A$5:$A$600,0)),INDEX(Applications!$K$5:$K$600,MATCH(B868,Applications!$A$5:$A$600,0))))=D868,"OK","Not assigned"),"Check ID"))</f>
        <v>OK</v>
      </c>
      <c r="O868" s="7"/>
    </row>
    <row r="869" customFormat="false" ht="15" hidden="false" customHeight="false" outlineLevel="0" collapsed="false">
      <c r="A869" s="35" t="s">
        <v>2266</v>
      </c>
      <c r="B869" s="35" t="s">
        <v>919</v>
      </c>
      <c r="C869" s="37" t="str">
        <f aca="false">IF(B869="","",IFERROR(INDEX(Applications!$B$5:$B$600,MATCH(B869,Applications!$A$5:$A$600,0)),"Application ID not found"))</f>
        <v>Rotterdam Community Pantry</v>
      </c>
      <c r="D869" s="35" t="s">
        <v>85</v>
      </c>
      <c r="E869" s="35" t="s">
        <v>86</v>
      </c>
      <c r="F869" s="36" t="n">
        <v>45951</v>
      </c>
      <c r="G869" s="35" t="n">
        <v>3</v>
      </c>
      <c r="H869" s="35" t="n">
        <v>3</v>
      </c>
      <c r="I869" s="35" t="n">
        <v>3</v>
      </c>
      <c r="J869" s="35" t="n">
        <v>3</v>
      </c>
      <c r="K869" s="35" t="n">
        <v>3</v>
      </c>
      <c r="L869" s="35" t="n">
        <v>3</v>
      </c>
      <c r="M869" s="50" t="n">
        <f aca="false">IF(COUNT(G869:L869)&lt;6,"",ROUND((G869*Rubric!$D$5+H869*Rubric!$D$6+I869*Rubric!$D$7+J869*Rubric!$D$8+K869*Rubric!$D$9+L869*Rubric!$D$10)/5*100,1))</f>
        <v>60</v>
      </c>
      <c r="N869" s="37" t="str">
        <f aca="false">IF(OR(B869="",D869=""),"",IFERROR(IF(IF(E869="Primary",INDEX(Applications!$I$5:$I$600,MATCH(B869,Applications!$A$5:$A$600,0)),IF(E869="Secondary",INDEX(Applications!$J$5:$J$600,MATCH(B869,Applications!$A$5:$A$600,0)),INDEX(Applications!$K$5:$K$600,MATCH(B869,Applications!$A$5:$A$600,0))))=D869,"OK","Not assigned"),"Check ID"))</f>
        <v>OK</v>
      </c>
      <c r="O869" s="7"/>
    </row>
    <row r="870" customFormat="false" ht="15" hidden="false" customHeight="false" outlineLevel="0" collapsed="false">
      <c r="A870" s="35" t="s">
        <v>2267</v>
      </c>
      <c r="B870" s="35" t="s">
        <v>1047</v>
      </c>
      <c r="C870" s="37" t="str">
        <f aca="false">IF(B870="","",IFERROR(INDEX(Applications!$B$5:$B$600,MATCH(B870,Applications!$A$5:$A$600,0)),"Application ID not found"))</f>
        <v>Willow Run Mobile Market</v>
      </c>
      <c r="D870" s="35" t="s">
        <v>78</v>
      </c>
      <c r="E870" s="35" t="s">
        <v>80</v>
      </c>
      <c r="F870" s="36" t="n">
        <v>45952</v>
      </c>
      <c r="G870" s="35" t="n">
        <v>4</v>
      </c>
      <c r="H870" s="35" t="n">
        <v>4</v>
      </c>
      <c r="I870" s="35" t="n">
        <v>4</v>
      </c>
      <c r="J870" s="35" t="n">
        <v>4</v>
      </c>
      <c r="K870" s="35" t="n">
        <v>4</v>
      </c>
      <c r="L870" s="35" t="n">
        <v>3</v>
      </c>
      <c r="M870" s="50" t="n">
        <f aca="false">IF(COUNT(G870:L870)&lt;6,"",ROUND((G870*Rubric!$D$5+H870*Rubric!$D$6+I870*Rubric!$D$7+J870*Rubric!$D$8+K870*Rubric!$D$9+L870*Rubric!$D$10)/5*100,1))</f>
        <v>78</v>
      </c>
      <c r="N870" s="37" t="str">
        <f aca="false">IF(OR(B870="",D870=""),"",IFERROR(IF(IF(E870="Primary",INDEX(Applications!$I$5:$I$600,MATCH(B870,Applications!$A$5:$A$600,0)),IF(E870="Secondary",INDEX(Applications!$J$5:$J$600,MATCH(B870,Applications!$A$5:$A$600,0)),INDEX(Applications!$K$5:$K$600,MATCH(B870,Applications!$A$5:$A$600,0))))=D870,"OK","Not assigned"),"Check ID"))</f>
        <v>OK</v>
      </c>
      <c r="O870" s="7"/>
    </row>
    <row r="871" customFormat="false" ht="15" hidden="false" customHeight="false" outlineLevel="0" collapsed="false">
      <c r="A871" s="35" t="s">
        <v>2268</v>
      </c>
      <c r="B871" s="35" t="s">
        <v>1071</v>
      </c>
      <c r="C871" s="37" t="str">
        <f aca="false">IF(B871="","",IFERROR(INDEX(Applications!$B$5:$B$600,MATCH(B871,Applications!$A$5:$A$600,0)),"Application ID not found"))</f>
        <v>Southfield Community Kitchen</v>
      </c>
      <c r="D871" s="35" t="s">
        <v>78</v>
      </c>
      <c r="E871" s="35" t="s">
        <v>83</v>
      </c>
      <c r="F871" s="36" t="n">
        <v>45952</v>
      </c>
      <c r="G871" s="35" t="n">
        <v>3</v>
      </c>
      <c r="H871" s="35" t="n">
        <v>3</v>
      </c>
      <c r="I871" s="35" t="n">
        <v>3</v>
      </c>
      <c r="J871" s="35" t="n">
        <v>2</v>
      </c>
      <c r="K871" s="35" t="n">
        <v>3</v>
      </c>
      <c r="L871" s="35" t="n">
        <v>3</v>
      </c>
      <c r="M871" s="50" t="n">
        <f aca="false">IF(COUNT(G871:L871)&lt;6,"",ROUND((G871*Rubric!$D$5+H871*Rubric!$D$6+I871*Rubric!$D$7+J871*Rubric!$D$8+K871*Rubric!$D$9+L871*Rubric!$D$10)/5*100,1))</f>
        <v>57</v>
      </c>
      <c r="N871" s="37" t="str">
        <f aca="false">IF(OR(B871="",D871=""),"",IFERROR(IF(IF(E871="Primary",INDEX(Applications!$I$5:$I$600,MATCH(B871,Applications!$A$5:$A$600,0)),IF(E871="Secondary",INDEX(Applications!$J$5:$J$600,MATCH(B871,Applications!$A$5:$A$600,0)),INDEX(Applications!$K$5:$K$600,MATCH(B871,Applications!$A$5:$A$600,0))))=D871,"OK","Not assigned"),"Check ID"))</f>
        <v>OK</v>
      </c>
      <c r="O871" s="7"/>
    </row>
    <row r="872" customFormat="false" ht="15" hidden="false" customHeight="false" outlineLevel="0" collapsed="false">
      <c r="A872" s="35" t="s">
        <v>2269</v>
      </c>
      <c r="B872" s="35" t="s">
        <v>911</v>
      </c>
      <c r="C872" s="37" t="str">
        <f aca="false">IF(B872="","",IFERROR(INDEX(Applications!$B$5:$B$600,MATCH(B872,Applications!$A$5:$A$600,0)),"Application ID not found"))</f>
        <v>Cali Food Ventures</v>
      </c>
      <c r="D872" s="35" t="s">
        <v>78</v>
      </c>
      <c r="E872" s="35" t="s">
        <v>80</v>
      </c>
      <c r="F872" s="36" t="n">
        <v>45952</v>
      </c>
      <c r="G872" s="35" t="n">
        <v>4</v>
      </c>
      <c r="H872" s="35" t="n">
        <v>3</v>
      </c>
      <c r="I872" s="35" t="n">
        <v>3</v>
      </c>
      <c r="J872" s="35" t="n">
        <v>3</v>
      </c>
      <c r="K872" s="35" t="n">
        <v>3</v>
      </c>
      <c r="L872" s="35" t="n">
        <v>3</v>
      </c>
      <c r="M872" s="50" t="n">
        <f aca="false">IF(COUNT(G872:L872)&lt;6,"",ROUND((G872*Rubric!$D$5+H872*Rubric!$D$6+I872*Rubric!$D$7+J872*Rubric!$D$8+K872*Rubric!$D$9+L872*Rubric!$D$10)/5*100,1))</f>
        <v>65</v>
      </c>
      <c r="N872" s="37" t="str">
        <f aca="false">IF(OR(B872="",D872=""),"",IFERROR(IF(IF(E872="Primary",INDEX(Applications!$I$5:$I$600,MATCH(B872,Applications!$A$5:$A$600,0)),IF(E872="Secondary",INDEX(Applications!$J$5:$J$600,MATCH(B872,Applications!$A$5:$A$600,0)),INDEX(Applications!$K$5:$K$600,MATCH(B872,Applications!$A$5:$A$600,0))))=D872,"OK","Not assigned"),"Check ID"))</f>
        <v>OK</v>
      </c>
      <c r="O872" s="7"/>
    </row>
    <row r="873" customFormat="false" ht="15" hidden="false" customHeight="false" outlineLevel="0" collapsed="false">
      <c r="A873" s="35" t="s">
        <v>2270</v>
      </c>
      <c r="B873" s="35" t="s">
        <v>859</v>
      </c>
      <c r="C873" s="37" t="str">
        <f aca="false">IF(B873="","",IFERROR(INDEX(Applications!$B$5:$B$600,MATCH(B873,Applications!$A$5:$A$600,0)),"Application ID not found"))</f>
        <v>Des Moines Farm School</v>
      </c>
      <c r="D873" s="35" t="s">
        <v>78</v>
      </c>
      <c r="E873" s="35" t="s">
        <v>83</v>
      </c>
      <c r="F873" s="36" t="n">
        <v>45952</v>
      </c>
      <c r="G873" s="35" t="n">
        <v>4</v>
      </c>
      <c r="H873" s="35" t="n">
        <v>4</v>
      </c>
      <c r="I873" s="35" t="n">
        <v>3</v>
      </c>
      <c r="J873" s="35" t="n">
        <v>4</v>
      </c>
      <c r="K873" s="35" t="n">
        <v>4</v>
      </c>
      <c r="L873" s="35" t="n">
        <v>3</v>
      </c>
      <c r="M873" s="50" t="n">
        <f aca="false">IF(COUNT(G873:L873)&lt;6,"",ROUND((G873*Rubric!$D$5+H873*Rubric!$D$6+I873*Rubric!$D$7+J873*Rubric!$D$8+K873*Rubric!$D$9+L873*Rubric!$D$10)/5*100,1))</f>
        <v>74</v>
      </c>
      <c r="N873" s="37" t="str">
        <f aca="false">IF(OR(B873="",D873=""),"",IFERROR(IF(IF(E873="Primary",INDEX(Applications!$I$5:$I$600,MATCH(B873,Applications!$A$5:$A$600,0)),IF(E873="Secondary",INDEX(Applications!$J$5:$J$600,MATCH(B873,Applications!$A$5:$A$600,0)),INDEX(Applications!$K$5:$K$600,MATCH(B873,Applications!$A$5:$A$600,0))))=D873,"OK","Not assigned"),"Check ID"))</f>
        <v>OK</v>
      </c>
      <c r="O873" s="7" t="s">
        <v>1493</v>
      </c>
    </row>
    <row r="874" customFormat="false" ht="15" hidden="false" customHeight="false" outlineLevel="0" collapsed="false">
      <c r="A874" s="35" t="s">
        <v>2271</v>
      </c>
      <c r="B874" s="35" t="s">
        <v>575</v>
      </c>
      <c r="C874" s="37" t="str">
        <f aca="false">IF(B874="","",IFERROR(INDEX(Applications!$B$5:$B$600,MATCH(B874,Applications!$A$5:$A$600,0)),"Application ID not found"))</f>
        <v>Canal Street Farm Collective</v>
      </c>
      <c r="D874" s="35" t="s">
        <v>78</v>
      </c>
      <c r="E874" s="35" t="s">
        <v>80</v>
      </c>
      <c r="F874" s="36" t="n">
        <v>45952</v>
      </c>
      <c r="G874" s="35" t="n">
        <v>3</v>
      </c>
      <c r="H874" s="35" t="n">
        <v>3</v>
      </c>
      <c r="I874" s="35" t="n">
        <v>3</v>
      </c>
      <c r="J874" s="35" t="n">
        <v>3</v>
      </c>
      <c r="K874" s="35" t="n">
        <v>4</v>
      </c>
      <c r="L874" s="35" t="n">
        <v>2</v>
      </c>
      <c r="M874" s="50" t="n">
        <f aca="false">IF(COUNT(G874:L874)&lt;6,"",ROUND((G874*Rubric!$D$5+H874*Rubric!$D$6+I874*Rubric!$D$7+J874*Rubric!$D$8+K874*Rubric!$D$9+L874*Rubric!$D$10)/5*100,1))</f>
        <v>60</v>
      </c>
      <c r="N874" s="37" t="str">
        <f aca="false">IF(OR(B874="",D874=""),"",IFERROR(IF(IF(E874="Primary",INDEX(Applications!$I$5:$I$600,MATCH(B874,Applications!$A$5:$A$600,0)),IF(E874="Secondary",INDEX(Applications!$J$5:$J$600,MATCH(B874,Applications!$A$5:$A$600,0)),INDEX(Applications!$K$5:$K$600,MATCH(B874,Applications!$A$5:$A$600,0))))=D874,"OK","Not assigned"),"Check ID"))</f>
        <v>OK</v>
      </c>
      <c r="O874" s="7"/>
    </row>
    <row r="875" customFormat="false" ht="15" hidden="false" customHeight="false" outlineLevel="0" collapsed="false">
      <c r="A875" s="35" t="s">
        <v>2272</v>
      </c>
      <c r="B875" s="35" t="s">
        <v>1201</v>
      </c>
      <c r="C875" s="37" t="str">
        <f aca="false">IF(B875="","",IFERROR(INDEX(Applications!$B$5:$B$600,MATCH(B875,Applications!$A$5:$A$600,0)),"Application ID not found"))</f>
        <v>Bluestem Cafe Training Program</v>
      </c>
      <c r="D875" s="35" t="s">
        <v>78</v>
      </c>
      <c r="E875" s="35" t="s">
        <v>83</v>
      </c>
      <c r="F875" s="36" t="n">
        <v>45952</v>
      </c>
      <c r="G875" s="35" t="n">
        <v>2</v>
      </c>
      <c r="H875" s="35" t="n">
        <v>3</v>
      </c>
      <c r="I875" s="35" t="n">
        <v>3</v>
      </c>
      <c r="J875" s="35" t="n">
        <v>3</v>
      </c>
      <c r="K875" s="35" t="n">
        <v>3</v>
      </c>
      <c r="L875" s="35" t="n">
        <v>2</v>
      </c>
      <c r="M875" s="50" t="n">
        <f aca="false">IF(COUNT(G875:L875)&lt;6,"",ROUND((G875*Rubric!$D$5+H875*Rubric!$D$6+I875*Rubric!$D$7+J875*Rubric!$D$8+K875*Rubric!$D$9+L875*Rubric!$D$10)/5*100,1))</f>
        <v>53</v>
      </c>
      <c r="N875" s="37" t="str">
        <f aca="false">IF(OR(B875="",D875=""),"",IFERROR(IF(IF(E875="Primary",INDEX(Applications!$I$5:$I$600,MATCH(B875,Applications!$A$5:$A$600,0)),IF(E875="Secondary",INDEX(Applications!$J$5:$J$600,MATCH(B875,Applications!$A$5:$A$600,0)),INDEX(Applications!$K$5:$K$600,MATCH(B875,Applications!$A$5:$A$600,0))))=D875,"OK","Not assigned"),"Check ID"))</f>
        <v>OK</v>
      </c>
      <c r="O875" s="7"/>
    </row>
    <row r="876" customFormat="false" ht="15" hidden="false" customHeight="false" outlineLevel="0" collapsed="false">
      <c r="A876" s="35" t="s">
        <v>2273</v>
      </c>
      <c r="B876" s="35" t="s">
        <v>579</v>
      </c>
      <c r="C876" s="37" t="str">
        <f aca="false">IF(B876="","",IFERROR(INDEX(Applications!$B$5:$B$600,MATCH(B876,Applications!$A$5:$A$600,0)),"Application ID not found"))</f>
        <v>Nairobi Farm Collective</v>
      </c>
      <c r="D876" s="35" t="s">
        <v>78</v>
      </c>
      <c r="E876" s="35" t="s">
        <v>83</v>
      </c>
      <c r="F876" s="36" t="n">
        <v>45952</v>
      </c>
      <c r="G876" s="35" t="n">
        <v>3</v>
      </c>
      <c r="H876" s="35" t="n">
        <v>4</v>
      </c>
      <c r="I876" s="35" t="n">
        <v>3</v>
      </c>
      <c r="J876" s="35" t="n">
        <v>4</v>
      </c>
      <c r="K876" s="35" t="n">
        <v>3</v>
      </c>
      <c r="L876" s="35" t="n">
        <v>4</v>
      </c>
      <c r="M876" s="50" t="n">
        <f aca="false">IF(COUNT(G876:L876)&lt;6,"",ROUND((G876*Rubric!$D$5+H876*Rubric!$D$6+I876*Rubric!$D$7+J876*Rubric!$D$8+K876*Rubric!$D$9+L876*Rubric!$D$10)/5*100,1))</f>
        <v>69</v>
      </c>
      <c r="N876" s="37" t="str">
        <f aca="false">IF(OR(B876="",D876=""),"",IFERROR(IF(IF(E876="Primary",INDEX(Applications!$I$5:$I$600,MATCH(B876,Applications!$A$5:$A$600,0)),IF(E876="Secondary",INDEX(Applications!$J$5:$J$600,MATCH(B876,Applications!$A$5:$A$600,0)),INDEX(Applications!$K$5:$K$600,MATCH(B876,Applications!$A$5:$A$600,0))))=D876,"OK","Not assigned"),"Check ID"))</f>
        <v>OK</v>
      </c>
      <c r="O876" s="7"/>
    </row>
    <row r="877" customFormat="false" ht="15" hidden="false" customHeight="false" outlineLevel="0" collapsed="false">
      <c r="A877" s="35" t="s">
        <v>2274</v>
      </c>
      <c r="B877" s="35" t="s">
        <v>311</v>
      </c>
      <c r="C877" s="37" t="str">
        <f aca="false">IF(B877="","",IFERROR(INDEX(Applications!$B$5:$B$600,MATCH(B877,Applications!$A$5:$A$600,0)),"Application ID not found"))</f>
        <v>Fairmount Market Gardens</v>
      </c>
      <c r="D877" s="35" t="s">
        <v>78</v>
      </c>
      <c r="E877" s="35" t="s">
        <v>80</v>
      </c>
      <c r="F877" s="36" t="n">
        <v>45952</v>
      </c>
      <c r="G877" s="35" t="n">
        <v>5</v>
      </c>
      <c r="H877" s="35" t="n">
        <v>4</v>
      </c>
      <c r="I877" s="35" t="n">
        <v>4</v>
      </c>
      <c r="J877" s="35" t="n">
        <v>3</v>
      </c>
      <c r="K877" s="35" t="n">
        <v>4</v>
      </c>
      <c r="L877" s="35" t="n">
        <v>5</v>
      </c>
      <c r="M877" s="50" t="n">
        <f aca="false">IF(COUNT(G877:L877)&lt;6,"",ROUND((G877*Rubric!$D$5+H877*Rubric!$D$6+I877*Rubric!$D$7+J877*Rubric!$D$8+K877*Rubric!$D$9+L877*Rubric!$D$10)/5*100,1))</f>
        <v>84</v>
      </c>
      <c r="N877" s="37" t="str">
        <f aca="false">IF(OR(B877="",D877=""),"",IFERROR(IF(IF(E877="Primary",INDEX(Applications!$I$5:$I$600,MATCH(B877,Applications!$A$5:$A$600,0)),IF(E877="Secondary",INDEX(Applications!$J$5:$J$600,MATCH(B877,Applications!$A$5:$A$600,0)),INDEX(Applications!$K$5:$K$600,MATCH(B877,Applications!$A$5:$A$600,0))))=D877,"OK","Not assigned"),"Check ID"))</f>
        <v>OK</v>
      </c>
      <c r="O877" s="7" t="s">
        <v>1416</v>
      </c>
    </row>
    <row r="878" customFormat="false" ht="15" hidden="false" customHeight="false" outlineLevel="0" collapsed="false">
      <c r="A878" s="35" t="s">
        <v>2275</v>
      </c>
      <c r="B878" s="35" t="s">
        <v>833</v>
      </c>
      <c r="C878" s="37" t="str">
        <f aca="false">IF(B878="","",IFERROR(INDEX(Applications!$B$5:$B$600,MATCH(B878,Applications!$A$5:$A$600,0)),"Application ID not found"))</f>
        <v>Tulsa Youth Food Lab</v>
      </c>
      <c r="D878" s="35" t="s">
        <v>78</v>
      </c>
      <c r="E878" s="35" t="s">
        <v>83</v>
      </c>
      <c r="F878" s="36" t="n">
        <v>45952</v>
      </c>
      <c r="G878" s="35" t="n">
        <v>4</v>
      </c>
      <c r="H878" s="35" t="n">
        <v>5</v>
      </c>
      <c r="I878" s="35" t="n">
        <v>5</v>
      </c>
      <c r="J878" s="35" t="n">
        <v>5</v>
      </c>
      <c r="K878" s="35" t="n">
        <v>5</v>
      </c>
      <c r="L878" s="35" t="n">
        <v>5</v>
      </c>
      <c r="M878" s="50" t="n">
        <f aca="false">IF(COUNT(G878:L878)&lt;6,"",ROUND((G878*Rubric!$D$5+H878*Rubric!$D$6+I878*Rubric!$D$7+J878*Rubric!$D$8+K878*Rubric!$D$9+L878*Rubric!$D$10)/5*100,1))</f>
        <v>95</v>
      </c>
      <c r="N878" s="37" t="str">
        <f aca="false">IF(OR(B878="",D878=""),"",IFERROR(IF(IF(E878="Primary",INDEX(Applications!$I$5:$I$600,MATCH(B878,Applications!$A$5:$A$600,0)),IF(E878="Secondary",INDEX(Applications!$J$5:$J$600,MATCH(B878,Applications!$A$5:$A$600,0)),INDEX(Applications!$K$5:$K$600,MATCH(B878,Applications!$A$5:$A$600,0))))=D878,"OK","Not assigned"),"Check ID"))</f>
        <v>OK</v>
      </c>
      <c r="O878" s="7" t="s">
        <v>1426</v>
      </c>
    </row>
    <row r="879" customFormat="false" ht="15" hidden="false" customHeight="false" outlineLevel="0" collapsed="false">
      <c r="A879" s="35" t="s">
        <v>2276</v>
      </c>
      <c r="B879" s="35" t="s">
        <v>1233</v>
      </c>
      <c r="C879" s="37" t="str">
        <f aca="false">IF(B879="","",IFERROR(INDEX(Applications!$B$5:$B$600,MATCH(B879,Applications!$A$5:$A$600,0)),"Application ID not found"))</f>
        <v>Medellín Mobile Market</v>
      </c>
      <c r="D879" s="35" t="s">
        <v>78</v>
      </c>
      <c r="E879" s="35" t="s">
        <v>83</v>
      </c>
      <c r="F879" s="36" t="n">
        <v>45952</v>
      </c>
      <c r="G879" s="35" t="n">
        <v>4</v>
      </c>
      <c r="H879" s="35" t="n">
        <v>4</v>
      </c>
      <c r="I879" s="35" t="n">
        <v>4</v>
      </c>
      <c r="J879" s="35" t="n">
        <v>4</v>
      </c>
      <c r="K879" s="35" t="n">
        <v>4</v>
      </c>
      <c r="L879" s="35" t="n">
        <v>4</v>
      </c>
      <c r="M879" s="50" t="n">
        <f aca="false">IF(COUNT(G879:L879)&lt;6,"",ROUND((G879*Rubric!$D$5+H879*Rubric!$D$6+I879*Rubric!$D$7+J879*Rubric!$D$8+K879*Rubric!$D$9+L879*Rubric!$D$10)/5*100,1))</f>
        <v>80</v>
      </c>
      <c r="N879" s="37" t="str">
        <f aca="false">IF(OR(B879="",D879=""),"",IFERROR(IF(IF(E879="Primary",INDEX(Applications!$I$5:$I$600,MATCH(B879,Applications!$A$5:$A$600,0)),IF(E879="Secondary",INDEX(Applications!$J$5:$J$600,MATCH(B879,Applications!$A$5:$A$600,0)),INDEX(Applications!$K$5:$K$600,MATCH(B879,Applications!$A$5:$A$600,0))))=D879,"OK","Not assigned"),"Check ID"))</f>
        <v>OK</v>
      </c>
      <c r="O879" s="7"/>
    </row>
    <row r="880" customFormat="false" ht="15" hidden="false" customHeight="false" outlineLevel="0" collapsed="false">
      <c r="A880" s="35" t="s">
        <v>2277</v>
      </c>
      <c r="B880" s="35" t="s">
        <v>1333</v>
      </c>
      <c r="C880" s="37" t="str">
        <f aca="false">IF(B880="","",IFERROR(INDEX(Applications!$B$5:$B$600,MATCH(B880,Applications!$A$5:$A$600,0)),"Application ID not found"))</f>
        <v>Willow Run Food Shelf</v>
      </c>
      <c r="D880" s="35" t="s">
        <v>78</v>
      </c>
      <c r="E880" s="35" t="s">
        <v>80</v>
      </c>
      <c r="F880" s="36" t="n">
        <v>45952</v>
      </c>
      <c r="G880" s="35" t="n">
        <v>4</v>
      </c>
      <c r="H880" s="35" t="n">
        <v>4</v>
      </c>
      <c r="I880" s="35" t="n">
        <v>3</v>
      </c>
      <c r="J880" s="35" t="n">
        <v>3</v>
      </c>
      <c r="K880" s="35" t="n">
        <v>3</v>
      </c>
      <c r="L880" s="35" t="n">
        <v>4</v>
      </c>
      <c r="M880" s="50" t="n">
        <f aca="false">IF(COUNT(G880:L880)&lt;6,"",ROUND((G880*Rubric!$D$5+H880*Rubric!$D$6+I880*Rubric!$D$7+J880*Rubric!$D$8+K880*Rubric!$D$9+L880*Rubric!$D$10)/5*100,1))</f>
        <v>71</v>
      </c>
      <c r="N880" s="37" t="str">
        <f aca="false">IF(OR(B880="",D880=""),"",IFERROR(IF(IF(E880="Primary",INDEX(Applications!$I$5:$I$600,MATCH(B880,Applications!$A$5:$A$600,0)),IF(E880="Secondary",INDEX(Applications!$J$5:$J$600,MATCH(B880,Applications!$A$5:$A$600,0)),INDEX(Applications!$K$5:$K$600,MATCH(B880,Applications!$A$5:$A$600,0))))=D880,"OK","Not assigned"),"Check ID"))</f>
        <v>OK</v>
      </c>
      <c r="O880" s="7" t="s">
        <v>1428</v>
      </c>
    </row>
    <row r="881" customFormat="false" ht="15" hidden="false" customHeight="false" outlineLevel="0" collapsed="false">
      <c r="A881" s="35" t="s">
        <v>2278</v>
      </c>
      <c r="B881" s="35" t="s">
        <v>985</v>
      </c>
      <c r="C881" s="37" t="str">
        <f aca="false">IF(B881="","",IFERROR(INDEX(Applications!$B$5:$B$600,MATCH(B881,Applications!$A$5:$A$600,0)),"Application ID not found"))</f>
        <v>Mill Creek Pantry Network</v>
      </c>
      <c r="D881" s="35" t="s">
        <v>78</v>
      </c>
      <c r="E881" s="35" t="s">
        <v>80</v>
      </c>
      <c r="F881" s="36" t="n">
        <v>45952</v>
      </c>
      <c r="G881" s="35" t="n">
        <v>2</v>
      </c>
      <c r="H881" s="35" t="n">
        <v>3</v>
      </c>
      <c r="I881" s="35" t="n">
        <v>3</v>
      </c>
      <c r="J881" s="35" t="n">
        <v>3</v>
      </c>
      <c r="K881" s="35" t="n">
        <v>3</v>
      </c>
      <c r="L881" s="35" t="n">
        <v>3</v>
      </c>
      <c r="M881" s="50" t="n">
        <f aca="false">IF(COUNT(G881:L881)&lt;6,"",ROUND((G881*Rubric!$D$5+H881*Rubric!$D$6+I881*Rubric!$D$7+J881*Rubric!$D$8+K881*Rubric!$D$9+L881*Rubric!$D$10)/5*100,1))</f>
        <v>55</v>
      </c>
      <c r="N881" s="37" t="str">
        <f aca="false">IF(OR(B881="",D881=""),"",IFERROR(IF(IF(E881="Primary",INDEX(Applications!$I$5:$I$600,MATCH(B881,Applications!$A$5:$A$600,0)),IF(E881="Secondary",INDEX(Applications!$J$5:$J$600,MATCH(B881,Applications!$A$5:$A$600,0)),INDEX(Applications!$K$5:$K$600,MATCH(B881,Applications!$A$5:$A$600,0))))=D881,"OK","Not assigned"),"Check ID"))</f>
        <v>OK</v>
      </c>
      <c r="O881" s="7"/>
    </row>
    <row r="882" customFormat="false" ht="15" hidden="false" customHeight="false" outlineLevel="0" collapsed="false">
      <c r="A882" s="35" t="s">
        <v>2279</v>
      </c>
      <c r="B882" s="35" t="s">
        <v>1083</v>
      </c>
      <c r="C882" s="37" t="str">
        <f aca="false">IF(B882="","",IFERROR(INDEX(Applications!$B$5:$B$600,MATCH(B882,Applications!$A$5:$A$600,0)),"Application ID not found"))</f>
        <v>Old Town Seed Library</v>
      </c>
      <c r="D882" s="35" t="s">
        <v>78</v>
      </c>
      <c r="E882" s="35" t="s">
        <v>83</v>
      </c>
      <c r="F882" s="36" t="n">
        <v>45952</v>
      </c>
      <c r="G882" s="35" t="n">
        <v>4</v>
      </c>
      <c r="H882" s="35" t="n">
        <v>4</v>
      </c>
      <c r="I882" s="35" t="n">
        <v>4</v>
      </c>
      <c r="J882" s="35" t="n">
        <v>4</v>
      </c>
      <c r="K882" s="35" t="n">
        <v>5</v>
      </c>
      <c r="L882" s="35" t="n">
        <v>4</v>
      </c>
      <c r="M882" s="50" t="n">
        <f aca="false">IF(COUNT(G882:L882)&lt;6,"",ROUND((G882*Rubric!$D$5+H882*Rubric!$D$6+I882*Rubric!$D$7+J882*Rubric!$D$8+K882*Rubric!$D$9+L882*Rubric!$D$10)/5*100,1))</f>
        <v>82</v>
      </c>
      <c r="N882" s="37" t="str">
        <f aca="false">IF(OR(B882="",D882=""),"",IFERROR(IF(IF(E882="Primary",INDEX(Applications!$I$5:$I$600,MATCH(B882,Applications!$A$5:$A$600,0)),IF(E882="Secondary",INDEX(Applications!$J$5:$J$600,MATCH(B882,Applications!$A$5:$A$600,0)),INDEX(Applications!$K$5:$K$600,MATCH(B882,Applications!$A$5:$A$600,0))))=D882,"OK","Not assigned"),"Check ID"))</f>
        <v>OK</v>
      </c>
      <c r="O882" s="7"/>
    </row>
    <row r="883" customFormat="false" ht="15" hidden="false" customHeight="false" outlineLevel="0" collapsed="false">
      <c r="A883" s="35" t="s">
        <v>2280</v>
      </c>
      <c r="B883" s="35" t="s">
        <v>1119</v>
      </c>
      <c r="C883" s="37" t="str">
        <f aca="false">IF(B883="","",IFERROR(INDEX(Applications!$B$5:$B$600,MATCH(B883,Applications!$A$5:$A$600,0)),"Application ID not found"))</f>
        <v>Milwaukee Seed Library</v>
      </c>
      <c r="D883" s="35" t="s">
        <v>78</v>
      </c>
      <c r="E883" s="35" t="s">
        <v>80</v>
      </c>
      <c r="F883" s="36" t="n">
        <v>45952</v>
      </c>
      <c r="G883" s="35" t="n">
        <v>4</v>
      </c>
      <c r="H883" s="35" t="n">
        <v>4</v>
      </c>
      <c r="I883" s="35" t="n">
        <v>4</v>
      </c>
      <c r="J883" s="35" t="n">
        <v>4</v>
      </c>
      <c r="K883" s="35" t="n">
        <v>3</v>
      </c>
      <c r="L883" s="35" t="n">
        <v>5</v>
      </c>
      <c r="M883" s="50" t="n">
        <f aca="false">IF(COUNT(G883:L883)&lt;6,"",ROUND((G883*Rubric!$D$5+H883*Rubric!$D$6+I883*Rubric!$D$7+J883*Rubric!$D$8+K883*Rubric!$D$9+L883*Rubric!$D$10)/5*100,1))</f>
        <v>80</v>
      </c>
      <c r="N883" s="37" t="str">
        <f aca="false">IF(OR(B883="",D883=""),"",IFERROR(IF(IF(E883="Primary",INDEX(Applications!$I$5:$I$600,MATCH(B883,Applications!$A$5:$A$600,0)),IF(E883="Secondary",INDEX(Applications!$J$5:$J$600,MATCH(B883,Applications!$A$5:$A$600,0)),INDEX(Applications!$K$5:$K$600,MATCH(B883,Applications!$A$5:$A$600,0))))=D883,"OK","Not assigned"),"Check ID"))</f>
        <v>OK</v>
      </c>
      <c r="O883" s="7"/>
    </row>
    <row r="884" customFormat="false" ht="15" hidden="false" customHeight="false" outlineLevel="0" collapsed="false">
      <c r="A884" s="35" t="s">
        <v>2281</v>
      </c>
      <c r="B884" s="35" t="s">
        <v>873</v>
      </c>
      <c r="C884" s="37" t="str">
        <f aca="false">IF(B884="","",IFERROR(INDEX(Applications!$B$5:$B$600,MATCH(B884,Applications!$A$5:$A$600,0)),"Application ID not found"))</f>
        <v>Regina Culinary Works</v>
      </c>
      <c r="D884" s="35" t="s">
        <v>78</v>
      </c>
      <c r="E884" s="35" t="s">
        <v>80</v>
      </c>
      <c r="F884" s="36" t="n">
        <v>45952</v>
      </c>
      <c r="G884" s="35" t="n">
        <v>3</v>
      </c>
      <c r="H884" s="35" t="n">
        <v>3</v>
      </c>
      <c r="I884" s="35" t="n">
        <v>4</v>
      </c>
      <c r="J884" s="35" t="n">
        <v>3</v>
      </c>
      <c r="K884" s="35" t="n">
        <v>4</v>
      </c>
      <c r="L884" s="35" t="n">
        <v>3</v>
      </c>
      <c r="M884" s="50" t="n">
        <f aca="false">IF(COUNT(G884:L884)&lt;6,"",ROUND((G884*Rubric!$D$5+H884*Rubric!$D$6+I884*Rubric!$D$7+J884*Rubric!$D$8+K884*Rubric!$D$9+L884*Rubric!$D$10)/5*100,1))</f>
        <v>66</v>
      </c>
      <c r="N884" s="37" t="str">
        <f aca="false">IF(OR(B884="",D884=""),"",IFERROR(IF(IF(E884="Primary",INDEX(Applications!$I$5:$I$600,MATCH(B884,Applications!$A$5:$A$600,0)),IF(E884="Secondary",INDEX(Applications!$J$5:$J$600,MATCH(B884,Applications!$A$5:$A$600,0)),INDEX(Applications!$K$5:$K$600,MATCH(B884,Applications!$A$5:$A$600,0))))=D884,"OK","Not assigned"),"Check ID"))</f>
        <v>OK</v>
      </c>
      <c r="O884" s="7"/>
    </row>
    <row r="885" customFormat="false" ht="15" hidden="false" customHeight="false" outlineLevel="0" collapsed="false">
      <c r="A885" s="35" t="s">
        <v>2282</v>
      </c>
      <c r="B885" s="35" t="s">
        <v>313</v>
      </c>
      <c r="C885" s="37" t="str">
        <f aca="false">IF(B885="","",IFERROR(INDEX(Applications!$B$5:$B$600,MATCH(B885,Applications!$A$5:$A$600,0)),"Application ID not found"))</f>
        <v>Maple Street Mobile Market</v>
      </c>
      <c r="D885" s="35" t="s">
        <v>78</v>
      </c>
      <c r="E885" s="35" t="s">
        <v>86</v>
      </c>
      <c r="F885" s="36" t="n">
        <v>45952</v>
      </c>
      <c r="G885" s="35" t="n">
        <v>3</v>
      </c>
      <c r="H885" s="35" t="n">
        <v>3</v>
      </c>
      <c r="I885" s="35" t="n">
        <v>2</v>
      </c>
      <c r="J885" s="35" t="n">
        <v>3</v>
      </c>
      <c r="K885" s="35" t="n">
        <v>3</v>
      </c>
      <c r="L885" s="35" t="n">
        <v>3</v>
      </c>
      <c r="M885" s="50" t="n">
        <f aca="false">IF(COUNT(G885:L885)&lt;6,"",ROUND((G885*Rubric!$D$5+H885*Rubric!$D$6+I885*Rubric!$D$7+J885*Rubric!$D$8+K885*Rubric!$D$9+L885*Rubric!$D$10)/5*100,1))</f>
        <v>56</v>
      </c>
      <c r="N885" s="37" t="str">
        <f aca="false">IF(OR(B885="",D885=""),"",IFERROR(IF(IF(E885="Primary",INDEX(Applications!$I$5:$I$600,MATCH(B885,Applications!$A$5:$A$600,0)),IF(E885="Secondary",INDEX(Applications!$J$5:$J$600,MATCH(B885,Applications!$A$5:$A$600,0)),INDEX(Applications!$K$5:$K$600,MATCH(B885,Applications!$A$5:$A$600,0))))=D885,"OK","Not assigned"),"Check ID"))</f>
        <v>OK</v>
      </c>
      <c r="O885" s="7"/>
    </row>
    <row r="886" customFormat="false" ht="15" hidden="false" customHeight="false" outlineLevel="0" collapsed="false">
      <c r="A886" s="35" t="s">
        <v>2283</v>
      </c>
      <c r="B886" s="35" t="s">
        <v>581</v>
      </c>
      <c r="C886" s="37" t="str">
        <f aca="false">IF(B886="","",IFERROR(INDEX(Applications!$B$5:$B$600,MATCH(B886,Applications!$A$5:$A$600,0)),"Application ID not found"))</f>
        <v>Cedar Food Bank</v>
      </c>
      <c r="D886" s="35" t="s">
        <v>78</v>
      </c>
      <c r="E886" s="35" t="s">
        <v>86</v>
      </c>
      <c r="F886" s="36" t="n">
        <v>45952</v>
      </c>
      <c r="G886" s="35" t="n">
        <v>3</v>
      </c>
      <c r="H886" s="35" t="n">
        <v>4</v>
      </c>
      <c r="I886" s="35" t="n">
        <v>4</v>
      </c>
      <c r="J886" s="35" t="n">
        <v>3</v>
      </c>
      <c r="K886" s="35" t="n">
        <v>3</v>
      </c>
      <c r="L886" s="35" t="n">
        <v>4</v>
      </c>
      <c r="M886" s="50" t="n">
        <f aca="false">IF(COUNT(G886:L886)&lt;6,"",ROUND((G886*Rubric!$D$5+H886*Rubric!$D$6+I886*Rubric!$D$7+J886*Rubric!$D$8+K886*Rubric!$D$9+L886*Rubric!$D$10)/5*100,1))</f>
        <v>70</v>
      </c>
      <c r="N886" s="37" t="str">
        <f aca="false">IF(OR(B886="",D886=""),"",IFERROR(IF(IF(E886="Primary",INDEX(Applications!$I$5:$I$600,MATCH(B886,Applications!$A$5:$A$600,0)),IF(E886="Secondary",INDEX(Applications!$J$5:$J$600,MATCH(B886,Applications!$A$5:$A$600,0)),INDEX(Applications!$K$5:$K$600,MATCH(B886,Applications!$A$5:$A$600,0))))=D886,"OK","Not assigned"),"Check ID"))</f>
        <v>OK</v>
      </c>
      <c r="O886" s="7"/>
    </row>
    <row r="887" customFormat="false" ht="15" hidden="false" customHeight="false" outlineLevel="0" collapsed="false">
      <c r="A887" s="35" t="s">
        <v>2284</v>
      </c>
      <c r="B887" s="35" t="s">
        <v>327</v>
      </c>
      <c r="C887" s="37" t="str">
        <f aca="false">IF(B887="","",IFERROR(INDEX(Applications!$B$5:$B$600,MATCH(B887,Applications!$A$5:$A$600,0)),"Application ID not found"))</f>
        <v>Cali Family Center</v>
      </c>
      <c r="D887" s="35" t="s">
        <v>78</v>
      </c>
      <c r="E887" s="35" t="s">
        <v>86</v>
      </c>
      <c r="F887" s="36" t="n">
        <v>45952</v>
      </c>
      <c r="G887" s="35" t="n">
        <v>4</v>
      </c>
      <c r="H887" s="35" t="n">
        <v>4</v>
      </c>
      <c r="I887" s="35" t="n">
        <v>3</v>
      </c>
      <c r="J887" s="35" t="n">
        <v>3</v>
      </c>
      <c r="K887" s="35" t="n">
        <v>3</v>
      </c>
      <c r="L887" s="35" t="n">
        <v>3</v>
      </c>
      <c r="M887" s="50" t="n">
        <f aca="false">IF(COUNT(G887:L887)&lt;6,"",ROUND((G887*Rubric!$D$5+H887*Rubric!$D$6+I887*Rubric!$D$7+J887*Rubric!$D$8+K887*Rubric!$D$9+L887*Rubric!$D$10)/5*100,1))</f>
        <v>69</v>
      </c>
      <c r="N887" s="37" t="str">
        <f aca="false">IF(OR(B887="",D887=""),"",IFERROR(IF(IF(E887="Primary",INDEX(Applications!$I$5:$I$600,MATCH(B887,Applications!$A$5:$A$600,0)),IF(E887="Secondary",INDEX(Applications!$J$5:$J$600,MATCH(B887,Applications!$A$5:$A$600,0)),INDEX(Applications!$K$5:$K$600,MATCH(B887,Applications!$A$5:$A$600,0))))=D887,"OK","Not assigned"),"Check ID"))</f>
        <v>OK</v>
      </c>
      <c r="O887" s="7"/>
    </row>
    <row r="888" customFormat="false" ht="15" hidden="false" customHeight="false" outlineLevel="0" collapsed="false">
      <c r="A888" s="35" t="s">
        <v>2285</v>
      </c>
      <c r="B888" s="35" t="s">
        <v>1137</v>
      </c>
      <c r="C888" s="37" t="str">
        <f aca="false">IF(B888="","",IFERROR(INDEX(Applications!$B$5:$B$600,MATCH(B888,Applications!$A$5:$A$600,0)),"Application ID not found"))</f>
        <v>Tidewater Mobile Market</v>
      </c>
      <c r="D888" s="35" t="s">
        <v>82</v>
      </c>
      <c r="E888" s="35" t="s">
        <v>83</v>
      </c>
      <c r="F888" s="36" t="n">
        <v>45952</v>
      </c>
      <c r="G888" s="35" t="n">
        <v>3</v>
      </c>
      <c r="H888" s="35" t="n">
        <v>3</v>
      </c>
      <c r="I888" s="35" t="n">
        <v>4</v>
      </c>
      <c r="J888" s="35" t="n">
        <v>3</v>
      </c>
      <c r="K888" s="35" t="n">
        <v>3</v>
      </c>
      <c r="L888" s="35" t="n">
        <v>4</v>
      </c>
      <c r="M888" s="50" t="n">
        <f aca="false">IF(COUNT(G888:L888)&lt;6,"",ROUND((G888*Rubric!$D$5+H888*Rubric!$D$6+I888*Rubric!$D$7+J888*Rubric!$D$8+K888*Rubric!$D$9+L888*Rubric!$D$10)/5*100,1))</f>
        <v>66</v>
      </c>
      <c r="N888" s="37" t="str">
        <f aca="false">IF(OR(B888="",D888=""),"",IFERROR(IF(IF(E888="Primary",INDEX(Applications!$I$5:$I$600,MATCH(B888,Applications!$A$5:$A$600,0)),IF(E888="Secondary",INDEX(Applications!$J$5:$J$600,MATCH(B888,Applications!$A$5:$A$600,0)),INDEX(Applications!$K$5:$K$600,MATCH(B888,Applications!$A$5:$A$600,0))))=D888,"OK","Not assigned"),"Check ID"))</f>
        <v>OK</v>
      </c>
      <c r="O888" s="7" t="s">
        <v>1437</v>
      </c>
    </row>
    <row r="889" customFormat="false" ht="15" hidden="false" customHeight="false" outlineLevel="0" collapsed="false">
      <c r="A889" s="35" t="s">
        <v>2286</v>
      </c>
      <c r="B889" s="35" t="s">
        <v>731</v>
      </c>
      <c r="C889" s="37" t="str">
        <f aca="false">IF(B889="","",IFERROR(INDEX(Applications!$B$5:$B$600,MATCH(B889,Applications!$A$5:$A$600,0)),"Application ID not found"))</f>
        <v>Louisville Mobile Market</v>
      </c>
      <c r="D889" s="35" t="s">
        <v>82</v>
      </c>
      <c r="E889" s="35" t="s">
        <v>83</v>
      </c>
      <c r="F889" s="36" t="n">
        <v>45952</v>
      </c>
      <c r="G889" s="35" t="n">
        <v>3</v>
      </c>
      <c r="H889" s="35" t="n">
        <v>4</v>
      </c>
      <c r="I889" s="35" t="n">
        <v>3</v>
      </c>
      <c r="J889" s="35" t="n">
        <v>4</v>
      </c>
      <c r="K889" s="35" t="n">
        <v>4</v>
      </c>
      <c r="L889" s="35" t="n">
        <v>3</v>
      </c>
      <c r="M889" s="50" t="n">
        <f aca="false">IF(COUNT(G889:L889)&lt;6,"",ROUND((G889*Rubric!$D$5+H889*Rubric!$D$6+I889*Rubric!$D$7+J889*Rubric!$D$8+K889*Rubric!$D$9+L889*Rubric!$D$10)/5*100,1))</f>
        <v>69</v>
      </c>
      <c r="N889" s="37" t="str">
        <f aca="false">IF(OR(B889="",D889=""),"",IFERROR(IF(IF(E889="Primary",INDEX(Applications!$I$5:$I$600,MATCH(B889,Applications!$A$5:$A$600,0)),IF(E889="Secondary",INDEX(Applications!$J$5:$J$600,MATCH(B889,Applications!$A$5:$A$600,0)),INDEX(Applications!$K$5:$K$600,MATCH(B889,Applications!$A$5:$A$600,0))))=D889,"OK","Not assigned"),"Check ID"))</f>
        <v>OK</v>
      </c>
      <c r="O889" s="7" t="s">
        <v>1402</v>
      </c>
    </row>
    <row r="890" customFormat="false" ht="15" hidden="false" customHeight="false" outlineLevel="0" collapsed="false">
      <c r="A890" s="35" t="s">
        <v>2287</v>
      </c>
      <c r="B890" s="35" t="s">
        <v>919</v>
      </c>
      <c r="C890" s="37" t="str">
        <f aca="false">IF(B890="","",IFERROR(INDEX(Applications!$B$5:$B$600,MATCH(B890,Applications!$A$5:$A$600,0)),"Application ID not found"))</f>
        <v>Rotterdam Community Pantry</v>
      </c>
      <c r="D890" s="35" t="s">
        <v>82</v>
      </c>
      <c r="E890" s="35" t="s">
        <v>80</v>
      </c>
      <c r="F890" s="36" t="n">
        <v>45952</v>
      </c>
      <c r="G890" s="35" t="n">
        <v>3</v>
      </c>
      <c r="H890" s="35" t="n">
        <v>3</v>
      </c>
      <c r="I890" s="35" t="n">
        <v>2</v>
      </c>
      <c r="J890" s="35" t="n">
        <v>3</v>
      </c>
      <c r="K890" s="35" t="n">
        <v>3</v>
      </c>
      <c r="L890" s="35" t="n">
        <v>3</v>
      </c>
      <c r="M890" s="50" t="n">
        <f aca="false">IF(COUNT(G890:L890)&lt;6,"",ROUND((G890*Rubric!$D$5+H890*Rubric!$D$6+I890*Rubric!$D$7+J890*Rubric!$D$8+K890*Rubric!$D$9+L890*Rubric!$D$10)/5*100,1))</f>
        <v>56</v>
      </c>
      <c r="N890" s="37" t="str">
        <f aca="false">IF(OR(B890="",D890=""),"",IFERROR(IF(IF(E890="Primary",INDEX(Applications!$I$5:$I$600,MATCH(B890,Applications!$A$5:$A$600,0)),IF(E890="Secondary",INDEX(Applications!$J$5:$J$600,MATCH(B890,Applications!$A$5:$A$600,0)),INDEX(Applications!$K$5:$K$600,MATCH(B890,Applications!$A$5:$A$600,0))))=D890,"OK","Not assigned"),"Check ID"))</f>
        <v>OK</v>
      </c>
      <c r="O890" s="7"/>
    </row>
    <row r="891" customFormat="false" ht="15" hidden="false" customHeight="false" outlineLevel="0" collapsed="false">
      <c r="A891" s="35" t="s">
        <v>2288</v>
      </c>
      <c r="B891" s="35" t="s">
        <v>1197</v>
      </c>
      <c r="C891" s="37" t="str">
        <f aca="false">IF(B891="","",IFERROR(INDEX(Applications!$B$5:$B$600,MATCH(B891,Applications!$A$5:$A$600,0)),"Application ID not found"))</f>
        <v>Bristol Community Pantry</v>
      </c>
      <c r="D891" s="35" t="s">
        <v>82</v>
      </c>
      <c r="E891" s="35" t="s">
        <v>83</v>
      </c>
      <c r="F891" s="36" t="n">
        <v>45952</v>
      </c>
      <c r="G891" s="35" t="n">
        <v>5</v>
      </c>
      <c r="H891" s="35" t="n">
        <v>5</v>
      </c>
      <c r="I891" s="35" t="n">
        <v>4</v>
      </c>
      <c r="J891" s="35" t="n">
        <v>4</v>
      </c>
      <c r="K891" s="35" t="n">
        <v>4</v>
      </c>
      <c r="L891" s="35" t="n">
        <v>4</v>
      </c>
      <c r="M891" s="50" t="n">
        <f aca="false">IF(COUNT(G891:L891)&lt;6,"",ROUND((G891*Rubric!$D$5+H891*Rubric!$D$6+I891*Rubric!$D$7+J891*Rubric!$D$8+K891*Rubric!$D$9+L891*Rubric!$D$10)/5*100,1))</f>
        <v>89</v>
      </c>
      <c r="N891" s="37" t="str">
        <f aca="false">IF(OR(B891="",D891=""),"",IFERROR(IF(IF(E891="Primary",INDEX(Applications!$I$5:$I$600,MATCH(B891,Applications!$A$5:$A$600,0)),IF(E891="Secondary",INDEX(Applications!$J$5:$J$600,MATCH(B891,Applications!$A$5:$A$600,0)),INDEX(Applications!$K$5:$K$600,MATCH(B891,Applications!$A$5:$A$600,0))))=D891,"OK","Not assigned"),"Check ID"))</f>
        <v>OK</v>
      </c>
      <c r="O891" s="7"/>
    </row>
    <row r="892" customFormat="false" ht="15" hidden="false" customHeight="false" outlineLevel="0" collapsed="false">
      <c r="A892" s="35" t="s">
        <v>2289</v>
      </c>
      <c r="B892" s="35" t="s">
        <v>1153</v>
      </c>
      <c r="C892" s="37" t="str">
        <f aca="false">IF(B892="","",IFERROR(INDEX(Applications!$B$5:$B$600,MATCH(B892,Applications!$A$5:$A$600,0)),"Application ID not found"))</f>
        <v>Leeds Kitchen Project</v>
      </c>
      <c r="D892" s="35" t="s">
        <v>82</v>
      </c>
      <c r="E892" s="35" t="s">
        <v>80</v>
      </c>
      <c r="F892" s="36" t="n">
        <v>45952</v>
      </c>
      <c r="G892" s="35" t="n">
        <v>3</v>
      </c>
      <c r="H892" s="35" t="n">
        <v>3</v>
      </c>
      <c r="I892" s="35" t="n">
        <v>3</v>
      </c>
      <c r="J892" s="35" t="n">
        <v>3</v>
      </c>
      <c r="K892" s="35" t="n">
        <v>4</v>
      </c>
      <c r="L892" s="35" t="n">
        <v>3</v>
      </c>
      <c r="M892" s="50" t="n">
        <f aca="false">IF(COUNT(G892:L892)&lt;6,"",ROUND((G892*Rubric!$D$5+H892*Rubric!$D$6+I892*Rubric!$D$7+J892*Rubric!$D$8+K892*Rubric!$D$9+L892*Rubric!$D$10)/5*100,1))</f>
        <v>62</v>
      </c>
      <c r="N892" s="37" t="str">
        <f aca="false">IF(OR(B892="",D892=""),"",IFERROR(IF(IF(E892="Primary",INDEX(Applications!$I$5:$I$600,MATCH(B892,Applications!$A$5:$A$600,0)),IF(E892="Secondary",INDEX(Applications!$J$5:$J$600,MATCH(B892,Applications!$A$5:$A$600,0)),INDEX(Applications!$K$5:$K$600,MATCH(B892,Applications!$A$5:$A$600,0))))=D892,"OK","Not assigned"),"Check ID"))</f>
        <v>OK</v>
      </c>
      <c r="O892" s="7"/>
    </row>
    <row r="893" customFormat="false" ht="15" hidden="false" customHeight="false" outlineLevel="0" collapsed="false">
      <c r="A893" s="35" t="s">
        <v>2290</v>
      </c>
      <c r="B893" s="35" t="s">
        <v>623</v>
      </c>
      <c r="C893" s="37" t="str">
        <f aca="false">IF(B893="","",IFERROR(INDEX(Applications!$B$5:$B$600,MATCH(B893,Applications!$A$5:$A$600,0)),"Application ID not found"))</f>
        <v>Mill Creek Farm Collective</v>
      </c>
      <c r="D893" s="35" t="s">
        <v>82</v>
      </c>
      <c r="E893" s="35" t="s">
        <v>83</v>
      </c>
      <c r="F893" s="36" t="n">
        <v>45952</v>
      </c>
      <c r="G893" s="35" t="n">
        <v>3</v>
      </c>
      <c r="H893" s="35" t="n">
        <v>4</v>
      </c>
      <c r="I893" s="35" t="n">
        <v>3</v>
      </c>
      <c r="J893" s="35" t="n">
        <v>3</v>
      </c>
      <c r="K893" s="35" t="n">
        <v>3</v>
      </c>
      <c r="L893" s="35" t="n">
        <v>3</v>
      </c>
      <c r="M893" s="50" t="n">
        <f aca="false">IF(COUNT(G893:L893)&lt;6,"",ROUND((G893*Rubric!$D$5+H893*Rubric!$D$6+I893*Rubric!$D$7+J893*Rubric!$D$8+K893*Rubric!$D$9+L893*Rubric!$D$10)/5*100,1))</f>
        <v>64</v>
      </c>
      <c r="N893" s="37" t="str">
        <f aca="false">IF(OR(B893="",D893=""),"",IFERROR(IF(IF(E893="Primary",INDEX(Applications!$I$5:$I$600,MATCH(B893,Applications!$A$5:$A$600,0)),IF(E893="Secondary",INDEX(Applications!$J$5:$J$600,MATCH(B893,Applications!$A$5:$A$600,0)),INDEX(Applications!$K$5:$K$600,MATCH(B893,Applications!$A$5:$A$600,0))))=D893,"OK","Not assigned"),"Check ID"))</f>
        <v>OK</v>
      </c>
      <c r="O893" s="7" t="s">
        <v>1398</v>
      </c>
    </row>
    <row r="894" customFormat="false" ht="15" hidden="false" customHeight="false" outlineLevel="0" collapsed="false">
      <c r="A894" s="35" t="s">
        <v>2291</v>
      </c>
      <c r="B894" s="35" t="s">
        <v>715</v>
      </c>
      <c r="C894" s="37" t="str">
        <f aca="false">IF(B894="","",IFERROR(INDEX(Applications!$B$5:$B$600,MATCH(B894,Applications!$A$5:$A$600,0)),"Application ID not found"))</f>
        <v>Copper Hill Culinary Works</v>
      </c>
      <c r="D894" s="35" t="s">
        <v>82</v>
      </c>
      <c r="E894" s="35" t="s">
        <v>80</v>
      </c>
      <c r="F894" s="36" t="n">
        <v>45952</v>
      </c>
      <c r="G894" s="35" t="n">
        <v>3</v>
      </c>
      <c r="H894" s="35" t="n">
        <v>3</v>
      </c>
      <c r="I894" s="35" t="n">
        <v>3</v>
      </c>
      <c r="J894" s="35" t="n">
        <v>3</v>
      </c>
      <c r="K894" s="35" t="n">
        <v>3</v>
      </c>
      <c r="L894" s="35" t="n">
        <v>3</v>
      </c>
      <c r="M894" s="50" t="n">
        <f aca="false">IF(COUNT(G894:L894)&lt;6,"",ROUND((G894*Rubric!$D$5+H894*Rubric!$D$6+I894*Rubric!$D$7+J894*Rubric!$D$8+K894*Rubric!$D$9+L894*Rubric!$D$10)/5*100,1))</f>
        <v>60</v>
      </c>
      <c r="N894" s="37" t="str">
        <f aca="false">IF(OR(B894="",D894=""),"",IFERROR(IF(IF(E894="Primary",INDEX(Applications!$I$5:$I$600,MATCH(B894,Applications!$A$5:$A$600,0)),IF(E894="Secondary",INDEX(Applications!$J$5:$J$600,MATCH(B894,Applications!$A$5:$A$600,0)),INDEX(Applications!$K$5:$K$600,MATCH(B894,Applications!$A$5:$A$600,0))))=D894,"OK","Not assigned"),"Check ID"))</f>
        <v>OK</v>
      </c>
      <c r="O894" s="7"/>
    </row>
    <row r="895" customFormat="false" ht="15" hidden="false" customHeight="false" outlineLevel="0" collapsed="false">
      <c r="A895" s="35" t="s">
        <v>2292</v>
      </c>
      <c r="B895" s="35" t="s">
        <v>176</v>
      </c>
      <c r="C895" s="37" t="str">
        <f aca="false">IF(B895="","",IFERROR(INDEX(Applications!$B$5:$B$600,MATCH(B895,Applications!$A$5:$A$600,0)),"Application ID not found"))</f>
        <v>Tulsa Cafe Training Program</v>
      </c>
      <c r="D895" s="35" t="s">
        <v>82</v>
      </c>
      <c r="E895" s="35" t="s">
        <v>83</v>
      </c>
      <c r="F895" s="36" t="n">
        <v>45952</v>
      </c>
      <c r="G895" s="35" t="n">
        <v>1</v>
      </c>
      <c r="H895" s="35" t="n">
        <v>3</v>
      </c>
      <c r="I895" s="35" t="n">
        <v>2</v>
      </c>
      <c r="J895" s="35" t="n">
        <v>3</v>
      </c>
      <c r="K895" s="35" t="n">
        <v>2</v>
      </c>
      <c r="L895" s="35" t="n">
        <v>2</v>
      </c>
      <c r="M895" s="50" t="n">
        <f aca="false">IF(COUNT(G895:L895)&lt;6,"",ROUND((G895*Rubric!$D$5+H895*Rubric!$D$6+I895*Rubric!$D$7+J895*Rubric!$D$8+K895*Rubric!$D$9+L895*Rubric!$D$10)/5*100,1))</f>
        <v>42</v>
      </c>
      <c r="N895" s="37" t="str">
        <f aca="false">IF(OR(B895="",D895=""),"",IFERROR(IF(IF(E895="Primary",INDEX(Applications!$I$5:$I$600,MATCH(B895,Applications!$A$5:$A$600,0)),IF(E895="Secondary",INDEX(Applications!$J$5:$J$600,MATCH(B895,Applications!$A$5:$A$600,0)),INDEX(Applications!$K$5:$K$600,MATCH(B895,Applications!$A$5:$A$600,0))))=D895,"OK","Not assigned"),"Check ID"))</f>
        <v>OK</v>
      </c>
      <c r="O895" s="7" t="s">
        <v>1437</v>
      </c>
    </row>
    <row r="896" customFormat="false" ht="15" hidden="false" customHeight="false" outlineLevel="0" collapsed="false">
      <c r="A896" s="35" t="s">
        <v>2293</v>
      </c>
      <c r="B896" s="35" t="s">
        <v>989</v>
      </c>
      <c r="C896" s="37" t="str">
        <f aca="false">IF(B896="","",IFERROR(INDEX(Applications!$B$5:$B$600,MATCH(B896,Applications!$A$5:$A$600,0)),"Application ID not found"))</f>
        <v>Cape Town Bakery Collective</v>
      </c>
      <c r="D896" s="35" t="s">
        <v>82</v>
      </c>
      <c r="E896" s="35" t="s">
        <v>80</v>
      </c>
      <c r="F896" s="36" t="n">
        <v>45952</v>
      </c>
      <c r="G896" s="35" t="n">
        <v>3</v>
      </c>
      <c r="H896" s="35" t="n">
        <v>3</v>
      </c>
      <c r="I896" s="35" t="n">
        <v>3</v>
      </c>
      <c r="J896" s="35" t="n">
        <v>3</v>
      </c>
      <c r="K896" s="35" t="n">
        <v>3</v>
      </c>
      <c r="L896" s="35" t="n">
        <v>3</v>
      </c>
      <c r="M896" s="50" t="n">
        <f aca="false">IF(COUNT(G896:L896)&lt;6,"",ROUND((G896*Rubric!$D$5+H896*Rubric!$D$6+I896*Rubric!$D$7+J896*Rubric!$D$8+K896*Rubric!$D$9+L896*Rubric!$D$10)/5*100,1))</f>
        <v>60</v>
      </c>
      <c r="N896" s="37" t="str">
        <f aca="false">IF(OR(B896="",D896=""),"",IFERROR(IF(IF(E896="Primary",INDEX(Applications!$I$5:$I$600,MATCH(B896,Applications!$A$5:$A$600,0)),IF(E896="Secondary",INDEX(Applications!$J$5:$J$600,MATCH(B896,Applications!$A$5:$A$600,0)),INDEX(Applications!$K$5:$K$600,MATCH(B896,Applications!$A$5:$A$600,0))))=D896,"OK","Not assigned"),"Check ID"))</f>
        <v>OK</v>
      </c>
      <c r="O896" s="7"/>
    </row>
    <row r="897" customFormat="false" ht="15" hidden="false" customHeight="false" outlineLevel="0" collapsed="false">
      <c r="A897" s="35" t="s">
        <v>2294</v>
      </c>
      <c r="B897" s="35" t="s">
        <v>823</v>
      </c>
      <c r="C897" s="37" t="str">
        <f aca="false">IF(B897="","",IFERROR(INDEX(Applications!$B$5:$B$600,MATCH(B897,Applications!$A$5:$A$600,0)),"Application ID not found"))</f>
        <v>Fresno Pantry Network</v>
      </c>
      <c r="D897" s="35" t="s">
        <v>82</v>
      </c>
      <c r="E897" s="35" t="s">
        <v>80</v>
      </c>
      <c r="F897" s="36" t="n">
        <v>45952</v>
      </c>
      <c r="G897" s="35" t="n">
        <v>5</v>
      </c>
      <c r="H897" s="35" t="n">
        <v>5</v>
      </c>
      <c r="I897" s="35" t="n">
        <v>4</v>
      </c>
      <c r="J897" s="35" t="n">
        <v>5</v>
      </c>
      <c r="K897" s="35" t="n">
        <v>5</v>
      </c>
      <c r="L897" s="35" t="n">
        <v>5</v>
      </c>
      <c r="M897" s="50" t="n">
        <f aca="false">IF(COUNT(G897:L897)&lt;6,"",ROUND((G897*Rubric!$D$5+H897*Rubric!$D$6+I897*Rubric!$D$7+J897*Rubric!$D$8+K897*Rubric!$D$9+L897*Rubric!$D$10)/5*100,1))</f>
        <v>96</v>
      </c>
      <c r="N897" s="37" t="str">
        <f aca="false">IF(OR(B897="",D897=""),"",IFERROR(IF(IF(E897="Primary",INDEX(Applications!$I$5:$I$600,MATCH(B897,Applications!$A$5:$A$600,0)),IF(E897="Secondary",INDEX(Applications!$J$5:$J$600,MATCH(B897,Applications!$A$5:$A$600,0)),INDEX(Applications!$K$5:$K$600,MATCH(B897,Applications!$A$5:$A$600,0))))=D897,"OK","Not assigned"),"Check ID"))</f>
        <v>OK</v>
      </c>
      <c r="O897" s="7" t="s">
        <v>1402</v>
      </c>
    </row>
    <row r="898" customFormat="false" ht="15" hidden="false" customHeight="false" outlineLevel="0" collapsed="false">
      <c r="A898" s="35" t="s">
        <v>2295</v>
      </c>
      <c r="B898" s="35" t="s">
        <v>647</v>
      </c>
      <c r="C898" s="37" t="str">
        <f aca="false">IF(B898="","",IFERROR(INDEX(Applications!$B$5:$B$600,MATCH(B898,Applications!$A$5:$A$600,0)),"Application ID not found"))</f>
        <v>Chicago Food Shelf</v>
      </c>
      <c r="D898" s="35" t="s">
        <v>82</v>
      </c>
      <c r="E898" s="35" t="s">
        <v>83</v>
      </c>
      <c r="F898" s="36" t="n">
        <v>45952</v>
      </c>
      <c r="G898" s="35" t="n">
        <v>4</v>
      </c>
      <c r="H898" s="35" t="n">
        <v>3</v>
      </c>
      <c r="I898" s="35" t="n">
        <v>3</v>
      </c>
      <c r="J898" s="35" t="n">
        <v>4</v>
      </c>
      <c r="K898" s="35" t="n">
        <v>3</v>
      </c>
      <c r="L898" s="35" t="n">
        <v>3</v>
      </c>
      <c r="M898" s="50" t="n">
        <f aca="false">IF(COUNT(G898:L898)&lt;6,"",ROUND((G898*Rubric!$D$5+H898*Rubric!$D$6+I898*Rubric!$D$7+J898*Rubric!$D$8+K898*Rubric!$D$9+L898*Rubric!$D$10)/5*100,1))</f>
        <v>68</v>
      </c>
      <c r="N898" s="37" t="str">
        <f aca="false">IF(OR(B898="",D898=""),"",IFERROR(IF(IF(E898="Primary",INDEX(Applications!$I$5:$I$600,MATCH(B898,Applications!$A$5:$A$600,0)),IF(E898="Secondary",INDEX(Applications!$J$5:$J$600,MATCH(B898,Applications!$A$5:$A$600,0)),INDEX(Applications!$K$5:$K$600,MATCH(B898,Applications!$A$5:$A$600,0))))=D898,"OK","Not assigned"),"Check ID"))</f>
        <v>OK</v>
      </c>
      <c r="O898" s="7" t="s">
        <v>1493</v>
      </c>
    </row>
    <row r="899" customFormat="false" ht="15" hidden="false" customHeight="false" outlineLevel="0" collapsed="false">
      <c r="A899" s="35" t="s">
        <v>2296</v>
      </c>
      <c r="B899" s="35" t="s">
        <v>1223</v>
      </c>
      <c r="C899" s="37" t="str">
        <f aca="false">IF(B899="","",IFERROR(INDEX(Applications!$B$5:$B$600,MATCH(B899,Applications!$A$5:$A$600,0)),"Application ID not found"))</f>
        <v>Crossroads Community Pantry</v>
      </c>
      <c r="D899" s="35" t="s">
        <v>82</v>
      </c>
      <c r="E899" s="35" t="s">
        <v>80</v>
      </c>
      <c r="F899" s="36" t="n">
        <v>45952</v>
      </c>
      <c r="G899" s="35" t="n">
        <v>3</v>
      </c>
      <c r="H899" s="35" t="n">
        <v>3</v>
      </c>
      <c r="I899" s="35" t="n">
        <v>3</v>
      </c>
      <c r="J899" s="35" t="n">
        <v>3</v>
      </c>
      <c r="K899" s="35" t="n">
        <v>3</v>
      </c>
      <c r="L899" s="35" t="n">
        <v>3</v>
      </c>
      <c r="M899" s="50" t="n">
        <f aca="false">IF(COUNT(G899:L899)&lt;6,"",ROUND((G899*Rubric!$D$5+H899*Rubric!$D$6+I899*Rubric!$D$7+J899*Rubric!$D$8+K899*Rubric!$D$9+L899*Rubric!$D$10)/5*100,1))</f>
        <v>60</v>
      </c>
      <c r="N899" s="37" t="str">
        <f aca="false">IF(OR(B899="",D899=""),"",IFERROR(IF(IF(E899="Primary",INDEX(Applications!$I$5:$I$600,MATCH(B899,Applications!$A$5:$A$600,0)),IF(E899="Secondary",INDEX(Applications!$J$5:$J$600,MATCH(B899,Applications!$A$5:$A$600,0)),INDEX(Applications!$K$5:$K$600,MATCH(B899,Applications!$A$5:$A$600,0))))=D899,"OK","Not assigned"),"Check ID"))</f>
        <v>OK</v>
      </c>
      <c r="O899" s="7"/>
    </row>
    <row r="900" customFormat="false" ht="15" hidden="false" customHeight="false" outlineLevel="0" collapsed="false">
      <c r="A900" s="35" t="s">
        <v>2297</v>
      </c>
      <c r="B900" s="35" t="s">
        <v>1271</v>
      </c>
      <c r="C900" s="37" t="str">
        <f aca="false">IF(B900="","",IFERROR(INDEX(Applications!$B$5:$B$600,MATCH(B900,Applications!$A$5:$A$600,0)),"Application ID not found"))</f>
        <v>Kestrel Cafe Training Program</v>
      </c>
      <c r="D900" s="35" t="s">
        <v>82</v>
      </c>
      <c r="E900" s="35" t="s">
        <v>80</v>
      </c>
      <c r="F900" s="36" t="n">
        <v>45952</v>
      </c>
      <c r="G900" s="35" t="n">
        <v>3</v>
      </c>
      <c r="H900" s="35" t="n">
        <v>4</v>
      </c>
      <c r="I900" s="35" t="n">
        <v>4</v>
      </c>
      <c r="J900" s="35" t="n">
        <v>3</v>
      </c>
      <c r="K900" s="35" t="n">
        <v>3</v>
      </c>
      <c r="L900" s="35" t="n">
        <v>4</v>
      </c>
      <c r="M900" s="50" t="n">
        <f aca="false">IF(COUNT(G900:L900)&lt;6,"",ROUND((G900*Rubric!$D$5+H900*Rubric!$D$6+I900*Rubric!$D$7+J900*Rubric!$D$8+K900*Rubric!$D$9+L900*Rubric!$D$10)/5*100,1))</f>
        <v>70</v>
      </c>
      <c r="N900" s="37" t="str">
        <f aca="false">IF(OR(B900="",D900=""),"",IFERROR(IF(IF(E900="Primary",INDEX(Applications!$I$5:$I$600,MATCH(B900,Applications!$A$5:$A$600,0)),IF(E900="Secondary",INDEX(Applications!$J$5:$J$600,MATCH(B900,Applications!$A$5:$A$600,0)),INDEX(Applications!$K$5:$K$600,MATCH(B900,Applications!$A$5:$A$600,0))))=D900,"OK","Not assigned"),"Check ID"))</f>
        <v>OK</v>
      </c>
      <c r="O900" s="7"/>
    </row>
    <row r="901" customFormat="false" ht="15" hidden="false" customHeight="false" outlineLevel="0" collapsed="false">
      <c r="A901" s="35" t="s">
        <v>2298</v>
      </c>
      <c r="B901" s="35" t="s">
        <v>1001</v>
      </c>
      <c r="C901" s="37" t="str">
        <f aca="false">IF(B901="","",IFERROR(INDEX(Applications!$B$5:$B$600,MATCH(B901,Applications!$A$5:$A$600,0)),"Application ID not found"))</f>
        <v>Oak Hollow Food Ventures</v>
      </c>
      <c r="D901" s="35" t="s">
        <v>82</v>
      </c>
      <c r="E901" s="35" t="s">
        <v>83</v>
      </c>
      <c r="F901" s="36" t="n">
        <v>45952</v>
      </c>
      <c r="G901" s="35" t="n">
        <v>4</v>
      </c>
      <c r="H901" s="35" t="n">
        <v>4</v>
      </c>
      <c r="I901" s="35" t="n">
        <v>3</v>
      </c>
      <c r="J901" s="35" t="n">
        <v>4</v>
      </c>
      <c r="K901" s="35" t="n">
        <v>4</v>
      </c>
      <c r="L901" s="35" t="n">
        <v>4</v>
      </c>
      <c r="M901" s="50" t="n">
        <f aca="false">IF(COUNT(G901:L901)&lt;6,"",ROUND((G901*Rubric!$D$5+H901*Rubric!$D$6+I901*Rubric!$D$7+J901*Rubric!$D$8+K901*Rubric!$D$9+L901*Rubric!$D$10)/5*100,1))</f>
        <v>76</v>
      </c>
      <c r="N901" s="37" t="str">
        <f aca="false">IF(OR(B901="",D901=""),"",IFERROR(IF(IF(E901="Primary",INDEX(Applications!$I$5:$I$600,MATCH(B901,Applications!$A$5:$A$600,0)),IF(E901="Secondary",INDEX(Applications!$J$5:$J$600,MATCH(B901,Applications!$A$5:$A$600,0)),INDEX(Applications!$K$5:$K$600,MATCH(B901,Applications!$A$5:$A$600,0))))=D901,"OK","Not assigned"),"Check ID"))</f>
        <v>OK</v>
      </c>
      <c r="O901" s="7"/>
    </row>
    <row r="902" customFormat="false" ht="15" hidden="false" customHeight="false" outlineLevel="0" collapsed="false">
      <c r="A902" s="35" t="s">
        <v>2299</v>
      </c>
      <c r="B902" s="35" t="s">
        <v>1215</v>
      </c>
      <c r="C902" s="37" t="str">
        <f aca="false">IF(B902="","",IFERROR(INDEX(Applications!$B$5:$B$600,MATCH(B902,Applications!$A$5:$A$600,0)),"Application ID not found"))</f>
        <v>Leipzig Schools Nutrition Fund</v>
      </c>
      <c r="D902" s="35" t="s">
        <v>88</v>
      </c>
      <c r="E902" s="35" t="s">
        <v>83</v>
      </c>
      <c r="F902" s="36" t="n">
        <v>45952</v>
      </c>
      <c r="G902" s="35" t="n">
        <v>3</v>
      </c>
      <c r="H902" s="35" t="n">
        <v>3</v>
      </c>
      <c r="I902" s="35" t="n">
        <v>4</v>
      </c>
      <c r="J902" s="35" t="n">
        <v>4</v>
      </c>
      <c r="K902" s="35" t="n">
        <v>4</v>
      </c>
      <c r="L902" s="35" t="n">
        <v>4</v>
      </c>
      <c r="M902" s="50" t="n">
        <f aca="false">IF(COUNT(G902:L902)&lt;6,"",ROUND((G902*Rubric!$D$5+H902*Rubric!$D$6+I902*Rubric!$D$7+J902*Rubric!$D$8+K902*Rubric!$D$9+L902*Rubric!$D$10)/5*100,1))</f>
        <v>71</v>
      </c>
      <c r="N902" s="37" t="str">
        <f aca="false">IF(OR(B902="",D902=""),"",IFERROR(IF(IF(E902="Primary",INDEX(Applications!$I$5:$I$600,MATCH(B902,Applications!$A$5:$A$600,0)),IF(E902="Secondary",INDEX(Applications!$J$5:$J$600,MATCH(B902,Applications!$A$5:$A$600,0)),INDEX(Applications!$K$5:$K$600,MATCH(B902,Applications!$A$5:$A$600,0))))=D902,"OK","Not assigned"),"Check ID"))</f>
        <v>OK</v>
      </c>
      <c r="O902" s="7"/>
    </row>
    <row r="903" customFormat="false" ht="15" hidden="false" customHeight="false" outlineLevel="0" collapsed="false">
      <c r="A903" s="35" t="s">
        <v>2300</v>
      </c>
      <c r="B903" s="35" t="s">
        <v>875</v>
      </c>
      <c r="C903" s="37" t="str">
        <f aca="false">IF(B903="","",IFERROR(INDEX(Applications!$B$5:$B$600,MATCH(B903,Applications!$A$5:$A$600,0)),"Application ID not found"))</f>
        <v>Maple Street Family Center</v>
      </c>
      <c r="D903" s="35" t="s">
        <v>88</v>
      </c>
      <c r="E903" s="35" t="s">
        <v>80</v>
      </c>
      <c r="F903" s="36" t="n">
        <v>45952</v>
      </c>
      <c r="G903" s="35" t="n">
        <v>4</v>
      </c>
      <c r="H903" s="35" t="n">
        <v>5</v>
      </c>
      <c r="I903" s="35" t="n">
        <v>4</v>
      </c>
      <c r="J903" s="35" t="n">
        <v>4</v>
      </c>
      <c r="K903" s="35" t="n">
        <v>4</v>
      </c>
      <c r="L903" s="35" t="n">
        <v>4</v>
      </c>
      <c r="M903" s="50" t="n">
        <f aca="false">IF(COUNT(G903:L903)&lt;6,"",ROUND((G903*Rubric!$D$5+H903*Rubric!$D$6+I903*Rubric!$D$7+J903*Rubric!$D$8+K903*Rubric!$D$9+L903*Rubric!$D$10)/5*100,1))</f>
        <v>84</v>
      </c>
      <c r="N903" s="37" t="str">
        <f aca="false">IF(OR(B903="",D903=""),"",IFERROR(IF(IF(E903="Primary",INDEX(Applications!$I$5:$I$600,MATCH(B903,Applications!$A$5:$A$600,0)),IF(E903="Secondary",INDEX(Applications!$J$5:$J$600,MATCH(B903,Applications!$A$5:$A$600,0)),INDEX(Applications!$K$5:$K$600,MATCH(B903,Applications!$A$5:$A$600,0))))=D903,"OK","Not assigned"),"Check ID"))</f>
        <v>OK</v>
      </c>
      <c r="O903" s="7"/>
    </row>
    <row r="904" customFormat="false" ht="15" hidden="false" customHeight="false" outlineLevel="0" collapsed="false">
      <c r="A904" s="35" t="s">
        <v>2301</v>
      </c>
      <c r="B904" s="35" t="s">
        <v>366</v>
      </c>
      <c r="C904" s="37" t="str">
        <f aca="false">IF(B904="","",IFERROR(INDEX(Applications!$B$5:$B$600,MATCH(B904,Applications!$A$5:$A$600,0)),"Application ID not found"))</f>
        <v>Des Moines Mobile Market</v>
      </c>
      <c r="D904" s="35" t="s">
        <v>88</v>
      </c>
      <c r="E904" s="35" t="s">
        <v>80</v>
      </c>
      <c r="F904" s="36" t="n">
        <v>45952</v>
      </c>
      <c r="G904" s="35" t="n">
        <v>4</v>
      </c>
      <c r="H904" s="35" t="n">
        <v>4</v>
      </c>
      <c r="I904" s="35" t="n">
        <v>4</v>
      </c>
      <c r="J904" s="35" t="n">
        <v>4</v>
      </c>
      <c r="K904" s="35" t="n">
        <v>4</v>
      </c>
      <c r="L904" s="35" t="n">
        <v>3</v>
      </c>
      <c r="M904" s="50" t="n">
        <f aca="false">IF(COUNT(G904:L904)&lt;6,"",ROUND((G904*Rubric!$D$5+H904*Rubric!$D$6+I904*Rubric!$D$7+J904*Rubric!$D$8+K904*Rubric!$D$9+L904*Rubric!$D$10)/5*100,1))</f>
        <v>78</v>
      </c>
      <c r="N904" s="37" t="str">
        <f aca="false">IF(OR(B904="",D904=""),"",IFERROR(IF(IF(E904="Primary",INDEX(Applications!$I$5:$I$600,MATCH(B904,Applications!$A$5:$A$600,0)),IF(E904="Secondary",INDEX(Applications!$J$5:$J$600,MATCH(B904,Applications!$A$5:$A$600,0)),INDEX(Applications!$K$5:$K$600,MATCH(B904,Applications!$A$5:$A$600,0))))=D904,"OK","Not assigned"),"Check ID"))</f>
        <v>OK</v>
      </c>
      <c r="O904" s="7"/>
    </row>
    <row r="905" customFormat="false" ht="15" hidden="false" customHeight="false" outlineLevel="0" collapsed="false">
      <c r="A905" s="35" t="s">
        <v>2302</v>
      </c>
      <c r="B905" s="35" t="s">
        <v>993</v>
      </c>
      <c r="C905" s="37" t="str">
        <f aca="false">IF(B905="","",IFERROR(INDEX(Applications!$B$5:$B$600,MATCH(B905,Applications!$A$5:$A$600,0)),"Application ID not found"))</f>
        <v>Sheffield Food Shelf</v>
      </c>
      <c r="D905" s="35" t="s">
        <v>88</v>
      </c>
      <c r="E905" s="35" t="s">
        <v>80</v>
      </c>
      <c r="F905" s="36" t="n">
        <v>45952</v>
      </c>
      <c r="G905" s="35" t="n">
        <v>3</v>
      </c>
      <c r="H905" s="35" t="n">
        <v>4</v>
      </c>
      <c r="I905" s="35" t="n">
        <v>3</v>
      </c>
      <c r="J905" s="35" t="n">
        <v>3</v>
      </c>
      <c r="K905" s="35" t="n">
        <v>3</v>
      </c>
      <c r="L905" s="35" t="n">
        <v>3</v>
      </c>
      <c r="M905" s="50" t="n">
        <f aca="false">IF(COUNT(G905:L905)&lt;6,"",ROUND((G905*Rubric!$D$5+H905*Rubric!$D$6+I905*Rubric!$D$7+J905*Rubric!$D$8+K905*Rubric!$D$9+L905*Rubric!$D$10)/5*100,1))</f>
        <v>64</v>
      </c>
      <c r="N905" s="37" t="str">
        <f aca="false">IF(OR(B905="",D905=""),"",IFERROR(IF(IF(E905="Primary",INDEX(Applications!$I$5:$I$600,MATCH(B905,Applications!$A$5:$A$600,0)),IF(E905="Secondary",INDEX(Applications!$J$5:$J$600,MATCH(B905,Applications!$A$5:$A$600,0)),INDEX(Applications!$K$5:$K$600,MATCH(B905,Applications!$A$5:$A$600,0))))=D905,"OK","Not assigned"),"Check ID"))</f>
        <v>OK</v>
      </c>
      <c r="O905" s="7"/>
    </row>
    <row r="906" customFormat="false" ht="15" hidden="false" customHeight="false" outlineLevel="0" collapsed="false">
      <c r="A906" s="35" t="s">
        <v>2303</v>
      </c>
      <c r="B906" s="35" t="s">
        <v>809</v>
      </c>
      <c r="C906" s="37" t="str">
        <f aca="false">IF(B906="","",IFERROR(INDEX(Applications!$B$5:$B$600,MATCH(B906,Applications!$A$5:$A$600,0)),"Application ID not found"))</f>
        <v>Recife Community Kitchen</v>
      </c>
      <c r="D906" s="35" t="s">
        <v>88</v>
      </c>
      <c r="E906" s="35" t="s">
        <v>83</v>
      </c>
      <c r="F906" s="36" t="n">
        <v>45952</v>
      </c>
      <c r="G906" s="35" t="n">
        <v>4</v>
      </c>
      <c r="H906" s="35" t="n">
        <v>4</v>
      </c>
      <c r="I906" s="35" t="n">
        <v>4</v>
      </c>
      <c r="J906" s="35" t="n">
        <v>3</v>
      </c>
      <c r="K906" s="35" t="n">
        <v>4</v>
      </c>
      <c r="L906" s="35" t="n">
        <v>4</v>
      </c>
      <c r="M906" s="50" t="n">
        <f aca="false">IF(COUNT(G906:L906)&lt;6,"",ROUND((G906*Rubric!$D$5+H906*Rubric!$D$6+I906*Rubric!$D$7+J906*Rubric!$D$8+K906*Rubric!$D$9+L906*Rubric!$D$10)/5*100,1))</f>
        <v>77</v>
      </c>
      <c r="N906" s="37" t="str">
        <f aca="false">IF(OR(B906="",D906=""),"",IFERROR(IF(IF(E906="Primary",INDEX(Applications!$I$5:$I$600,MATCH(B906,Applications!$A$5:$A$600,0)),IF(E906="Secondary",INDEX(Applications!$J$5:$J$600,MATCH(B906,Applications!$A$5:$A$600,0)),INDEX(Applications!$K$5:$K$600,MATCH(B906,Applications!$A$5:$A$600,0))))=D906,"OK","Not assigned"),"Check ID"))</f>
        <v>OK</v>
      </c>
      <c r="O906" s="7" t="s">
        <v>1426</v>
      </c>
    </row>
    <row r="907" customFormat="false" ht="15" hidden="false" customHeight="false" outlineLevel="0" collapsed="false">
      <c r="A907" s="35" t="s">
        <v>2304</v>
      </c>
      <c r="B907" s="35" t="s">
        <v>1141</v>
      </c>
      <c r="C907" s="37" t="str">
        <f aca="false">IF(B907="","",IFERROR(INDEX(Applications!$B$5:$B$600,MATCH(B907,Applications!$A$5:$A$600,0)),"Application ID not found"))</f>
        <v>Toronto Food Shelf</v>
      </c>
      <c r="D907" s="35" t="s">
        <v>88</v>
      </c>
      <c r="E907" s="35" t="s">
        <v>80</v>
      </c>
      <c r="F907" s="36" t="n">
        <v>45952</v>
      </c>
      <c r="G907" s="35" t="n">
        <v>4</v>
      </c>
      <c r="H907" s="35" t="n">
        <v>3</v>
      </c>
      <c r="I907" s="35" t="n">
        <v>2</v>
      </c>
      <c r="J907" s="35" t="n">
        <v>3</v>
      </c>
      <c r="K907" s="35" t="n">
        <v>3</v>
      </c>
      <c r="L907" s="35" t="n">
        <v>3</v>
      </c>
      <c r="M907" s="50" t="n">
        <f aca="false">IF(COUNT(G907:L907)&lt;6,"",ROUND((G907*Rubric!$D$5+H907*Rubric!$D$6+I907*Rubric!$D$7+J907*Rubric!$D$8+K907*Rubric!$D$9+L907*Rubric!$D$10)/5*100,1))</f>
        <v>61</v>
      </c>
      <c r="N907" s="37" t="str">
        <f aca="false">IF(OR(B907="",D907=""),"",IFERROR(IF(IF(E907="Primary",INDEX(Applications!$I$5:$I$600,MATCH(B907,Applications!$A$5:$A$600,0)),IF(E907="Secondary",INDEX(Applications!$J$5:$J$600,MATCH(B907,Applications!$A$5:$A$600,0)),INDEX(Applications!$K$5:$K$600,MATCH(B907,Applications!$A$5:$A$600,0))))=D907,"OK","Not assigned"),"Check ID"))</f>
        <v>OK</v>
      </c>
      <c r="O907" s="7"/>
    </row>
    <row r="908" customFormat="false" ht="15" hidden="false" customHeight="false" outlineLevel="0" collapsed="false">
      <c r="A908" s="35" t="s">
        <v>2305</v>
      </c>
      <c r="B908" s="35" t="s">
        <v>1265</v>
      </c>
      <c r="C908" s="37" t="str">
        <f aca="false">IF(B908="","",IFERROR(INDEX(Applications!$B$5:$B$600,MATCH(B908,Applications!$A$5:$A$600,0)),"Application ID not found"))</f>
        <v>Milwaukee Community Kitchen</v>
      </c>
      <c r="D908" s="35" t="s">
        <v>88</v>
      </c>
      <c r="E908" s="35" t="s">
        <v>80</v>
      </c>
      <c r="F908" s="36" t="n">
        <v>45952</v>
      </c>
      <c r="G908" s="35" t="n">
        <v>3</v>
      </c>
      <c r="H908" s="35" t="n">
        <v>3</v>
      </c>
      <c r="I908" s="35" t="n">
        <v>3</v>
      </c>
      <c r="J908" s="35" t="n">
        <v>3</v>
      </c>
      <c r="K908" s="35" t="n">
        <v>2</v>
      </c>
      <c r="L908" s="35" t="n">
        <v>3</v>
      </c>
      <c r="M908" s="50" t="n">
        <f aca="false">IF(COUNT(G908:L908)&lt;6,"",ROUND((G908*Rubric!$D$5+H908*Rubric!$D$6+I908*Rubric!$D$7+J908*Rubric!$D$8+K908*Rubric!$D$9+L908*Rubric!$D$10)/5*100,1))</f>
        <v>58</v>
      </c>
      <c r="N908" s="37" t="str">
        <f aca="false">IF(OR(B908="",D908=""),"",IFERROR(IF(IF(E908="Primary",INDEX(Applications!$I$5:$I$600,MATCH(B908,Applications!$A$5:$A$600,0)),IF(E908="Secondary",INDEX(Applications!$J$5:$J$600,MATCH(B908,Applications!$A$5:$A$600,0)),INDEX(Applications!$K$5:$K$600,MATCH(B908,Applications!$A$5:$A$600,0))))=D908,"OK","Not assigned"),"Check ID"))</f>
        <v>OK</v>
      </c>
      <c r="O908" s="7" t="s">
        <v>1426</v>
      </c>
    </row>
    <row r="909" customFormat="false" ht="15" hidden="false" customHeight="false" outlineLevel="0" collapsed="false">
      <c r="A909" s="35" t="s">
        <v>2306</v>
      </c>
      <c r="B909" s="35" t="s">
        <v>235</v>
      </c>
      <c r="C909" s="37" t="str">
        <f aca="false">IF(B909="","",IFERROR(INDEX(Applications!$B$5:$B$600,MATCH(B909,Applications!$A$5:$A$600,0)),"Application ID not found"))</f>
        <v>Akron Youth Food Lab</v>
      </c>
      <c r="D909" s="35" t="s">
        <v>88</v>
      </c>
      <c r="E909" s="35" t="s">
        <v>80</v>
      </c>
      <c r="F909" s="36" t="n">
        <v>45952</v>
      </c>
      <c r="G909" s="35" t="n">
        <v>3</v>
      </c>
      <c r="H909" s="35" t="n">
        <v>3</v>
      </c>
      <c r="I909" s="35" t="n">
        <v>3</v>
      </c>
      <c r="J909" s="35" t="n">
        <v>3</v>
      </c>
      <c r="K909" s="35" t="n">
        <v>3</v>
      </c>
      <c r="L909" s="35" t="n">
        <v>3</v>
      </c>
      <c r="M909" s="50" t="n">
        <f aca="false">IF(COUNT(G909:L909)&lt;6,"",ROUND((G909*Rubric!$D$5+H909*Rubric!$D$6+I909*Rubric!$D$7+J909*Rubric!$D$8+K909*Rubric!$D$9+L909*Rubric!$D$10)/5*100,1))</f>
        <v>60</v>
      </c>
      <c r="N909" s="37" t="str">
        <f aca="false">IF(OR(B909="",D909=""),"",IFERROR(IF(IF(E909="Primary",INDEX(Applications!$I$5:$I$600,MATCH(B909,Applications!$A$5:$A$600,0)),IF(E909="Secondary",INDEX(Applications!$J$5:$J$600,MATCH(B909,Applications!$A$5:$A$600,0)),INDEX(Applications!$K$5:$K$600,MATCH(B909,Applications!$A$5:$A$600,0))))=D909,"OK","Not assigned"),"Check ID"))</f>
        <v>OK</v>
      </c>
      <c r="O909" s="7"/>
    </row>
    <row r="910" customFormat="false" ht="15" hidden="false" customHeight="false" outlineLevel="0" collapsed="false">
      <c r="A910" s="35" t="s">
        <v>2307</v>
      </c>
      <c r="B910" s="35" t="s">
        <v>490</v>
      </c>
      <c r="C910" s="37" t="str">
        <f aca="false">IF(B910="","",IFERROR(INDEX(Applications!$B$5:$B$600,MATCH(B910,Applications!$A$5:$A$600,0)),"Application ID not found"))</f>
        <v>Pittsburgh Market Gardens</v>
      </c>
      <c r="D910" s="35" t="s">
        <v>88</v>
      </c>
      <c r="E910" s="35" t="s">
        <v>83</v>
      </c>
      <c r="F910" s="36" t="n">
        <v>45952</v>
      </c>
      <c r="G910" s="35" t="n">
        <v>4</v>
      </c>
      <c r="H910" s="35" t="n">
        <v>4</v>
      </c>
      <c r="I910" s="35" t="n">
        <v>4</v>
      </c>
      <c r="J910" s="35" t="n">
        <v>3</v>
      </c>
      <c r="K910" s="35" t="n">
        <v>3</v>
      </c>
      <c r="L910" s="35" t="n">
        <v>4</v>
      </c>
      <c r="M910" s="50" t="n">
        <f aca="false">IF(COUNT(G910:L910)&lt;6,"",ROUND((G910*Rubric!$D$5+H910*Rubric!$D$6+I910*Rubric!$D$7+J910*Rubric!$D$8+K910*Rubric!$D$9+L910*Rubric!$D$10)/5*100,1))</f>
        <v>75</v>
      </c>
      <c r="N910" s="37" t="str">
        <f aca="false">IF(OR(B910="",D910=""),"",IFERROR(IF(IF(E910="Primary",INDEX(Applications!$I$5:$I$600,MATCH(B910,Applications!$A$5:$A$600,0)),IF(E910="Secondary",INDEX(Applications!$J$5:$J$600,MATCH(B910,Applications!$A$5:$A$600,0)),INDEX(Applications!$K$5:$K$600,MATCH(B910,Applications!$A$5:$A$600,0))))=D910,"OK","Not assigned"),"Check ID"))</f>
        <v>OK</v>
      </c>
      <c r="O910" s="7"/>
    </row>
    <row r="911" customFormat="false" ht="15" hidden="false" customHeight="false" outlineLevel="0" collapsed="false">
      <c r="A911" s="35" t="s">
        <v>2308</v>
      </c>
      <c r="B911" s="35" t="s">
        <v>329</v>
      </c>
      <c r="C911" s="37" t="str">
        <f aca="false">IF(B911="","",IFERROR(INDEX(Applications!$B$5:$B$600,MATCH(B911,Applications!$A$5:$A$600,0)),"Application ID not found"))</f>
        <v>Des Moines Food Bank</v>
      </c>
      <c r="D911" s="35" t="s">
        <v>88</v>
      </c>
      <c r="E911" s="35" t="s">
        <v>83</v>
      </c>
      <c r="F911" s="36" t="n">
        <v>45952</v>
      </c>
      <c r="G911" s="35" t="n">
        <v>3</v>
      </c>
      <c r="H911" s="35" t="n">
        <v>2</v>
      </c>
      <c r="I911" s="35" t="n">
        <v>3</v>
      </c>
      <c r="J911" s="35" t="n">
        <v>3</v>
      </c>
      <c r="K911" s="35" t="n">
        <v>3</v>
      </c>
      <c r="L911" s="35" t="n">
        <v>3</v>
      </c>
      <c r="M911" s="50" t="n">
        <f aca="false">IF(COUNT(G911:L911)&lt;6,"",ROUND((G911*Rubric!$D$5+H911*Rubric!$D$6+I911*Rubric!$D$7+J911*Rubric!$D$8+K911*Rubric!$D$9+L911*Rubric!$D$10)/5*100,1))</f>
        <v>56</v>
      </c>
      <c r="N911" s="37" t="str">
        <f aca="false">IF(OR(B911="",D911=""),"",IFERROR(IF(IF(E911="Primary",INDEX(Applications!$I$5:$I$600,MATCH(B911,Applications!$A$5:$A$600,0)),IF(E911="Secondary",INDEX(Applications!$J$5:$J$600,MATCH(B911,Applications!$A$5:$A$600,0)),INDEX(Applications!$K$5:$K$600,MATCH(B911,Applications!$A$5:$A$600,0))))=D911,"OK","Not assigned"),"Check ID"))</f>
        <v>OK</v>
      </c>
      <c r="O911" s="7"/>
    </row>
    <row r="912" customFormat="false" ht="15" hidden="false" customHeight="false" outlineLevel="0" collapsed="false">
      <c r="A912" s="35" t="s">
        <v>2309</v>
      </c>
      <c r="B912" s="35" t="s">
        <v>265</v>
      </c>
      <c r="C912" s="37" t="str">
        <f aca="false">IF(B912="","",IFERROR(INDEX(Applications!$B$5:$B$600,MATCH(B912,Applications!$A$5:$A$600,0)),"Application ID not found"))</f>
        <v>Southfield Culinary Works</v>
      </c>
      <c r="D912" s="35" t="s">
        <v>88</v>
      </c>
      <c r="E912" s="35" t="s">
        <v>80</v>
      </c>
      <c r="F912" s="36" t="n">
        <v>45952</v>
      </c>
      <c r="G912" s="35" t="n">
        <v>3</v>
      </c>
      <c r="H912" s="35" t="n">
        <v>4</v>
      </c>
      <c r="I912" s="35" t="n">
        <v>3</v>
      </c>
      <c r="J912" s="35" t="n">
        <v>4</v>
      </c>
      <c r="K912" s="35" t="n">
        <v>3</v>
      </c>
      <c r="L912" s="35" t="n">
        <v>4</v>
      </c>
      <c r="M912" s="50" t="n">
        <f aca="false">IF(COUNT(G912:L912)&lt;6,"",ROUND((G912*Rubric!$D$5+H912*Rubric!$D$6+I912*Rubric!$D$7+J912*Rubric!$D$8+K912*Rubric!$D$9+L912*Rubric!$D$10)/5*100,1))</f>
        <v>69</v>
      </c>
      <c r="N912" s="37" t="str">
        <f aca="false">IF(OR(B912="",D912=""),"",IFERROR(IF(IF(E912="Primary",INDEX(Applications!$I$5:$I$600,MATCH(B912,Applications!$A$5:$A$600,0)),IF(E912="Secondary",INDEX(Applications!$J$5:$J$600,MATCH(B912,Applications!$A$5:$A$600,0)),INDEX(Applications!$K$5:$K$600,MATCH(B912,Applications!$A$5:$A$600,0))))=D912,"OK","Not assigned"),"Check ID"))</f>
        <v>OK</v>
      </c>
      <c r="O912" s="7" t="s">
        <v>1426</v>
      </c>
    </row>
    <row r="913" customFormat="false" ht="15" hidden="false" customHeight="false" outlineLevel="0" collapsed="false">
      <c r="A913" s="35" t="s">
        <v>2310</v>
      </c>
      <c r="B913" s="35" t="s">
        <v>1251</v>
      </c>
      <c r="C913" s="37" t="str">
        <f aca="false">IF(B913="","",IFERROR(INDEX(Applications!$B$5:$B$600,MATCH(B913,Applications!$A$5:$A$600,0)),"Application ID not found"))</f>
        <v>Canal Street Food Shelf</v>
      </c>
      <c r="D913" s="35" t="s">
        <v>88</v>
      </c>
      <c r="E913" s="35" t="s">
        <v>83</v>
      </c>
      <c r="F913" s="36" t="n">
        <v>45952</v>
      </c>
      <c r="G913" s="35" t="n">
        <v>4</v>
      </c>
      <c r="H913" s="35" t="n">
        <v>4</v>
      </c>
      <c r="I913" s="35" t="n">
        <v>4</v>
      </c>
      <c r="J913" s="35" t="n">
        <v>4</v>
      </c>
      <c r="K913" s="35" t="n">
        <v>3</v>
      </c>
      <c r="L913" s="35" t="n">
        <v>4</v>
      </c>
      <c r="M913" s="50" t="n">
        <f aca="false">IF(COUNT(G913:L913)&lt;6,"",ROUND((G913*Rubric!$D$5+H913*Rubric!$D$6+I913*Rubric!$D$7+J913*Rubric!$D$8+K913*Rubric!$D$9+L913*Rubric!$D$10)/5*100,1))</f>
        <v>78</v>
      </c>
      <c r="N913" s="37" t="str">
        <f aca="false">IF(OR(B913="",D913=""),"",IFERROR(IF(IF(E913="Primary",INDEX(Applications!$I$5:$I$600,MATCH(B913,Applications!$A$5:$A$600,0)),IF(E913="Secondary",INDEX(Applications!$J$5:$J$600,MATCH(B913,Applications!$A$5:$A$600,0)),INDEX(Applications!$K$5:$K$600,MATCH(B913,Applications!$A$5:$A$600,0))))=D913,"OK","Not assigned"),"Check ID"))</f>
        <v>OK</v>
      </c>
      <c r="O913" s="7"/>
    </row>
    <row r="914" customFormat="false" ht="15" hidden="false" customHeight="false" outlineLevel="0" collapsed="false">
      <c r="A914" s="35" t="s">
        <v>2311</v>
      </c>
      <c r="B914" s="35" t="s">
        <v>512</v>
      </c>
      <c r="C914" s="37" t="str">
        <f aca="false">IF(B914="","",IFERROR(INDEX(Applications!$B$5:$B$600,MATCH(B914,Applications!$A$5:$A$600,0)),"Application ID not found"))</f>
        <v>Stonebridge Culinary Works</v>
      </c>
      <c r="D914" s="35" t="s">
        <v>88</v>
      </c>
      <c r="E914" s="35" t="s">
        <v>86</v>
      </c>
      <c r="F914" s="36" t="n">
        <v>45952</v>
      </c>
      <c r="G914" s="35" t="n">
        <v>3</v>
      </c>
      <c r="H914" s="35" t="n">
        <v>3</v>
      </c>
      <c r="I914" s="35" t="n">
        <v>3</v>
      </c>
      <c r="J914" s="35" t="n">
        <v>3</v>
      </c>
      <c r="K914" s="35" t="n">
        <v>2</v>
      </c>
      <c r="L914" s="35" t="n">
        <v>2</v>
      </c>
      <c r="M914" s="50" t="n">
        <f aca="false">IF(COUNT(G914:L914)&lt;6,"",ROUND((G914*Rubric!$D$5+H914*Rubric!$D$6+I914*Rubric!$D$7+J914*Rubric!$D$8+K914*Rubric!$D$9+L914*Rubric!$D$10)/5*100,1))</f>
        <v>56</v>
      </c>
      <c r="N914" s="37" t="str">
        <f aca="false">IF(OR(B914="",D914=""),"",IFERROR(IF(IF(E914="Primary",INDEX(Applications!$I$5:$I$600,MATCH(B914,Applications!$A$5:$A$600,0)),IF(E914="Secondary",INDEX(Applications!$J$5:$J$600,MATCH(B914,Applications!$A$5:$A$600,0)),INDEX(Applications!$K$5:$K$600,MATCH(B914,Applications!$A$5:$A$600,0))))=D914,"OK","Not assigned"),"Check ID"))</f>
        <v>OK</v>
      </c>
      <c r="O914" s="7"/>
    </row>
    <row r="915" customFormat="false" ht="15" hidden="false" customHeight="false" outlineLevel="0" collapsed="false">
      <c r="A915" s="35" t="s">
        <v>2312</v>
      </c>
      <c r="B915" s="35" t="s">
        <v>386</v>
      </c>
      <c r="C915" s="37" t="str">
        <f aca="false">IF(B915="","",IFERROR(INDEX(Applications!$B$5:$B$600,MATCH(B915,Applications!$A$5:$A$600,0)),"Application ID not found"))</f>
        <v>Kestrel Youth Food Lab</v>
      </c>
      <c r="D915" s="35" t="s">
        <v>91</v>
      </c>
      <c r="E915" s="35" t="s">
        <v>80</v>
      </c>
      <c r="F915" s="36" t="n">
        <v>45952</v>
      </c>
      <c r="G915" s="35" t="n">
        <v>3</v>
      </c>
      <c r="H915" s="35" t="n">
        <v>3</v>
      </c>
      <c r="I915" s="35" t="n">
        <v>4</v>
      </c>
      <c r="J915" s="35" t="n">
        <v>3</v>
      </c>
      <c r="K915" s="35" t="n">
        <v>3</v>
      </c>
      <c r="L915" s="35" t="n">
        <v>4</v>
      </c>
      <c r="M915" s="50" t="n">
        <f aca="false">IF(COUNT(G915:L915)&lt;6,"",ROUND((G915*Rubric!$D$5+H915*Rubric!$D$6+I915*Rubric!$D$7+J915*Rubric!$D$8+K915*Rubric!$D$9+L915*Rubric!$D$10)/5*100,1))</f>
        <v>66</v>
      </c>
      <c r="N915" s="37" t="str">
        <f aca="false">IF(OR(B915="",D915=""),"",IFERROR(IF(IF(E915="Primary",INDEX(Applications!$I$5:$I$600,MATCH(B915,Applications!$A$5:$A$600,0)),IF(E915="Secondary",INDEX(Applications!$J$5:$J$600,MATCH(B915,Applications!$A$5:$A$600,0)),INDEX(Applications!$K$5:$K$600,MATCH(B915,Applications!$A$5:$A$600,0))))=D915,"OK","Not assigned"),"Check ID"))</f>
        <v>OK</v>
      </c>
      <c r="O915" s="7"/>
    </row>
    <row r="916" customFormat="false" ht="15" hidden="false" customHeight="false" outlineLevel="0" collapsed="false">
      <c r="A916" s="35" t="s">
        <v>2313</v>
      </c>
      <c r="B916" s="35" t="s">
        <v>659</v>
      </c>
      <c r="C916" s="37" t="str">
        <f aca="false">IF(B916="","",IFERROR(INDEX(Applications!$B$5:$B$600,MATCH(B916,Applications!$A$5:$A$600,0)),"Application ID not found"))</f>
        <v>Ironwood Bakery Collective</v>
      </c>
      <c r="D916" s="35" t="s">
        <v>91</v>
      </c>
      <c r="E916" s="35" t="s">
        <v>80</v>
      </c>
      <c r="F916" s="36" t="n">
        <v>45952</v>
      </c>
      <c r="G916" s="35" t="n">
        <v>3</v>
      </c>
      <c r="H916" s="35" t="n">
        <v>3</v>
      </c>
      <c r="I916" s="35" t="n">
        <v>3</v>
      </c>
      <c r="J916" s="35" t="n">
        <v>3</v>
      </c>
      <c r="K916" s="35" t="n">
        <v>2</v>
      </c>
      <c r="L916" s="35" t="n">
        <v>3</v>
      </c>
      <c r="M916" s="50" t="n">
        <f aca="false">IF(COUNT(G916:L916)&lt;6,"",ROUND((G916*Rubric!$D$5+H916*Rubric!$D$6+I916*Rubric!$D$7+J916*Rubric!$D$8+K916*Rubric!$D$9+L916*Rubric!$D$10)/5*100,1))</f>
        <v>58</v>
      </c>
      <c r="N916" s="37" t="str">
        <f aca="false">IF(OR(B916="",D916=""),"",IFERROR(IF(IF(E916="Primary",INDEX(Applications!$I$5:$I$600,MATCH(B916,Applications!$A$5:$A$600,0)),IF(E916="Secondary",INDEX(Applications!$J$5:$J$600,MATCH(B916,Applications!$A$5:$A$600,0)),INDEX(Applications!$K$5:$K$600,MATCH(B916,Applications!$A$5:$A$600,0))))=D916,"OK","Not assigned"),"Check ID"))</f>
        <v>OK</v>
      </c>
      <c r="O916" s="7"/>
    </row>
    <row r="917" customFormat="false" ht="15" hidden="false" customHeight="false" outlineLevel="0" collapsed="false">
      <c r="A917" s="35" t="s">
        <v>2314</v>
      </c>
      <c r="B917" s="35" t="s">
        <v>819</v>
      </c>
      <c r="C917" s="37" t="str">
        <f aca="false">IF(B917="","",IFERROR(INDEX(Applications!$B$5:$B$600,MATCH(B917,Applications!$A$5:$A$600,0)),"Application ID not found"))</f>
        <v>Columbus Pantry Network</v>
      </c>
      <c r="D917" s="35" t="s">
        <v>91</v>
      </c>
      <c r="E917" s="35" t="s">
        <v>80</v>
      </c>
      <c r="F917" s="36" t="n">
        <v>45952</v>
      </c>
      <c r="G917" s="35" t="n">
        <v>4</v>
      </c>
      <c r="H917" s="35" t="n">
        <v>4</v>
      </c>
      <c r="I917" s="35" t="n">
        <v>5</v>
      </c>
      <c r="J917" s="35" t="n">
        <v>5</v>
      </c>
      <c r="K917" s="35" t="n">
        <v>5</v>
      </c>
      <c r="L917" s="35" t="n">
        <v>4</v>
      </c>
      <c r="M917" s="50" t="n">
        <f aca="false">IF(COUNT(G917:L917)&lt;6,"",ROUND((G917*Rubric!$D$5+H917*Rubric!$D$6+I917*Rubric!$D$7+J917*Rubric!$D$8+K917*Rubric!$D$9+L917*Rubric!$D$10)/5*100,1))</f>
        <v>89</v>
      </c>
      <c r="N917" s="37" t="str">
        <f aca="false">IF(OR(B917="",D917=""),"",IFERROR(IF(IF(E917="Primary",INDEX(Applications!$I$5:$I$600,MATCH(B917,Applications!$A$5:$A$600,0)),IF(E917="Secondary",INDEX(Applications!$J$5:$J$600,MATCH(B917,Applications!$A$5:$A$600,0)),INDEX(Applications!$K$5:$K$600,MATCH(B917,Applications!$A$5:$A$600,0))))=D917,"OK","Not assigned"),"Check ID"))</f>
        <v>OK</v>
      </c>
      <c r="O917" s="7" t="s">
        <v>1416</v>
      </c>
    </row>
    <row r="918" customFormat="false" ht="15" hidden="false" customHeight="false" outlineLevel="0" collapsed="false">
      <c r="A918" s="35" t="s">
        <v>2315</v>
      </c>
      <c r="B918" s="35" t="s">
        <v>761</v>
      </c>
      <c r="C918" s="37" t="str">
        <f aca="false">IF(B918="","",IFERROR(INDEX(Applications!$B$5:$B$600,MATCH(B918,Applications!$A$5:$A$600,0)),"Application ID not found"))</f>
        <v>Open Door Bakery Collective</v>
      </c>
      <c r="D918" s="35" t="s">
        <v>91</v>
      </c>
      <c r="E918" s="35" t="s">
        <v>80</v>
      </c>
      <c r="F918" s="36" t="n">
        <v>45952</v>
      </c>
      <c r="G918" s="35" t="n">
        <v>4</v>
      </c>
      <c r="H918" s="35" t="n">
        <v>3</v>
      </c>
      <c r="I918" s="35" t="n">
        <v>4</v>
      </c>
      <c r="J918" s="35" t="n">
        <v>4</v>
      </c>
      <c r="K918" s="35" t="n">
        <v>4</v>
      </c>
      <c r="L918" s="35" t="n">
        <v>3</v>
      </c>
      <c r="M918" s="50" t="n">
        <f aca="false">IF(COUNT(G918:L918)&lt;6,"",ROUND((G918*Rubric!$D$5+H918*Rubric!$D$6+I918*Rubric!$D$7+J918*Rubric!$D$8+K918*Rubric!$D$9+L918*Rubric!$D$10)/5*100,1))</f>
        <v>74</v>
      </c>
      <c r="N918" s="37" t="str">
        <f aca="false">IF(OR(B918="",D918=""),"",IFERROR(IF(IF(E918="Primary",INDEX(Applications!$I$5:$I$600,MATCH(B918,Applications!$A$5:$A$600,0)),IF(E918="Secondary",INDEX(Applications!$J$5:$J$600,MATCH(B918,Applications!$A$5:$A$600,0)),INDEX(Applications!$K$5:$K$600,MATCH(B918,Applications!$A$5:$A$600,0))))=D918,"OK","Not assigned"),"Check ID"))</f>
        <v>OK</v>
      </c>
      <c r="O918" s="7"/>
    </row>
    <row r="919" customFormat="false" ht="15" hidden="false" customHeight="false" outlineLevel="0" collapsed="false">
      <c r="A919" s="35" t="s">
        <v>2316</v>
      </c>
      <c r="B919" s="35" t="s">
        <v>1227</v>
      </c>
      <c r="C919" s="37" t="str">
        <f aca="false">IF(B919="","",IFERROR(INDEX(Applications!$B$5:$B$600,MATCH(B919,Applications!$A$5:$A$600,0)),"Application ID not found"))</f>
        <v>Maple Street Seed Library</v>
      </c>
      <c r="D919" s="35" t="s">
        <v>91</v>
      </c>
      <c r="E919" s="35" t="s">
        <v>83</v>
      </c>
      <c r="F919" s="36" t="n">
        <v>45952</v>
      </c>
      <c r="G919" s="35" t="n">
        <v>4</v>
      </c>
      <c r="H919" s="35" t="n">
        <v>4</v>
      </c>
      <c r="I919" s="35" t="n">
        <v>5</v>
      </c>
      <c r="J919" s="35" t="n">
        <v>5</v>
      </c>
      <c r="K919" s="35" t="n">
        <v>5</v>
      </c>
      <c r="L919" s="35" t="n">
        <v>5</v>
      </c>
      <c r="M919" s="50" t="n">
        <f aca="false">IF(COUNT(G919:L919)&lt;6,"",ROUND((G919*Rubric!$D$5+H919*Rubric!$D$6+I919*Rubric!$D$7+J919*Rubric!$D$8+K919*Rubric!$D$9+L919*Rubric!$D$10)/5*100,1))</f>
        <v>91</v>
      </c>
      <c r="N919" s="37" t="str">
        <f aca="false">IF(OR(B919="",D919=""),"",IFERROR(IF(IF(E919="Primary",INDEX(Applications!$I$5:$I$600,MATCH(B919,Applications!$A$5:$A$600,0)),IF(E919="Secondary",INDEX(Applications!$J$5:$J$600,MATCH(B919,Applications!$A$5:$A$600,0)),INDEX(Applications!$K$5:$K$600,MATCH(B919,Applications!$A$5:$A$600,0))))=D919,"OK","Not assigned"),"Check ID"))</f>
        <v>OK</v>
      </c>
      <c r="O919" s="7"/>
    </row>
    <row r="920" customFormat="false" ht="15" hidden="false" customHeight="false" outlineLevel="0" collapsed="false">
      <c r="A920" s="35" t="s">
        <v>2317</v>
      </c>
      <c r="B920" s="35" t="s">
        <v>897</v>
      </c>
      <c r="C920" s="37" t="str">
        <f aca="false">IF(B920="","",IFERROR(INDEX(Applications!$B$5:$B$600,MATCH(B920,Applications!$A$5:$A$600,0)),"Application ID not found"))</f>
        <v>Bridgeview Mobile Market</v>
      </c>
      <c r="D920" s="35" t="s">
        <v>91</v>
      </c>
      <c r="E920" s="35" t="s">
        <v>83</v>
      </c>
      <c r="F920" s="36" t="n">
        <v>45952</v>
      </c>
      <c r="G920" s="35" t="n">
        <v>4</v>
      </c>
      <c r="H920" s="35" t="n">
        <v>5</v>
      </c>
      <c r="I920" s="35" t="n">
        <v>5</v>
      </c>
      <c r="J920" s="35" t="n">
        <v>5</v>
      </c>
      <c r="K920" s="35" t="n">
        <v>5</v>
      </c>
      <c r="L920" s="35" t="n">
        <v>5</v>
      </c>
      <c r="M920" s="50" t="n">
        <f aca="false">IF(COUNT(G920:L920)&lt;6,"",ROUND((G920*Rubric!$D$5+H920*Rubric!$D$6+I920*Rubric!$D$7+J920*Rubric!$D$8+K920*Rubric!$D$9+L920*Rubric!$D$10)/5*100,1))</f>
        <v>95</v>
      </c>
      <c r="N920" s="37" t="str">
        <f aca="false">IF(OR(B920="",D920=""),"",IFERROR(IF(IF(E920="Primary",INDEX(Applications!$I$5:$I$600,MATCH(B920,Applications!$A$5:$A$600,0)),IF(E920="Secondary",INDEX(Applications!$J$5:$J$600,MATCH(B920,Applications!$A$5:$A$600,0)),INDEX(Applications!$K$5:$K$600,MATCH(B920,Applications!$A$5:$A$600,0))))=D920,"OK","Not assigned"),"Check ID"))</f>
        <v>OK</v>
      </c>
      <c r="O920" s="7"/>
    </row>
    <row r="921" customFormat="false" ht="15" hidden="false" customHeight="false" outlineLevel="0" collapsed="false">
      <c r="A921" s="35" t="s">
        <v>2318</v>
      </c>
      <c r="B921" s="35" t="s">
        <v>1379</v>
      </c>
      <c r="C921" s="37" t="str">
        <f aca="false">IF(B921="","",IFERROR(INDEX(Applications!$B$5:$B$600,MATCH(B921,Applications!$A$5:$A$600,0)),"Application ID not found"))</f>
        <v>Davao Community Pantry</v>
      </c>
      <c r="D921" s="35" t="s">
        <v>91</v>
      </c>
      <c r="E921" s="35" t="s">
        <v>83</v>
      </c>
      <c r="F921" s="36" t="n">
        <v>45952</v>
      </c>
      <c r="G921" s="35" t="n">
        <v>3</v>
      </c>
      <c r="H921" s="35" t="n">
        <v>3</v>
      </c>
      <c r="I921" s="35" t="n">
        <v>3</v>
      </c>
      <c r="J921" s="35" t="n">
        <v>4</v>
      </c>
      <c r="K921" s="35" t="n">
        <v>3</v>
      </c>
      <c r="L921" s="35" t="n">
        <v>4</v>
      </c>
      <c r="M921" s="50" t="n">
        <f aca="false">IF(COUNT(G921:L921)&lt;6,"",ROUND((G921*Rubric!$D$5+H921*Rubric!$D$6+I921*Rubric!$D$7+J921*Rubric!$D$8+K921*Rubric!$D$9+L921*Rubric!$D$10)/5*100,1))</f>
        <v>65</v>
      </c>
      <c r="N921" s="37" t="str">
        <f aca="false">IF(OR(B921="",D921=""),"",IFERROR(IF(IF(E921="Primary",INDEX(Applications!$I$5:$I$600,MATCH(B921,Applications!$A$5:$A$600,0)),IF(E921="Secondary",INDEX(Applications!$J$5:$J$600,MATCH(B921,Applications!$A$5:$A$600,0)),INDEX(Applications!$K$5:$K$600,MATCH(B921,Applications!$A$5:$A$600,0))))=D921,"OK","Not assigned"),"Check ID"))</f>
        <v>OK</v>
      </c>
      <c r="O921" s="7" t="s">
        <v>1428</v>
      </c>
    </row>
    <row r="922" customFormat="false" ht="15" hidden="false" customHeight="false" outlineLevel="0" collapsed="false">
      <c r="A922" s="35" t="s">
        <v>2319</v>
      </c>
      <c r="B922" s="35" t="s">
        <v>851</v>
      </c>
      <c r="C922" s="37" t="str">
        <f aca="false">IF(B922="","",IFERROR(INDEX(Applications!$B$5:$B$600,MATCH(B922,Applications!$A$5:$A$600,0)),"Application ID not found"))</f>
        <v>Medellín Seed Library</v>
      </c>
      <c r="D922" s="35" t="s">
        <v>94</v>
      </c>
      <c r="E922" s="35" t="s">
        <v>80</v>
      </c>
      <c r="F922" s="36" t="n">
        <v>45952</v>
      </c>
      <c r="G922" s="35" t="n">
        <v>2</v>
      </c>
      <c r="H922" s="35" t="n">
        <v>3</v>
      </c>
      <c r="I922" s="35" t="n">
        <v>2</v>
      </c>
      <c r="J922" s="35" t="n">
        <v>3</v>
      </c>
      <c r="K922" s="35" t="n">
        <v>3</v>
      </c>
      <c r="L922" s="35" t="n">
        <v>3</v>
      </c>
      <c r="M922" s="50" t="n">
        <f aca="false">IF(COUNT(G922:L922)&lt;6,"",ROUND((G922*Rubric!$D$5+H922*Rubric!$D$6+I922*Rubric!$D$7+J922*Rubric!$D$8+K922*Rubric!$D$9+L922*Rubric!$D$10)/5*100,1))</f>
        <v>51</v>
      </c>
      <c r="N922" s="37" t="str">
        <f aca="false">IF(OR(B922="",D922=""),"",IFERROR(IF(IF(E922="Primary",INDEX(Applications!$I$5:$I$600,MATCH(B922,Applications!$A$5:$A$600,0)),IF(E922="Secondary",INDEX(Applications!$J$5:$J$600,MATCH(B922,Applications!$A$5:$A$600,0)),INDEX(Applications!$K$5:$K$600,MATCH(B922,Applications!$A$5:$A$600,0))))=D922,"OK","Not assigned"),"Check ID"))</f>
        <v>OK</v>
      </c>
      <c r="O922" s="7" t="s">
        <v>1426</v>
      </c>
    </row>
    <row r="923" customFormat="false" ht="15" hidden="false" customHeight="false" outlineLevel="0" collapsed="false">
      <c r="A923" s="35" t="s">
        <v>2320</v>
      </c>
      <c r="B923" s="35" t="s">
        <v>378</v>
      </c>
      <c r="C923" s="37" t="str">
        <f aca="false">IF(B923="","",IFERROR(INDEX(Applications!$B$5:$B$600,MATCH(B923,Applications!$A$5:$A$600,0)),"Application ID not found"))</f>
        <v>Calgary Food Bank</v>
      </c>
      <c r="D923" s="35" t="s">
        <v>94</v>
      </c>
      <c r="E923" s="35" t="s">
        <v>80</v>
      </c>
      <c r="F923" s="36" t="n">
        <v>45952</v>
      </c>
      <c r="G923" s="35" t="n">
        <v>3</v>
      </c>
      <c r="H923" s="35" t="n">
        <v>3</v>
      </c>
      <c r="I923" s="35" t="n">
        <v>3</v>
      </c>
      <c r="J923" s="35" t="n">
        <v>3</v>
      </c>
      <c r="K923" s="35" t="n">
        <v>3</v>
      </c>
      <c r="L923" s="35" t="n">
        <v>4</v>
      </c>
      <c r="M923" s="50" t="n">
        <f aca="false">IF(COUNT(G923:L923)&lt;6,"",ROUND((G923*Rubric!$D$5+H923*Rubric!$D$6+I923*Rubric!$D$7+J923*Rubric!$D$8+K923*Rubric!$D$9+L923*Rubric!$D$10)/5*100,1))</f>
        <v>62</v>
      </c>
      <c r="N923" s="37" t="str">
        <f aca="false">IF(OR(B923="",D923=""),"",IFERROR(IF(IF(E923="Primary",INDEX(Applications!$I$5:$I$600,MATCH(B923,Applications!$A$5:$A$600,0)),IF(E923="Secondary",INDEX(Applications!$J$5:$J$600,MATCH(B923,Applications!$A$5:$A$600,0)),INDEX(Applications!$K$5:$K$600,MATCH(B923,Applications!$A$5:$A$600,0))))=D923,"OK","Not assigned"),"Check ID"))</f>
        <v>OK</v>
      </c>
      <c r="O923" s="7"/>
    </row>
    <row r="924" customFormat="false" ht="15" hidden="false" customHeight="false" outlineLevel="0" collapsed="false">
      <c r="A924" s="35" t="s">
        <v>2321</v>
      </c>
      <c r="B924" s="35" t="s">
        <v>1189</v>
      </c>
      <c r="C924" s="37" t="str">
        <f aca="false">IF(B924="","",IFERROR(INDEX(Applications!$B$5:$B$600,MATCH(B924,Applications!$A$5:$A$600,0)),"Application ID not found"))</f>
        <v>Sheffield Seed Library</v>
      </c>
      <c r="D924" s="35" t="s">
        <v>94</v>
      </c>
      <c r="E924" s="35" t="s">
        <v>83</v>
      </c>
      <c r="F924" s="36" t="n">
        <v>45952</v>
      </c>
      <c r="G924" s="35" t="n">
        <v>4</v>
      </c>
      <c r="H924" s="35" t="n">
        <v>4</v>
      </c>
      <c r="I924" s="35" t="n">
        <v>5</v>
      </c>
      <c r="J924" s="35" t="n">
        <v>5</v>
      </c>
      <c r="K924" s="35" t="n">
        <v>5</v>
      </c>
      <c r="L924" s="35" t="n">
        <v>5</v>
      </c>
      <c r="M924" s="50" t="n">
        <f aca="false">IF(COUNT(G924:L924)&lt;6,"",ROUND((G924*Rubric!$D$5+H924*Rubric!$D$6+I924*Rubric!$D$7+J924*Rubric!$D$8+K924*Rubric!$D$9+L924*Rubric!$D$10)/5*100,1))</f>
        <v>91</v>
      </c>
      <c r="N924" s="37" t="str">
        <f aca="false">IF(OR(B924="",D924=""),"",IFERROR(IF(IF(E924="Primary",INDEX(Applications!$I$5:$I$600,MATCH(B924,Applications!$A$5:$A$600,0)),IF(E924="Secondary",INDEX(Applications!$J$5:$J$600,MATCH(B924,Applications!$A$5:$A$600,0)),INDEX(Applications!$K$5:$K$600,MATCH(B924,Applications!$A$5:$A$600,0))))=D924,"OK","Not assigned"),"Check ID"))</f>
        <v>OK</v>
      </c>
      <c r="O924" s="7"/>
    </row>
    <row r="925" customFormat="false" ht="15" hidden="false" customHeight="false" outlineLevel="0" collapsed="false">
      <c r="A925" s="35" t="s">
        <v>2322</v>
      </c>
      <c r="B925" s="35" t="s">
        <v>909</v>
      </c>
      <c r="C925" s="37" t="str">
        <f aca="false">IF(B925="","",IFERROR(INDEX(Applications!$B$5:$B$600,MATCH(B925,Applications!$A$5:$A$600,0)),"Application ID not found"))</f>
        <v>Old Town Market Gardens</v>
      </c>
      <c r="D925" s="35" t="s">
        <v>94</v>
      </c>
      <c r="E925" s="35" t="s">
        <v>83</v>
      </c>
      <c r="F925" s="36" t="n">
        <v>45952</v>
      </c>
      <c r="G925" s="35" t="n">
        <v>3</v>
      </c>
      <c r="H925" s="35" t="n">
        <v>4</v>
      </c>
      <c r="I925" s="35" t="n">
        <v>3</v>
      </c>
      <c r="J925" s="35" t="n">
        <v>3</v>
      </c>
      <c r="K925" s="35" t="n">
        <v>4</v>
      </c>
      <c r="L925" s="35" t="n">
        <v>3</v>
      </c>
      <c r="M925" s="50" t="n">
        <f aca="false">IF(COUNT(G925:L925)&lt;6,"",ROUND((G925*Rubric!$D$5+H925*Rubric!$D$6+I925*Rubric!$D$7+J925*Rubric!$D$8+K925*Rubric!$D$9+L925*Rubric!$D$10)/5*100,1))</f>
        <v>66</v>
      </c>
      <c r="N925" s="37" t="str">
        <f aca="false">IF(OR(B925="",D925=""),"",IFERROR(IF(IF(E925="Primary",INDEX(Applications!$I$5:$I$600,MATCH(B925,Applications!$A$5:$A$600,0)),IF(E925="Secondary",INDEX(Applications!$J$5:$J$600,MATCH(B925,Applications!$A$5:$A$600,0)),INDEX(Applications!$K$5:$K$600,MATCH(B925,Applications!$A$5:$A$600,0))))=D925,"OK","Not assigned"),"Check ID"))</f>
        <v>OK</v>
      </c>
      <c r="O925" s="7"/>
    </row>
    <row r="926" customFormat="false" ht="15" hidden="false" customHeight="false" outlineLevel="0" collapsed="false">
      <c r="A926" s="35" t="s">
        <v>2323</v>
      </c>
      <c r="B926" s="35" t="s">
        <v>382</v>
      </c>
      <c r="C926" s="37" t="str">
        <f aca="false">IF(B926="","",IFERROR(INDEX(Applications!$B$5:$B$600,MATCH(B926,Applications!$A$5:$A$600,0)),"Application ID not found"))</f>
        <v>Tucson Community Kitchen</v>
      </c>
      <c r="D926" s="35" t="s">
        <v>94</v>
      </c>
      <c r="E926" s="35" t="s">
        <v>80</v>
      </c>
      <c r="F926" s="36" t="n">
        <v>45952</v>
      </c>
      <c r="G926" s="35" t="n">
        <v>2</v>
      </c>
      <c r="H926" s="35" t="n">
        <v>3</v>
      </c>
      <c r="I926" s="35" t="n">
        <v>2</v>
      </c>
      <c r="J926" s="35" t="n">
        <v>2</v>
      </c>
      <c r="K926" s="35" t="n">
        <v>3</v>
      </c>
      <c r="L926" s="35" t="n">
        <v>3</v>
      </c>
      <c r="M926" s="50" t="n">
        <f aca="false">IF(COUNT(G926:L926)&lt;6,"",ROUND((G926*Rubric!$D$5+H926*Rubric!$D$6+I926*Rubric!$D$7+J926*Rubric!$D$8+K926*Rubric!$D$9+L926*Rubric!$D$10)/5*100,1))</f>
        <v>48</v>
      </c>
      <c r="N926" s="37" t="str">
        <f aca="false">IF(OR(B926="",D926=""),"",IFERROR(IF(IF(E926="Primary",INDEX(Applications!$I$5:$I$600,MATCH(B926,Applications!$A$5:$A$600,0)),IF(E926="Secondary",INDEX(Applications!$J$5:$J$600,MATCH(B926,Applications!$A$5:$A$600,0)),INDEX(Applications!$K$5:$K$600,MATCH(B926,Applications!$A$5:$A$600,0))))=D926,"OK","Not assigned"),"Check ID"))</f>
        <v>OK</v>
      </c>
      <c r="O926" s="7"/>
    </row>
    <row r="927" customFormat="false" ht="15" hidden="false" customHeight="false" outlineLevel="0" collapsed="false">
      <c r="A927" s="35" t="s">
        <v>2324</v>
      </c>
      <c r="B927" s="35" t="s">
        <v>198</v>
      </c>
      <c r="C927" s="37" t="str">
        <f aca="false">IF(B927="","",IFERROR(INDEX(Applications!$B$5:$B$600,MATCH(B927,Applications!$A$5:$A$600,0)),"Application ID not found"))</f>
        <v>Crossroads Bakery Collective</v>
      </c>
      <c r="D927" s="35" t="s">
        <v>94</v>
      </c>
      <c r="E927" s="35" t="s">
        <v>83</v>
      </c>
      <c r="F927" s="36" t="n">
        <v>45952</v>
      </c>
      <c r="G927" s="35" t="n">
        <v>4</v>
      </c>
      <c r="H927" s="35" t="n">
        <v>3</v>
      </c>
      <c r="I927" s="35" t="n">
        <v>3</v>
      </c>
      <c r="J927" s="35" t="n">
        <v>4</v>
      </c>
      <c r="K927" s="35" t="n">
        <v>4</v>
      </c>
      <c r="L927" s="35" t="n">
        <v>3</v>
      </c>
      <c r="M927" s="50" t="n">
        <f aca="false">IF(COUNT(G927:L927)&lt;6,"",ROUND((G927*Rubric!$D$5+H927*Rubric!$D$6+I927*Rubric!$D$7+J927*Rubric!$D$8+K927*Rubric!$D$9+L927*Rubric!$D$10)/5*100,1))</f>
        <v>70</v>
      </c>
      <c r="N927" s="37" t="str">
        <f aca="false">IF(OR(B927="",D927=""),"",IFERROR(IF(IF(E927="Primary",INDEX(Applications!$I$5:$I$600,MATCH(B927,Applications!$A$5:$A$600,0)),IF(E927="Secondary",INDEX(Applications!$J$5:$J$600,MATCH(B927,Applications!$A$5:$A$600,0)),INDEX(Applications!$K$5:$K$600,MATCH(B927,Applications!$A$5:$A$600,0))))=D927,"OK","Not assigned"),"Check ID"))</f>
        <v>OK</v>
      </c>
      <c r="O927" s="7"/>
    </row>
    <row r="928" customFormat="false" ht="15" hidden="false" customHeight="false" outlineLevel="0" collapsed="false">
      <c r="A928" s="35" t="s">
        <v>2325</v>
      </c>
      <c r="B928" s="35" t="s">
        <v>609</v>
      </c>
      <c r="C928" s="37" t="str">
        <f aca="false">IF(B928="","",IFERROR(INDEX(Applications!$B$5:$B$600,MATCH(B928,Applications!$A$5:$A$600,0)),"Application ID not found"))</f>
        <v>Monterrey Food Ventures</v>
      </c>
      <c r="D928" s="35" t="s">
        <v>94</v>
      </c>
      <c r="E928" s="35" t="s">
        <v>83</v>
      </c>
      <c r="F928" s="36" t="n">
        <v>45952</v>
      </c>
      <c r="G928" s="35" t="n">
        <v>4</v>
      </c>
      <c r="H928" s="35" t="n">
        <v>3</v>
      </c>
      <c r="I928" s="35" t="n">
        <v>3</v>
      </c>
      <c r="J928" s="35" t="n">
        <v>3</v>
      </c>
      <c r="K928" s="35" t="n">
        <v>3</v>
      </c>
      <c r="L928" s="35" t="n">
        <v>4</v>
      </c>
      <c r="M928" s="50" t="n">
        <f aca="false">IF(COUNT(G928:L928)&lt;6,"",ROUND((G928*Rubric!$D$5+H928*Rubric!$D$6+I928*Rubric!$D$7+J928*Rubric!$D$8+K928*Rubric!$D$9+L928*Rubric!$D$10)/5*100,1))</f>
        <v>67</v>
      </c>
      <c r="N928" s="37" t="str">
        <f aca="false">IF(OR(B928="",D928=""),"",IFERROR(IF(IF(E928="Primary",INDEX(Applications!$I$5:$I$600,MATCH(B928,Applications!$A$5:$A$600,0)),IF(E928="Secondary",INDEX(Applications!$J$5:$J$600,MATCH(B928,Applications!$A$5:$A$600,0)),INDEX(Applications!$K$5:$K$600,MATCH(B928,Applications!$A$5:$A$600,0))))=D928,"OK","Not assigned"),"Check ID"))</f>
        <v>OK</v>
      </c>
      <c r="O928" s="7"/>
    </row>
    <row r="929" customFormat="false" ht="15" hidden="false" customHeight="false" outlineLevel="0" collapsed="false">
      <c r="A929" s="35" t="s">
        <v>2326</v>
      </c>
      <c r="B929" s="35" t="s">
        <v>655</v>
      </c>
      <c r="C929" s="37" t="str">
        <f aca="false">IF(B929="","",IFERROR(INDEX(Applications!$B$5:$B$600,MATCH(B929,Applications!$A$5:$A$600,0)),"Application ID not found"))</f>
        <v>Peoria Pantry Network</v>
      </c>
      <c r="D929" s="35" t="s">
        <v>94</v>
      </c>
      <c r="E929" s="35" t="s">
        <v>83</v>
      </c>
      <c r="F929" s="36" t="n">
        <v>45952</v>
      </c>
      <c r="G929" s="35" t="n">
        <v>4</v>
      </c>
      <c r="H929" s="35" t="n">
        <v>3</v>
      </c>
      <c r="I929" s="35" t="n">
        <v>4</v>
      </c>
      <c r="J929" s="35" t="n">
        <v>4</v>
      </c>
      <c r="K929" s="35" t="n">
        <v>4</v>
      </c>
      <c r="L929" s="35" t="n">
        <v>4</v>
      </c>
      <c r="M929" s="50" t="n">
        <f aca="false">IF(COUNT(G929:L929)&lt;6,"",ROUND((G929*Rubric!$D$5+H929*Rubric!$D$6+I929*Rubric!$D$7+J929*Rubric!$D$8+K929*Rubric!$D$9+L929*Rubric!$D$10)/5*100,1))</f>
        <v>76</v>
      </c>
      <c r="N929" s="37" t="str">
        <f aca="false">IF(OR(B929="",D929=""),"",IFERROR(IF(IF(E929="Primary",INDEX(Applications!$I$5:$I$600,MATCH(B929,Applications!$A$5:$A$600,0)),IF(E929="Secondary",INDEX(Applications!$J$5:$J$600,MATCH(B929,Applications!$A$5:$A$600,0)),INDEX(Applications!$K$5:$K$600,MATCH(B929,Applications!$A$5:$A$600,0))))=D929,"OK","Not assigned"),"Check ID"))</f>
        <v>OK</v>
      </c>
      <c r="O929" s="7"/>
    </row>
    <row r="930" customFormat="false" ht="15" hidden="false" customHeight="false" outlineLevel="0" collapsed="false">
      <c r="A930" s="35" t="s">
        <v>2327</v>
      </c>
      <c r="B930" s="35" t="s">
        <v>979</v>
      </c>
      <c r="C930" s="37" t="str">
        <f aca="false">IF(B930="","",IFERROR(INDEX(Applications!$B$5:$B$600,MATCH(B930,Applications!$A$5:$A$600,0)),"Application ID not found"))</f>
        <v>Salvador Meals Project</v>
      </c>
      <c r="D930" s="35" t="s">
        <v>94</v>
      </c>
      <c r="E930" s="35" t="s">
        <v>80</v>
      </c>
      <c r="F930" s="36" t="n">
        <v>45952</v>
      </c>
      <c r="G930" s="35" t="n">
        <v>4</v>
      </c>
      <c r="H930" s="35" t="n">
        <v>3</v>
      </c>
      <c r="I930" s="35" t="n">
        <v>5</v>
      </c>
      <c r="J930" s="35" t="n">
        <v>4</v>
      </c>
      <c r="K930" s="35" t="n">
        <v>3</v>
      </c>
      <c r="L930" s="35" t="n">
        <v>3</v>
      </c>
      <c r="M930" s="50" t="n">
        <f aca="false">IF(COUNT(G930:L930)&lt;6,"",ROUND((G930*Rubric!$D$5+H930*Rubric!$D$6+I930*Rubric!$D$7+J930*Rubric!$D$8+K930*Rubric!$D$9+L930*Rubric!$D$10)/5*100,1))</f>
        <v>76</v>
      </c>
      <c r="N930" s="37" t="str">
        <f aca="false">IF(OR(B930="",D930=""),"",IFERROR(IF(IF(E930="Primary",INDEX(Applications!$I$5:$I$600,MATCH(B930,Applications!$A$5:$A$600,0)),IF(E930="Secondary",INDEX(Applications!$J$5:$J$600,MATCH(B930,Applications!$A$5:$A$600,0)),INDEX(Applications!$K$5:$K$600,MATCH(B930,Applications!$A$5:$A$600,0))))=D930,"OK","Not assigned"),"Check ID"))</f>
        <v>OK</v>
      </c>
      <c r="O930" s="7"/>
    </row>
    <row r="931" customFormat="false" ht="15" hidden="false" customHeight="false" outlineLevel="0" collapsed="false">
      <c r="A931" s="35" t="s">
        <v>2328</v>
      </c>
      <c r="B931" s="35" t="s">
        <v>544</v>
      </c>
      <c r="C931" s="37" t="str">
        <f aca="false">IF(B931="","",IFERROR(INDEX(Applications!$B$5:$B$600,MATCH(B931,Applications!$A$5:$A$600,0)),"Application ID not found"))</f>
        <v>Utrecht Youth Food Lab</v>
      </c>
      <c r="D931" s="35" t="s">
        <v>94</v>
      </c>
      <c r="E931" s="35" t="s">
        <v>83</v>
      </c>
      <c r="F931" s="36" t="n">
        <v>45952</v>
      </c>
      <c r="G931" s="35" t="n">
        <v>4</v>
      </c>
      <c r="H931" s="35" t="n">
        <v>3</v>
      </c>
      <c r="I931" s="35" t="n">
        <v>3</v>
      </c>
      <c r="J931" s="35" t="n">
        <v>3</v>
      </c>
      <c r="K931" s="35" t="n">
        <v>3</v>
      </c>
      <c r="L931" s="35" t="n">
        <v>4</v>
      </c>
      <c r="M931" s="50" t="n">
        <f aca="false">IF(COUNT(G931:L931)&lt;6,"",ROUND((G931*Rubric!$D$5+H931*Rubric!$D$6+I931*Rubric!$D$7+J931*Rubric!$D$8+K931*Rubric!$D$9+L931*Rubric!$D$10)/5*100,1))</f>
        <v>67</v>
      </c>
      <c r="N931" s="37" t="str">
        <f aca="false">IF(OR(B931="",D931=""),"",IFERROR(IF(IF(E931="Primary",INDEX(Applications!$I$5:$I$600,MATCH(B931,Applications!$A$5:$A$600,0)),IF(E931="Secondary",INDEX(Applications!$J$5:$J$600,MATCH(B931,Applications!$A$5:$A$600,0)),INDEX(Applications!$K$5:$K$600,MATCH(B931,Applications!$A$5:$A$600,0))))=D931,"OK","Not assigned"),"Check ID"))</f>
        <v>OK</v>
      </c>
      <c r="O931" s="7"/>
    </row>
    <row r="932" customFormat="false" ht="15" hidden="false" customHeight="false" outlineLevel="0" collapsed="false">
      <c r="A932" s="35" t="s">
        <v>2329</v>
      </c>
      <c r="B932" s="35" t="s">
        <v>573</v>
      </c>
      <c r="C932" s="37" t="str">
        <f aca="false">IF(B932="","",IFERROR(INDEX(Applications!$B$5:$B$600,MATCH(B932,Applications!$A$5:$A$600,0)),"Application ID not found"))</f>
        <v>Marigold Schools Nutrition Fund</v>
      </c>
      <c r="D932" s="35" t="s">
        <v>94</v>
      </c>
      <c r="E932" s="35" t="s">
        <v>80</v>
      </c>
      <c r="F932" s="36" t="n">
        <v>45952</v>
      </c>
      <c r="G932" s="35" t="n">
        <v>2</v>
      </c>
      <c r="H932" s="35" t="n">
        <v>2</v>
      </c>
      <c r="I932" s="35" t="n">
        <v>2</v>
      </c>
      <c r="J932" s="35" t="n">
        <v>2</v>
      </c>
      <c r="K932" s="35" t="n">
        <v>3</v>
      </c>
      <c r="L932" s="35" t="n">
        <v>2</v>
      </c>
      <c r="M932" s="50" t="n">
        <f aca="false">IF(COUNT(G932:L932)&lt;6,"",ROUND((G932*Rubric!$D$5+H932*Rubric!$D$6+I932*Rubric!$D$7+J932*Rubric!$D$8+K932*Rubric!$D$9+L932*Rubric!$D$10)/5*100,1))</f>
        <v>42</v>
      </c>
      <c r="N932" s="37" t="str">
        <f aca="false">IF(OR(B932="",D932=""),"",IFERROR(IF(IF(E932="Primary",INDEX(Applications!$I$5:$I$600,MATCH(B932,Applications!$A$5:$A$600,0)),IF(E932="Secondary",INDEX(Applications!$J$5:$J$600,MATCH(B932,Applications!$A$5:$A$600,0)),INDEX(Applications!$K$5:$K$600,MATCH(B932,Applications!$A$5:$A$600,0))))=D932,"OK","Not assigned"),"Check ID"))</f>
        <v>OK</v>
      </c>
      <c r="O932" s="7" t="s">
        <v>1402</v>
      </c>
    </row>
    <row r="933" customFormat="false" ht="15" hidden="false" customHeight="false" outlineLevel="0" collapsed="false">
      <c r="A933" s="35" t="s">
        <v>2330</v>
      </c>
      <c r="B933" s="35" t="s">
        <v>1011</v>
      </c>
      <c r="C933" s="37" t="str">
        <f aca="false">IF(B933="","",IFERROR(INDEX(Applications!$B$5:$B$600,MATCH(B933,Applications!$A$5:$A$600,0)),"Application ID not found"))</f>
        <v>Northside Mobile Market</v>
      </c>
      <c r="D933" s="35" t="s">
        <v>94</v>
      </c>
      <c r="E933" s="35" t="s">
        <v>83</v>
      </c>
      <c r="F933" s="36" t="n">
        <v>45952</v>
      </c>
      <c r="G933" s="35" t="n">
        <v>3</v>
      </c>
      <c r="H933" s="35" t="n">
        <v>2</v>
      </c>
      <c r="I933" s="35" t="n">
        <v>3</v>
      </c>
      <c r="J933" s="35" t="n">
        <v>3</v>
      </c>
      <c r="K933" s="35" t="n">
        <v>3</v>
      </c>
      <c r="L933" s="35" t="n">
        <v>3</v>
      </c>
      <c r="M933" s="50" t="n">
        <f aca="false">IF(COUNT(G933:L933)&lt;6,"",ROUND((G933*Rubric!$D$5+H933*Rubric!$D$6+I933*Rubric!$D$7+J933*Rubric!$D$8+K933*Rubric!$D$9+L933*Rubric!$D$10)/5*100,1))</f>
        <v>56</v>
      </c>
      <c r="N933" s="37" t="str">
        <f aca="false">IF(OR(B933="",D933=""),"",IFERROR(IF(IF(E933="Primary",INDEX(Applications!$I$5:$I$600,MATCH(B933,Applications!$A$5:$A$600,0)),IF(E933="Secondary",INDEX(Applications!$J$5:$J$600,MATCH(B933,Applications!$A$5:$A$600,0)),INDEX(Applications!$K$5:$K$600,MATCH(B933,Applications!$A$5:$A$600,0))))=D933,"OK","Not assigned"),"Check ID"))</f>
        <v>OK</v>
      </c>
      <c r="O933" s="7"/>
    </row>
    <row r="934" customFormat="false" ht="15" hidden="false" customHeight="false" outlineLevel="0" collapsed="false">
      <c r="A934" s="35" t="s">
        <v>2331</v>
      </c>
      <c r="B934" s="35" t="s">
        <v>1247</v>
      </c>
      <c r="C934" s="37" t="str">
        <f aca="false">IF(B934="","",IFERROR(INDEX(Applications!$B$5:$B$600,MATCH(B934,Applications!$A$5:$A$600,0)),"Application ID not found"))</f>
        <v>Memphis Farm School</v>
      </c>
      <c r="D934" s="35" t="s">
        <v>94</v>
      </c>
      <c r="E934" s="35" t="s">
        <v>83</v>
      </c>
      <c r="F934" s="36" t="n">
        <v>45952</v>
      </c>
      <c r="G934" s="35" t="n">
        <v>4</v>
      </c>
      <c r="H934" s="35" t="n">
        <v>4</v>
      </c>
      <c r="I934" s="35" t="n">
        <v>3</v>
      </c>
      <c r="J934" s="35" t="n">
        <v>4</v>
      </c>
      <c r="K934" s="35" t="n">
        <v>5</v>
      </c>
      <c r="L934" s="35" t="n">
        <v>5</v>
      </c>
      <c r="M934" s="50" t="n">
        <f aca="false">IF(COUNT(G934:L934)&lt;6,"",ROUND((G934*Rubric!$D$5+H934*Rubric!$D$6+I934*Rubric!$D$7+J934*Rubric!$D$8+K934*Rubric!$D$9+L934*Rubric!$D$10)/5*100,1))</f>
        <v>80</v>
      </c>
      <c r="N934" s="37" t="str">
        <f aca="false">IF(OR(B934="",D934=""),"",IFERROR(IF(IF(E934="Primary",INDEX(Applications!$I$5:$I$600,MATCH(B934,Applications!$A$5:$A$600,0)),IF(E934="Secondary",INDEX(Applications!$J$5:$J$600,MATCH(B934,Applications!$A$5:$A$600,0)),INDEX(Applications!$K$5:$K$600,MATCH(B934,Applications!$A$5:$A$600,0))))=D934,"OK","Not assigned"),"Check ID"))</f>
        <v>OK</v>
      </c>
      <c r="O934" s="7" t="s">
        <v>1398</v>
      </c>
    </row>
    <row r="935" customFormat="false" ht="15" hidden="false" customHeight="false" outlineLevel="0" collapsed="false">
      <c r="A935" s="35" t="s">
        <v>2332</v>
      </c>
      <c r="B935" s="35" t="s">
        <v>265</v>
      </c>
      <c r="C935" s="37" t="str">
        <f aca="false">IF(B935="","",IFERROR(INDEX(Applications!$B$5:$B$600,MATCH(B935,Applications!$A$5:$A$600,0)),"Application ID not found"))</f>
        <v>Southfield Culinary Works</v>
      </c>
      <c r="D935" s="35" t="s">
        <v>94</v>
      </c>
      <c r="E935" s="35" t="s">
        <v>86</v>
      </c>
      <c r="F935" s="36" t="n">
        <v>45952</v>
      </c>
      <c r="G935" s="35" t="n">
        <v>4</v>
      </c>
      <c r="H935" s="35" t="n">
        <v>4</v>
      </c>
      <c r="I935" s="35" t="n">
        <v>3</v>
      </c>
      <c r="J935" s="35" t="n">
        <v>3</v>
      </c>
      <c r="K935" s="35" t="n">
        <v>3</v>
      </c>
      <c r="L935" s="35" t="n">
        <v>4</v>
      </c>
      <c r="M935" s="50" t="n">
        <f aca="false">IF(COUNT(G935:L935)&lt;6,"",ROUND((G935*Rubric!$D$5+H935*Rubric!$D$6+I935*Rubric!$D$7+J935*Rubric!$D$8+K935*Rubric!$D$9+L935*Rubric!$D$10)/5*100,1))</f>
        <v>71</v>
      </c>
      <c r="N935" s="37" t="str">
        <f aca="false">IF(OR(B935="",D935=""),"",IFERROR(IF(IF(E935="Primary",INDEX(Applications!$I$5:$I$600,MATCH(B935,Applications!$A$5:$A$600,0)),IF(E935="Secondary",INDEX(Applications!$J$5:$J$600,MATCH(B935,Applications!$A$5:$A$600,0)),INDEX(Applications!$K$5:$K$600,MATCH(B935,Applications!$A$5:$A$600,0))))=D935,"OK","Not assigned"),"Check ID"))</f>
        <v>OK</v>
      </c>
      <c r="O935" s="7"/>
    </row>
    <row r="936" customFormat="false" ht="15" hidden="false" customHeight="false" outlineLevel="0" collapsed="false">
      <c r="A936" s="35" t="s">
        <v>2333</v>
      </c>
      <c r="B936" s="35" t="s">
        <v>542</v>
      </c>
      <c r="C936" s="37" t="str">
        <f aca="false">IF(B936="","",IFERROR(INDEX(Applications!$B$5:$B$600,MATCH(B936,Applications!$A$5:$A$600,0)),"Application ID not found"))</f>
        <v>Toronto Cafe Training Program</v>
      </c>
      <c r="D936" s="35" t="s">
        <v>85</v>
      </c>
      <c r="E936" s="35" t="s">
        <v>80</v>
      </c>
      <c r="F936" s="36" t="n">
        <v>45952</v>
      </c>
      <c r="G936" s="35" t="n">
        <v>4</v>
      </c>
      <c r="H936" s="35" t="n">
        <v>3</v>
      </c>
      <c r="I936" s="35" t="n">
        <v>3</v>
      </c>
      <c r="J936" s="35" t="n">
        <v>3</v>
      </c>
      <c r="K936" s="35" t="n">
        <v>3</v>
      </c>
      <c r="L936" s="35" t="n">
        <v>3</v>
      </c>
      <c r="M936" s="50" t="n">
        <f aca="false">IF(COUNT(G936:L936)&lt;6,"",ROUND((G936*Rubric!$D$5+H936*Rubric!$D$6+I936*Rubric!$D$7+J936*Rubric!$D$8+K936*Rubric!$D$9+L936*Rubric!$D$10)/5*100,1))</f>
        <v>65</v>
      </c>
      <c r="N936" s="37" t="str">
        <f aca="false">IF(OR(B936="",D936=""),"",IFERROR(IF(IF(E936="Primary",INDEX(Applications!$I$5:$I$600,MATCH(B936,Applications!$A$5:$A$600,0)),IF(E936="Secondary",INDEX(Applications!$J$5:$J$600,MATCH(B936,Applications!$A$5:$A$600,0)),INDEX(Applications!$K$5:$K$600,MATCH(B936,Applications!$A$5:$A$600,0))))=D936,"OK","Not assigned"),"Check ID"))</f>
        <v>OK</v>
      </c>
      <c r="O936" s="7" t="s">
        <v>1428</v>
      </c>
    </row>
    <row r="937" customFormat="false" ht="15" hidden="false" customHeight="false" outlineLevel="0" collapsed="false">
      <c r="A937" s="35" t="s">
        <v>2334</v>
      </c>
      <c r="B937" s="35" t="s">
        <v>621</v>
      </c>
      <c r="C937" s="37" t="str">
        <f aca="false">IF(B937="","",IFERROR(INDEX(Applications!$B$5:$B$600,MATCH(B937,Applications!$A$5:$A$600,0)),"Application ID not found"))</f>
        <v>Calgary Mobile Market</v>
      </c>
      <c r="D937" s="35" t="s">
        <v>85</v>
      </c>
      <c r="E937" s="35" t="s">
        <v>83</v>
      </c>
      <c r="F937" s="36" t="n">
        <v>45952</v>
      </c>
      <c r="G937" s="35" t="n">
        <v>3</v>
      </c>
      <c r="H937" s="35" t="n">
        <v>2</v>
      </c>
      <c r="I937" s="35" t="n">
        <v>3</v>
      </c>
      <c r="J937" s="35" t="n">
        <v>3</v>
      </c>
      <c r="K937" s="35" t="n">
        <v>3</v>
      </c>
      <c r="L937" s="35" t="n">
        <v>2</v>
      </c>
      <c r="M937" s="50" t="n">
        <f aca="false">IF(COUNT(G937:L937)&lt;6,"",ROUND((G937*Rubric!$D$5+H937*Rubric!$D$6+I937*Rubric!$D$7+J937*Rubric!$D$8+K937*Rubric!$D$9+L937*Rubric!$D$10)/5*100,1))</f>
        <v>54</v>
      </c>
      <c r="N937" s="37" t="str">
        <f aca="false">IF(OR(B937="",D937=""),"",IFERROR(IF(IF(E937="Primary",INDEX(Applications!$I$5:$I$600,MATCH(B937,Applications!$A$5:$A$600,0)),IF(E937="Secondary",INDEX(Applications!$J$5:$J$600,MATCH(B937,Applications!$A$5:$A$600,0)),INDEX(Applications!$K$5:$K$600,MATCH(B937,Applications!$A$5:$A$600,0))))=D937,"OK","Not assigned"),"Check ID"))</f>
        <v>OK</v>
      </c>
      <c r="O937" s="7"/>
    </row>
    <row r="938" customFormat="false" ht="15" hidden="false" customHeight="false" outlineLevel="0" collapsed="false">
      <c r="A938" s="35" t="s">
        <v>2335</v>
      </c>
      <c r="B938" s="35" t="s">
        <v>372</v>
      </c>
      <c r="C938" s="37" t="str">
        <f aca="false">IF(B938="","",IFERROR(INDEX(Applications!$B$5:$B$600,MATCH(B938,Applications!$A$5:$A$600,0)),"Application ID not found"))</f>
        <v>Cedar Bakery Collective</v>
      </c>
      <c r="D938" s="35" t="s">
        <v>85</v>
      </c>
      <c r="E938" s="35" t="s">
        <v>80</v>
      </c>
      <c r="F938" s="36" t="n">
        <v>45952</v>
      </c>
      <c r="G938" s="35" t="n">
        <v>2</v>
      </c>
      <c r="H938" s="35" t="n">
        <v>3</v>
      </c>
      <c r="I938" s="35" t="n">
        <v>2</v>
      </c>
      <c r="J938" s="35" t="n">
        <v>2</v>
      </c>
      <c r="K938" s="35" t="n">
        <v>3</v>
      </c>
      <c r="L938" s="35" t="n">
        <v>2</v>
      </c>
      <c r="M938" s="50" t="n">
        <f aca="false">IF(COUNT(G938:L938)&lt;6,"",ROUND((G938*Rubric!$D$5+H938*Rubric!$D$6+I938*Rubric!$D$7+J938*Rubric!$D$8+K938*Rubric!$D$9+L938*Rubric!$D$10)/5*100,1))</f>
        <v>46</v>
      </c>
      <c r="N938" s="37" t="str">
        <f aca="false">IF(OR(B938="",D938=""),"",IFERROR(IF(IF(E938="Primary",INDEX(Applications!$I$5:$I$600,MATCH(B938,Applications!$A$5:$A$600,0)),IF(E938="Secondary",INDEX(Applications!$J$5:$J$600,MATCH(B938,Applications!$A$5:$A$600,0)),INDEX(Applications!$K$5:$K$600,MATCH(B938,Applications!$A$5:$A$600,0))))=D938,"OK","Not assigned"),"Check ID"))</f>
        <v>OK</v>
      </c>
      <c r="O938" s="7"/>
    </row>
    <row r="939" customFormat="false" ht="15" hidden="false" customHeight="false" outlineLevel="0" collapsed="false">
      <c r="A939" s="35" t="s">
        <v>2336</v>
      </c>
      <c r="B939" s="35" t="s">
        <v>729</v>
      </c>
      <c r="C939" s="37" t="str">
        <f aca="false">IF(B939="","",IFERROR(INDEX(Applications!$B$5:$B$600,MATCH(B939,Applications!$A$5:$A$600,0)),"Application ID not found"))</f>
        <v>Denver Mobile Market</v>
      </c>
      <c r="D939" s="35" t="s">
        <v>85</v>
      </c>
      <c r="E939" s="35" t="s">
        <v>83</v>
      </c>
      <c r="F939" s="36" t="n">
        <v>45952</v>
      </c>
      <c r="G939" s="35" t="n">
        <v>3</v>
      </c>
      <c r="H939" s="35" t="n">
        <v>3</v>
      </c>
      <c r="I939" s="35" t="n">
        <v>2</v>
      </c>
      <c r="J939" s="35" t="n">
        <v>3</v>
      </c>
      <c r="K939" s="35" t="n">
        <v>2</v>
      </c>
      <c r="L939" s="35" t="n">
        <v>2</v>
      </c>
      <c r="M939" s="50" t="n">
        <f aca="false">IF(COUNT(G939:L939)&lt;6,"",ROUND((G939*Rubric!$D$5+H939*Rubric!$D$6+I939*Rubric!$D$7+J939*Rubric!$D$8+K939*Rubric!$D$9+L939*Rubric!$D$10)/5*100,1))</f>
        <v>52</v>
      </c>
      <c r="N939" s="37" t="str">
        <f aca="false">IF(OR(B939="",D939=""),"",IFERROR(IF(IF(E939="Primary",INDEX(Applications!$I$5:$I$600,MATCH(B939,Applications!$A$5:$A$600,0)),IF(E939="Secondary",INDEX(Applications!$J$5:$J$600,MATCH(B939,Applications!$A$5:$A$600,0)),INDEX(Applications!$K$5:$K$600,MATCH(B939,Applications!$A$5:$A$600,0))))=D939,"OK","Not assigned"),"Check ID"))</f>
        <v>OK</v>
      </c>
      <c r="O939" s="7"/>
    </row>
    <row r="940" customFormat="false" ht="15" hidden="false" customHeight="false" outlineLevel="0" collapsed="false">
      <c r="A940" s="35" t="s">
        <v>2337</v>
      </c>
      <c r="B940" s="35" t="s">
        <v>651</v>
      </c>
      <c r="C940" s="37" t="str">
        <f aca="false">IF(B940="","",IFERROR(INDEX(Applications!$B$5:$B$600,MATCH(B940,Applications!$A$5:$A$600,0)),"Application ID not found"))</f>
        <v>Thistle Community Pantry</v>
      </c>
      <c r="D940" s="35" t="s">
        <v>85</v>
      </c>
      <c r="E940" s="35" t="s">
        <v>80</v>
      </c>
      <c r="F940" s="36" t="n">
        <v>45952</v>
      </c>
      <c r="G940" s="35" t="n">
        <v>2</v>
      </c>
      <c r="H940" s="35" t="n">
        <v>2</v>
      </c>
      <c r="I940" s="35" t="n">
        <v>3</v>
      </c>
      <c r="J940" s="35" t="n">
        <v>2</v>
      </c>
      <c r="K940" s="35" t="n">
        <v>3</v>
      </c>
      <c r="L940" s="35" t="n">
        <v>2</v>
      </c>
      <c r="M940" s="50" t="n">
        <f aca="false">IF(COUNT(G940:L940)&lt;6,"",ROUND((G940*Rubric!$D$5+H940*Rubric!$D$6+I940*Rubric!$D$7+J940*Rubric!$D$8+K940*Rubric!$D$9+L940*Rubric!$D$10)/5*100,1))</f>
        <v>46</v>
      </c>
      <c r="N940" s="37" t="str">
        <f aca="false">IF(OR(B940="",D940=""),"",IFERROR(IF(IF(E940="Primary",INDEX(Applications!$I$5:$I$600,MATCH(B940,Applications!$A$5:$A$600,0)),IF(E940="Secondary",INDEX(Applications!$J$5:$J$600,MATCH(B940,Applications!$A$5:$A$600,0)),INDEX(Applications!$K$5:$K$600,MATCH(B940,Applications!$A$5:$A$600,0))))=D940,"OK","Not assigned"),"Check ID"))</f>
        <v>OK</v>
      </c>
      <c r="O940" s="7"/>
    </row>
    <row r="941" customFormat="false" ht="15" hidden="false" customHeight="false" outlineLevel="0" collapsed="false">
      <c r="A941" s="35" t="s">
        <v>2338</v>
      </c>
      <c r="B941" s="35" t="s">
        <v>889</v>
      </c>
      <c r="C941" s="37" t="str">
        <f aca="false">IF(B941="","",IFERROR(INDEX(Applications!$B$5:$B$600,MATCH(B941,Applications!$A$5:$A$600,0)),"Application ID not found"))</f>
        <v>Bluestem Food Bank</v>
      </c>
      <c r="D941" s="35" t="s">
        <v>85</v>
      </c>
      <c r="E941" s="35" t="s">
        <v>80</v>
      </c>
      <c r="F941" s="36" t="n">
        <v>45952</v>
      </c>
      <c r="G941" s="35" t="n">
        <v>3</v>
      </c>
      <c r="H941" s="35" t="n">
        <v>4</v>
      </c>
      <c r="I941" s="35" t="n">
        <v>3</v>
      </c>
      <c r="J941" s="35" t="n">
        <v>3</v>
      </c>
      <c r="K941" s="35" t="n">
        <v>3</v>
      </c>
      <c r="L941" s="35" t="n">
        <v>3</v>
      </c>
      <c r="M941" s="50" t="n">
        <f aca="false">IF(COUNT(G941:L941)&lt;6,"",ROUND((G941*Rubric!$D$5+H941*Rubric!$D$6+I941*Rubric!$D$7+J941*Rubric!$D$8+K941*Rubric!$D$9+L941*Rubric!$D$10)/5*100,1))</f>
        <v>64</v>
      </c>
      <c r="N941" s="37" t="str">
        <f aca="false">IF(OR(B941="",D941=""),"",IFERROR(IF(IF(E941="Primary",INDEX(Applications!$I$5:$I$600,MATCH(B941,Applications!$A$5:$A$600,0)),IF(E941="Secondary",INDEX(Applications!$J$5:$J$600,MATCH(B941,Applications!$A$5:$A$600,0)),INDEX(Applications!$K$5:$K$600,MATCH(B941,Applications!$A$5:$A$600,0))))=D941,"OK","Not assigned"),"Check ID"))</f>
        <v>OK</v>
      </c>
      <c r="O941" s="7"/>
    </row>
    <row r="942" customFormat="false" ht="15" hidden="false" customHeight="false" outlineLevel="0" collapsed="false">
      <c r="A942" s="35" t="s">
        <v>2339</v>
      </c>
      <c r="B942" s="35" t="s">
        <v>1005</v>
      </c>
      <c r="C942" s="37" t="str">
        <f aca="false">IF(B942="","",IFERROR(INDEX(Applications!$B$5:$B$600,MATCH(B942,Applications!$A$5:$A$600,0)),"Application ID not found"))</f>
        <v>Akron Food Bank</v>
      </c>
      <c r="D942" s="35" t="s">
        <v>85</v>
      </c>
      <c r="E942" s="35" t="s">
        <v>83</v>
      </c>
      <c r="F942" s="36" t="n">
        <v>45952</v>
      </c>
      <c r="G942" s="35" t="n">
        <v>3</v>
      </c>
      <c r="H942" s="35" t="n">
        <v>3</v>
      </c>
      <c r="I942" s="35" t="n">
        <v>3</v>
      </c>
      <c r="J942" s="35" t="n">
        <v>4</v>
      </c>
      <c r="K942" s="35" t="n">
        <v>4</v>
      </c>
      <c r="L942" s="35" t="n">
        <v>2</v>
      </c>
      <c r="M942" s="50" t="n">
        <f aca="false">IF(COUNT(G942:L942)&lt;6,"",ROUND((G942*Rubric!$D$5+H942*Rubric!$D$6+I942*Rubric!$D$7+J942*Rubric!$D$8+K942*Rubric!$D$9+L942*Rubric!$D$10)/5*100,1))</f>
        <v>63</v>
      </c>
      <c r="N942" s="37" t="str">
        <f aca="false">IF(OR(B942="",D942=""),"",IFERROR(IF(IF(E942="Primary",INDEX(Applications!$I$5:$I$600,MATCH(B942,Applications!$A$5:$A$600,0)),IF(E942="Secondary",INDEX(Applications!$J$5:$J$600,MATCH(B942,Applications!$A$5:$A$600,0)),INDEX(Applications!$K$5:$K$600,MATCH(B942,Applications!$A$5:$A$600,0))))=D942,"OK","Not assigned"),"Check ID"))</f>
        <v>OK</v>
      </c>
      <c r="O942" s="7"/>
    </row>
    <row r="943" customFormat="false" ht="15" hidden="false" customHeight="false" outlineLevel="0" collapsed="false">
      <c r="A943" s="35" t="s">
        <v>2340</v>
      </c>
      <c r="B943" s="35" t="s">
        <v>1075</v>
      </c>
      <c r="C943" s="37" t="str">
        <f aca="false">IF(B943="","",IFERROR(INDEX(Applications!$B$5:$B$600,MATCH(B943,Applications!$A$5:$A$600,0)),"Application ID not found"))</f>
        <v>Akron Schools Nutrition Fund</v>
      </c>
      <c r="D943" s="35" t="s">
        <v>85</v>
      </c>
      <c r="E943" s="35" t="s">
        <v>80</v>
      </c>
      <c r="F943" s="36" t="n">
        <v>45952</v>
      </c>
      <c r="G943" s="35" t="n">
        <v>4</v>
      </c>
      <c r="H943" s="35" t="n">
        <v>4</v>
      </c>
      <c r="I943" s="35" t="n">
        <v>3</v>
      </c>
      <c r="J943" s="35" t="n">
        <v>4</v>
      </c>
      <c r="K943" s="35" t="n">
        <v>5</v>
      </c>
      <c r="L943" s="35" t="n">
        <v>4</v>
      </c>
      <c r="M943" s="50" t="n">
        <f aca="false">IF(COUNT(G943:L943)&lt;6,"",ROUND((G943*Rubric!$D$5+H943*Rubric!$D$6+I943*Rubric!$D$7+J943*Rubric!$D$8+K943*Rubric!$D$9+L943*Rubric!$D$10)/5*100,1))</f>
        <v>78</v>
      </c>
      <c r="N943" s="37" t="str">
        <f aca="false">IF(OR(B943="",D943=""),"",IFERROR(IF(IF(E943="Primary",INDEX(Applications!$I$5:$I$600,MATCH(B943,Applications!$A$5:$A$600,0)),IF(E943="Secondary",INDEX(Applications!$J$5:$J$600,MATCH(B943,Applications!$A$5:$A$600,0)),INDEX(Applications!$K$5:$K$600,MATCH(B943,Applications!$A$5:$A$600,0))))=D943,"OK","Not assigned"),"Check ID"))</f>
        <v>OK</v>
      </c>
      <c r="O943" s="7"/>
    </row>
    <row r="944" customFormat="false" ht="15" hidden="false" customHeight="false" outlineLevel="0" collapsed="false">
      <c r="A944" s="35" t="s">
        <v>2341</v>
      </c>
      <c r="B944" s="35" t="s">
        <v>200</v>
      </c>
      <c r="C944" s="37" t="str">
        <f aca="false">IF(B944="","",IFERROR(INDEX(Applications!$B$5:$B$600,MATCH(B944,Applications!$A$5:$A$600,0)),"Application ID not found"))</f>
        <v>Albany Schools Nutrition Fund</v>
      </c>
      <c r="D944" s="35" t="s">
        <v>85</v>
      </c>
      <c r="E944" s="35" t="s">
        <v>83</v>
      </c>
      <c r="F944" s="36" t="n">
        <v>45952</v>
      </c>
      <c r="G944" s="35" t="n">
        <v>4</v>
      </c>
      <c r="H944" s="35" t="n">
        <v>4</v>
      </c>
      <c r="I944" s="35" t="n">
        <v>4</v>
      </c>
      <c r="J944" s="35" t="n">
        <v>3</v>
      </c>
      <c r="K944" s="35" t="n">
        <v>3</v>
      </c>
      <c r="L944" s="35" t="n">
        <v>4</v>
      </c>
      <c r="M944" s="50" t="n">
        <f aca="false">IF(COUNT(G944:L944)&lt;6,"",ROUND((G944*Rubric!$D$5+H944*Rubric!$D$6+I944*Rubric!$D$7+J944*Rubric!$D$8+K944*Rubric!$D$9+L944*Rubric!$D$10)/5*100,1))</f>
        <v>75</v>
      </c>
      <c r="N944" s="37" t="str">
        <f aca="false">IF(OR(B944="",D944=""),"",IFERROR(IF(IF(E944="Primary",INDEX(Applications!$I$5:$I$600,MATCH(B944,Applications!$A$5:$A$600,0)),IF(E944="Secondary",INDEX(Applications!$J$5:$J$600,MATCH(B944,Applications!$A$5:$A$600,0)),INDEX(Applications!$K$5:$K$600,MATCH(B944,Applications!$A$5:$A$600,0))))=D944,"OK","Not assigned"),"Check ID"))</f>
        <v>OK</v>
      </c>
      <c r="O944" s="7"/>
    </row>
    <row r="945" customFormat="false" ht="15" hidden="false" customHeight="false" outlineLevel="0" collapsed="false">
      <c r="A945" s="35" t="s">
        <v>2342</v>
      </c>
      <c r="B945" s="35" t="s">
        <v>789</v>
      </c>
      <c r="C945" s="37" t="str">
        <f aca="false">IF(B945="","",IFERROR(INDEX(Applications!$B$5:$B$600,MATCH(B945,Applications!$A$5:$A$600,0)),"Application ID not found"))</f>
        <v>Chennai Growers Cooperative</v>
      </c>
      <c r="D945" s="35" t="s">
        <v>85</v>
      </c>
      <c r="E945" s="35" t="s">
        <v>80</v>
      </c>
      <c r="F945" s="36" t="n">
        <v>45952</v>
      </c>
      <c r="G945" s="35" t="n">
        <v>4</v>
      </c>
      <c r="H945" s="35" t="n">
        <v>4</v>
      </c>
      <c r="I945" s="35" t="n">
        <v>4</v>
      </c>
      <c r="J945" s="35" t="n">
        <v>4</v>
      </c>
      <c r="K945" s="35" t="n">
        <v>4</v>
      </c>
      <c r="L945" s="35" t="n">
        <v>4</v>
      </c>
      <c r="M945" s="50" t="n">
        <f aca="false">IF(COUNT(G945:L945)&lt;6,"",ROUND((G945*Rubric!$D$5+H945*Rubric!$D$6+I945*Rubric!$D$7+J945*Rubric!$D$8+K945*Rubric!$D$9+L945*Rubric!$D$10)/5*100,1))</f>
        <v>80</v>
      </c>
      <c r="N945" s="37" t="str">
        <f aca="false">IF(OR(B945="",D945=""),"",IFERROR(IF(IF(E945="Primary",INDEX(Applications!$I$5:$I$600,MATCH(B945,Applications!$A$5:$A$600,0)),IF(E945="Secondary",INDEX(Applications!$J$5:$J$600,MATCH(B945,Applications!$A$5:$A$600,0)),INDEX(Applications!$K$5:$K$600,MATCH(B945,Applications!$A$5:$A$600,0))))=D945,"OK","Not assigned"),"Check ID"))</f>
        <v>OK</v>
      </c>
      <c r="O945" s="7"/>
    </row>
    <row r="946" customFormat="false" ht="15" hidden="false" customHeight="false" outlineLevel="0" collapsed="false">
      <c r="A946" s="35" t="s">
        <v>2343</v>
      </c>
      <c r="B946" s="35" t="s">
        <v>202</v>
      </c>
      <c r="C946" s="37" t="str">
        <f aca="false">IF(B946="","",IFERROR(INDEX(Applications!$B$5:$B$600,MATCH(B946,Applications!$A$5:$A$600,0)),"Application ID not found"))</f>
        <v>Hillcrest Food Ventures</v>
      </c>
      <c r="D946" s="35" t="s">
        <v>85</v>
      </c>
      <c r="E946" s="35" t="s">
        <v>83</v>
      </c>
      <c r="F946" s="36" t="n">
        <v>45952</v>
      </c>
      <c r="G946" s="35" t="n">
        <v>3</v>
      </c>
      <c r="H946" s="35" t="n">
        <v>3</v>
      </c>
      <c r="I946" s="35" t="n">
        <v>3</v>
      </c>
      <c r="J946" s="35" t="n">
        <v>3</v>
      </c>
      <c r="K946" s="35" t="n">
        <v>3</v>
      </c>
      <c r="L946" s="35" t="n">
        <v>3</v>
      </c>
      <c r="M946" s="50" t="n">
        <f aca="false">IF(COUNT(G946:L946)&lt;6,"",ROUND((G946*Rubric!$D$5+H946*Rubric!$D$6+I946*Rubric!$D$7+J946*Rubric!$D$8+K946*Rubric!$D$9+L946*Rubric!$D$10)/5*100,1))</f>
        <v>60</v>
      </c>
      <c r="N946" s="37" t="str">
        <f aca="false">IF(OR(B946="",D946=""),"",IFERROR(IF(IF(E946="Primary",INDEX(Applications!$I$5:$I$600,MATCH(B946,Applications!$A$5:$A$600,0)),IF(E946="Secondary",INDEX(Applications!$J$5:$J$600,MATCH(B946,Applications!$A$5:$A$600,0)),INDEX(Applications!$K$5:$K$600,MATCH(B946,Applications!$A$5:$A$600,0))))=D946,"OK","Not assigned"),"Check ID"))</f>
        <v>OK</v>
      </c>
      <c r="O946" s="7" t="s">
        <v>1493</v>
      </c>
    </row>
    <row r="947" customFormat="false" ht="15" hidden="false" customHeight="false" outlineLevel="0" collapsed="false">
      <c r="A947" s="35" t="s">
        <v>2344</v>
      </c>
      <c r="B947" s="35" t="s">
        <v>855</v>
      </c>
      <c r="C947" s="37" t="str">
        <f aca="false">IF(B947="","",IFERROR(INDEX(Applications!$B$5:$B$600,MATCH(B947,Applications!$A$5:$A$600,0)),"Application ID not found"))</f>
        <v>Regina Cafe Training Program</v>
      </c>
      <c r="D947" s="35" t="s">
        <v>85</v>
      </c>
      <c r="E947" s="35" t="s">
        <v>80</v>
      </c>
      <c r="F947" s="36" t="n">
        <v>45952</v>
      </c>
      <c r="G947" s="35" t="n">
        <v>4</v>
      </c>
      <c r="H947" s="35" t="n">
        <v>4</v>
      </c>
      <c r="I947" s="35" t="n">
        <v>3</v>
      </c>
      <c r="J947" s="35" t="n">
        <v>3</v>
      </c>
      <c r="K947" s="35" t="n">
        <v>4</v>
      </c>
      <c r="L947" s="35" t="n">
        <v>4</v>
      </c>
      <c r="M947" s="50" t="n">
        <f aca="false">IF(COUNT(G947:L947)&lt;6,"",ROUND((G947*Rubric!$D$5+H947*Rubric!$D$6+I947*Rubric!$D$7+J947*Rubric!$D$8+K947*Rubric!$D$9+L947*Rubric!$D$10)/5*100,1))</f>
        <v>73</v>
      </c>
      <c r="N947" s="37" t="str">
        <f aca="false">IF(OR(B947="",D947=""),"",IFERROR(IF(IF(E947="Primary",INDEX(Applications!$I$5:$I$600,MATCH(B947,Applications!$A$5:$A$600,0)),IF(E947="Secondary",INDEX(Applications!$J$5:$J$600,MATCH(B947,Applications!$A$5:$A$600,0)),INDEX(Applications!$K$5:$K$600,MATCH(B947,Applications!$A$5:$A$600,0))))=D947,"OK","Not assigned"),"Check ID"))</f>
        <v>OK</v>
      </c>
      <c r="O947" s="7"/>
    </row>
    <row r="948" customFormat="false" ht="15" hidden="false" customHeight="false" outlineLevel="0" collapsed="false">
      <c r="A948" s="35" t="s">
        <v>2345</v>
      </c>
      <c r="B948" s="35" t="s">
        <v>883</v>
      </c>
      <c r="C948" s="37" t="str">
        <f aca="false">IF(B948="","",IFERROR(INDEX(Applications!$B$5:$B$600,MATCH(B948,Applications!$A$5:$A$600,0)),"Application ID not found"))</f>
        <v>Bluestem Youth Food Lab</v>
      </c>
      <c r="D948" s="35" t="s">
        <v>85</v>
      </c>
      <c r="E948" s="35" t="s">
        <v>80</v>
      </c>
      <c r="F948" s="36" t="n">
        <v>45952</v>
      </c>
      <c r="G948" s="35" t="n">
        <v>5</v>
      </c>
      <c r="H948" s="35" t="n">
        <v>4</v>
      </c>
      <c r="I948" s="35" t="n">
        <v>4</v>
      </c>
      <c r="J948" s="35" t="n">
        <v>4</v>
      </c>
      <c r="K948" s="35" t="n">
        <v>4</v>
      </c>
      <c r="L948" s="35" t="n">
        <v>4</v>
      </c>
      <c r="M948" s="50" t="n">
        <f aca="false">IF(COUNT(G948:L948)&lt;6,"",ROUND((G948*Rubric!$D$5+H948*Rubric!$D$6+I948*Rubric!$D$7+J948*Rubric!$D$8+K948*Rubric!$D$9+L948*Rubric!$D$10)/5*100,1))</f>
        <v>85</v>
      </c>
      <c r="N948" s="37" t="str">
        <f aca="false">IF(OR(B948="",D948=""),"",IFERROR(IF(IF(E948="Primary",INDEX(Applications!$I$5:$I$600,MATCH(B948,Applications!$A$5:$A$600,0)),IF(E948="Secondary",INDEX(Applications!$J$5:$J$600,MATCH(B948,Applications!$A$5:$A$600,0)),INDEX(Applications!$K$5:$K$600,MATCH(B948,Applications!$A$5:$A$600,0))))=D948,"OK","Not assigned"),"Check ID"))</f>
        <v>OK</v>
      </c>
      <c r="O948" s="7"/>
    </row>
    <row r="949" customFormat="false" ht="15" hidden="false" customHeight="false" outlineLevel="0" collapsed="false">
      <c r="A949" s="35" t="s">
        <v>2346</v>
      </c>
      <c r="B949" s="35" t="s">
        <v>1379</v>
      </c>
      <c r="C949" s="37" t="str">
        <f aca="false">IF(B949="","",IFERROR(INDEX(Applications!$B$5:$B$600,MATCH(B949,Applications!$A$5:$A$600,0)),"Application ID not found"))</f>
        <v>Davao Community Pantry</v>
      </c>
      <c r="D949" s="35" t="s">
        <v>85</v>
      </c>
      <c r="E949" s="35" t="s">
        <v>80</v>
      </c>
      <c r="F949" s="36" t="n">
        <v>45952</v>
      </c>
      <c r="G949" s="35" t="n">
        <v>5</v>
      </c>
      <c r="H949" s="35" t="n">
        <v>4</v>
      </c>
      <c r="I949" s="35" t="n">
        <v>4</v>
      </c>
      <c r="J949" s="35" t="n">
        <v>4</v>
      </c>
      <c r="K949" s="35" t="n">
        <v>5</v>
      </c>
      <c r="L949" s="35" t="n">
        <v>4</v>
      </c>
      <c r="M949" s="50" t="n">
        <f aca="false">IF(COUNT(G949:L949)&lt;6,"",ROUND((G949*Rubric!$D$5+H949*Rubric!$D$6+I949*Rubric!$D$7+J949*Rubric!$D$8+K949*Rubric!$D$9+L949*Rubric!$D$10)/5*100,1))</f>
        <v>87</v>
      </c>
      <c r="N949" s="37" t="str">
        <f aca="false">IF(OR(B949="",D949=""),"",IFERROR(IF(IF(E949="Primary",INDEX(Applications!$I$5:$I$600,MATCH(B949,Applications!$A$5:$A$600,0)),IF(E949="Secondary",INDEX(Applications!$J$5:$J$600,MATCH(B949,Applications!$A$5:$A$600,0)),INDEX(Applications!$K$5:$K$600,MATCH(B949,Applications!$A$5:$A$600,0))))=D949,"OK","Not assigned"),"Check ID"))</f>
        <v>OK</v>
      </c>
      <c r="O949" s="7"/>
    </row>
    <row r="950" customFormat="false" ht="15" hidden="false" customHeight="false" outlineLevel="0" collapsed="false">
      <c r="A950" s="35" t="s">
        <v>2347</v>
      </c>
      <c r="B950" s="35" t="s">
        <v>402</v>
      </c>
      <c r="C950" s="37" t="str">
        <f aca="false">IF(B950="","",IFERROR(INDEX(Applications!$B$5:$B$600,MATCH(B950,Applications!$A$5:$A$600,0)),"Application ID not found"))</f>
        <v>Buffalo Food Bank</v>
      </c>
      <c r="D950" s="35" t="s">
        <v>85</v>
      </c>
      <c r="E950" s="35" t="s">
        <v>80</v>
      </c>
      <c r="F950" s="36" t="n">
        <v>45952</v>
      </c>
      <c r="G950" s="35" t="n">
        <v>4</v>
      </c>
      <c r="H950" s="35" t="n">
        <v>4</v>
      </c>
      <c r="I950" s="35" t="n">
        <v>3</v>
      </c>
      <c r="J950" s="35" t="n">
        <v>4</v>
      </c>
      <c r="K950" s="35" t="n">
        <v>4</v>
      </c>
      <c r="L950" s="35" t="n">
        <v>4</v>
      </c>
      <c r="M950" s="50" t="n">
        <f aca="false">IF(COUNT(G950:L950)&lt;6,"",ROUND((G950*Rubric!$D$5+H950*Rubric!$D$6+I950*Rubric!$D$7+J950*Rubric!$D$8+K950*Rubric!$D$9+L950*Rubric!$D$10)/5*100,1))</f>
        <v>76</v>
      </c>
      <c r="N950" s="37" t="str">
        <f aca="false">IF(OR(B950="",D950=""),"",IFERROR(IF(IF(E950="Primary",INDEX(Applications!$I$5:$I$600,MATCH(B950,Applications!$A$5:$A$600,0)),IF(E950="Secondary",INDEX(Applications!$J$5:$J$600,MATCH(B950,Applications!$A$5:$A$600,0)),INDEX(Applications!$K$5:$K$600,MATCH(B950,Applications!$A$5:$A$600,0))))=D950,"OK","Not assigned"),"Check ID"))</f>
        <v>OK</v>
      </c>
      <c r="O950" s="7"/>
    </row>
    <row r="951" customFormat="false" ht="15" hidden="false" customHeight="false" outlineLevel="0" collapsed="false">
      <c r="A951" s="35" t="s">
        <v>2348</v>
      </c>
      <c r="B951" s="35" t="s">
        <v>321</v>
      </c>
      <c r="C951" s="37" t="str">
        <f aca="false">IF(B951="","",IFERROR(INDEX(Applications!$B$5:$B$600,MATCH(B951,Applications!$A$5:$A$600,0)),"Application ID not found"))</f>
        <v>Wichita Food Ventures</v>
      </c>
      <c r="D951" s="35" t="s">
        <v>85</v>
      </c>
      <c r="E951" s="35" t="s">
        <v>83</v>
      </c>
      <c r="F951" s="36" t="n">
        <v>45952</v>
      </c>
      <c r="G951" s="35" t="n">
        <v>2</v>
      </c>
      <c r="H951" s="35" t="n">
        <v>1</v>
      </c>
      <c r="I951" s="35" t="n">
        <v>1</v>
      </c>
      <c r="J951" s="35" t="n">
        <v>1</v>
      </c>
      <c r="K951" s="35" t="n">
        <v>2</v>
      </c>
      <c r="L951" s="35" t="n">
        <v>2</v>
      </c>
      <c r="M951" s="50" t="n">
        <f aca="false">IF(COUNT(G951:L951)&lt;6,"",ROUND((G951*Rubric!$D$5+H951*Rubric!$D$6+I951*Rubric!$D$7+J951*Rubric!$D$8+K951*Rubric!$D$9+L951*Rubric!$D$10)/5*100,1))</f>
        <v>29</v>
      </c>
      <c r="N951" s="37" t="str">
        <f aca="false">IF(OR(B951="",D951=""),"",IFERROR(IF(IF(E951="Primary",INDEX(Applications!$I$5:$I$600,MATCH(B951,Applications!$A$5:$A$600,0)),IF(E951="Secondary",INDEX(Applications!$J$5:$J$600,MATCH(B951,Applications!$A$5:$A$600,0)),INDEX(Applications!$K$5:$K$600,MATCH(B951,Applications!$A$5:$A$600,0))))=D951,"OK","Not assigned"),"Check ID"))</f>
        <v>OK</v>
      </c>
      <c r="O951" s="7"/>
    </row>
    <row r="952" customFormat="false" ht="15" hidden="false" customHeight="false" outlineLevel="0" collapsed="false">
      <c r="A952" s="35" t="s">
        <v>2349</v>
      </c>
      <c r="B952" s="35" t="s">
        <v>1109</v>
      </c>
      <c r="C952" s="37" t="str">
        <f aca="false">IF(B952="","",IFERROR(INDEX(Applications!$B$5:$B$600,MATCH(B952,Applications!$A$5:$A$600,0)),"Application ID not found"))</f>
        <v>Peoria Mobile Market</v>
      </c>
      <c r="D952" s="35" t="s">
        <v>85</v>
      </c>
      <c r="E952" s="35" t="s">
        <v>83</v>
      </c>
      <c r="F952" s="36" t="n">
        <v>45952</v>
      </c>
      <c r="G952" s="35" t="n">
        <v>4</v>
      </c>
      <c r="H952" s="35" t="n">
        <v>4</v>
      </c>
      <c r="I952" s="35" t="n">
        <v>4</v>
      </c>
      <c r="J952" s="35" t="n">
        <v>3</v>
      </c>
      <c r="K952" s="35" t="n">
        <v>4</v>
      </c>
      <c r="L952" s="35" t="n">
        <v>4</v>
      </c>
      <c r="M952" s="50" t="n">
        <f aca="false">IF(COUNT(G952:L952)&lt;6,"",ROUND((G952*Rubric!$D$5+H952*Rubric!$D$6+I952*Rubric!$D$7+J952*Rubric!$D$8+K952*Rubric!$D$9+L952*Rubric!$D$10)/5*100,1))</f>
        <v>77</v>
      </c>
      <c r="N952" s="37" t="str">
        <f aca="false">IF(OR(B952="",D952=""),"",IFERROR(IF(IF(E952="Primary",INDEX(Applications!$I$5:$I$600,MATCH(B952,Applications!$A$5:$A$600,0)),IF(E952="Secondary",INDEX(Applications!$J$5:$J$600,MATCH(B952,Applications!$A$5:$A$600,0)),INDEX(Applications!$K$5:$K$600,MATCH(B952,Applications!$A$5:$A$600,0))))=D952,"OK","Not assigned"),"Check ID"))</f>
        <v>OK</v>
      </c>
      <c r="O952" s="7"/>
    </row>
    <row r="953" customFormat="false" ht="15" hidden="false" customHeight="false" outlineLevel="0" collapsed="false">
      <c r="A953" s="35" t="s">
        <v>2350</v>
      </c>
      <c r="B953" s="35" t="s">
        <v>1173</v>
      </c>
      <c r="C953" s="37" t="str">
        <f aca="false">IF(B953="","",IFERROR(INDEX(Applications!$B$5:$B$600,MATCH(B953,Applications!$A$5:$A$600,0)),"Application ID not found"))</f>
        <v>Linden Bakery Collective</v>
      </c>
      <c r="D953" s="35" t="s">
        <v>85</v>
      </c>
      <c r="E953" s="35" t="s">
        <v>80</v>
      </c>
      <c r="F953" s="36" t="n">
        <v>45952</v>
      </c>
      <c r="G953" s="35" t="n">
        <v>2</v>
      </c>
      <c r="H953" s="35" t="n">
        <v>3</v>
      </c>
      <c r="I953" s="35" t="n">
        <v>3</v>
      </c>
      <c r="J953" s="35" t="n">
        <v>3</v>
      </c>
      <c r="K953" s="35" t="n">
        <v>4</v>
      </c>
      <c r="L953" s="35" t="n">
        <v>3</v>
      </c>
      <c r="M953" s="50" t="n">
        <f aca="false">IF(COUNT(G953:L953)&lt;6,"",ROUND((G953*Rubric!$D$5+H953*Rubric!$D$6+I953*Rubric!$D$7+J953*Rubric!$D$8+K953*Rubric!$D$9+L953*Rubric!$D$10)/5*100,1))</f>
        <v>57</v>
      </c>
      <c r="N953" s="37" t="str">
        <f aca="false">IF(OR(B953="",D953=""),"",IFERROR(IF(IF(E953="Primary",INDEX(Applications!$I$5:$I$600,MATCH(B953,Applications!$A$5:$A$600,0)),IF(E953="Secondary",INDEX(Applications!$J$5:$J$600,MATCH(B953,Applications!$A$5:$A$600,0)),INDEX(Applications!$K$5:$K$600,MATCH(B953,Applications!$A$5:$A$600,0))))=D953,"OK","Not assigned"),"Check ID"))</f>
        <v>OK</v>
      </c>
      <c r="O953" s="7"/>
    </row>
    <row r="954" customFormat="false" ht="15" hidden="false" customHeight="false" outlineLevel="0" collapsed="false">
      <c r="A954" s="35" t="s">
        <v>2351</v>
      </c>
      <c r="B954" s="35" t="s">
        <v>1141</v>
      </c>
      <c r="C954" s="37" t="str">
        <f aca="false">IF(B954="","",IFERROR(INDEX(Applications!$B$5:$B$600,MATCH(B954,Applications!$A$5:$A$600,0)),"Application ID not found"))</f>
        <v>Toronto Food Shelf</v>
      </c>
      <c r="D954" s="35" t="s">
        <v>85</v>
      </c>
      <c r="E954" s="35" t="s">
        <v>86</v>
      </c>
      <c r="F954" s="36" t="n">
        <v>45952</v>
      </c>
      <c r="G954" s="35" t="n">
        <v>3</v>
      </c>
      <c r="H954" s="35" t="n">
        <v>3</v>
      </c>
      <c r="I954" s="35" t="n">
        <v>3</v>
      </c>
      <c r="J954" s="35" t="n">
        <v>3</v>
      </c>
      <c r="K954" s="35" t="n">
        <v>4</v>
      </c>
      <c r="L954" s="35" t="n">
        <v>4</v>
      </c>
      <c r="M954" s="50" t="n">
        <f aca="false">IF(COUNT(G954:L954)&lt;6,"",ROUND((G954*Rubric!$D$5+H954*Rubric!$D$6+I954*Rubric!$D$7+J954*Rubric!$D$8+K954*Rubric!$D$9+L954*Rubric!$D$10)/5*100,1))</f>
        <v>64</v>
      </c>
      <c r="N954" s="37" t="str">
        <f aca="false">IF(OR(B954="",D954=""),"",IFERROR(IF(IF(E954="Primary",INDEX(Applications!$I$5:$I$600,MATCH(B954,Applications!$A$5:$A$600,0)),IF(E954="Secondary",INDEX(Applications!$J$5:$J$600,MATCH(B954,Applications!$A$5:$A$600,0)),INDEX(Applications!$K$5:$K$600,MATCH(B954,Applications!$A$5:$A$600,0))))=D954,"OK","Not assigned"),"Check ID"))</f>
        <v>OK</v>
      </c>
      <c r="O954" s="7"/>
    </row>
    <row r="955" customFormat="false" ht="15" hidden="false" customHeight="false" outlineLevel="0" collapsed="false">
      <c r="A955" s="35" t="s">
        <v>2352</v>
      </c>
      <c r="B955" s="35" t="s">
        <v>1291</v>
      </c>
      <c r="C955" s="37" t="str">
        <f aca="false">IF(B955="","",IFERROR(INDEX(Applications!$B$5:$B$600,MATCH(B955,Applications!$A$5:$A$600,0)),"Application ID not found"))</f>
        <v>Fairmount Family Center</v>
      </c>
      <c r="D955" s="35" t="s">
        <v>85</v>
      </c>
      <c r="E955" s="35" t="s">
        <v>86</v>
      </c>
      <c r="F955" s="36" t="n">
        <v>45952</v>
      </c>
      <c r="G955" s="35" t="n">
        <v>3</v>
      </c>
      <c r="H955" s="35" t="n">
        <v>4</v>
      </c>
      <c r="I955" s="35" t="n">
        <v>3</v>
      </c>
      <c r="J955" s="35" t="n">
        <v>3</v>
      </c>
      <c r="K955" s="35" t="n">
        <v>3</v>
      </c>
      <c r="L955" s="35" t="n">
        <v>3</v>
      </c>
      <c r="M955" s="50" t="n">
        <f aca="false">IF(COUNT(G955:L955)&lt;6,"",ROUND((G955*Rubric!$D$5+H955*Rubric!$D$6+I955*Rubric!$D$7+J955*Rubric!$D$8+K955*Rubric!$D$9+L955*Rubric!$D$10)/5*100,1))</f>
        <v>64</v>
      </c>
      <c r="N955" s="37" t="str">
        <f aca="false">IF(OR(B955="",D955=""),"",IFERROR(IF(IF(E955="Primary",INDEX(Applications!$I$5:$I$600,MATCH(B955,Applications!$A$5:$A$600,0)),IF(E955="Secondary",INDEX(Applications!$J$5:$J$600,MATCH(B955,Applications!$A$5:$A$600,0)),INDEX(Applications!$K$5:$K$600,MATCH(B955,Applications!$A$5:$A$600,0))))=D955,"OK","Not assigned"),"Check ID"))</f>
        <v>OK</v>
      </c>
      <c r="O955" s="7"/>
    </row>
    <row r="956" customFormat="false" ht="15" hidden="false" customHeight="false" outlineLevel="0" collapsed="false">
      <c r="A956" s="35" t="s">
        <v>2353</v>
      </c>
      <c r="B956" s="35" t="s">
        <v>773</v>
      </c>
      <c r="C956" s="37" t="str">
        <f aca="false">IF(B956="","",IFERROR(INDEX(Applications!$B$5:$B$600,MATCH(B956,Applications!$A$5:$A$600,0)),"Application ID not found"))</f>
        <v>Juniper Culinary Works</v>
      </c>
      <c r="D956" s="35" t="s">
        <v>85</v>
      </c>
      <c r="E956" s="35" t="s">
        <v>86</v>
      </c>
      <c r="F956" s="36" t="n">
        <v>45952</v>
      </c>
      <c r="G956" s="35" t="n">
        <v>3</v>
      </c>
      <c r="H956" s="35" t="n">
        <v>4</v>
      </c>
      <c r="I956" s="35" t="n">
        <v>3</v>
      </c>
      <c r="J956" s="35" t="n">
        <v>4</v>
      </c>
      <c r="K956" s="35" t="n">
        <v>4</v>
      </c>
      <c r="L956" s="35" t="n">
        <v>3</v>
      </c>
      <c r="M956" s="50" t="n">
        <f aca="false">IF(COUNT(G956:L956)&lt;6,"",ROUND((G956*Rubric!$D$5+H956*Rubric!$D$6+I956*Rubric!$D$7+J956*Rubric!$D$8+K956*Rubric!$D$9+L956*Rubric!$D$10)/5*100,1))</f>
        <v>69</v>
      </c>
      <c r="N956" s="37" t="str">
        <f aca="false">IF(OR(B956="",D956=""),"",IFERROR(IF(IF(E956="Primary",INDEX(Applications!$I$5:$I$600,MATCH(B956,Applications!$A$5:$A$600,0)),IF(E956="Secondary",INDEX(Applications!$J$5:$J$600,MATCH(B956,Applications!$A$5:$A$600,0)),INDEX(Applications!$K$5:$K$600,MATCH(B956,Applications!$A$5:$A$600,0))))=D956,"OK","Not assigned"),"Check ID"))</f>
        <v>OK</v>
      </c>
      <c r="O956" s="7"/>
    </row>
    <row r="957" customFormat="false" ht="15" hidden="false" customHeight="false" outlineLevel="0" collapsed="false">
      <c r="A957" s="35" t="s">
        <v>2354</v>
      </c>
      <c r="B957" s="35" t="s">
        <v>410</v>
      </c>
      <c r="C957" s="37" t="str">
        <f aca="false">IF(B957="","",IFERROR(INDEX(Applications!$B$5:$B$600,MATCH(B957,Applications!$A$5:$A$600,0)),"Application ID not found"))</f>
        <v>Stonebridge Mobile Market</v>
      </c>
      <c r="D957" s="35" t="s">
        <v>78</v>
      </c>
      <c r="E957" s="35" t="s">
        <v>83</v>
      </c>
      <c r="F957" s="36" t="n">
        <v>45953</v>
      </c>
      <c r="G957" s="35" t="n">
        <v>3</v>
      </c>
      <c r="H957" s="35" t="n">
        <v>3</v>
      </c>
      <c r="I957" s="35" t="n">
        <v>3</v>
      </c>
      <c r="J957" s="35" t="n">
        <v>2</v>
      </c>
      <c r="K957" s="35" t="n">
        <v>3</v>
      </c>
      <c r="L957" s="35" t="n">
        <v>4</v>
      </c>
      <c r="M957" s="50" t="n">
        <f aca="false">IF(COUNT(G957:L957)&lt;6,"",ROUND((G957*Rubric!$D$5+H957*Rubric!$D$6+I957*Rubric!$D$7+J957*Rubric!$D$8+K957*Rubric!$D$9+L957*Rubric!$D$10)/5*100,1))</f>
        <v>59</v>
      </c>
      <c r="N957" s="37" t="str">
        <f aca="false">IF(OR(B957="",D957=""),"",IFERROR(IF(IF(E957="Primary",INDEX(Applications!$I$5:$I$600,MATCH(B957,Applications!$A$5:$A$600,0)),IF(E957="Secondary",INDEX(Applications!$J$5:$J$600,MATCH(B957,Applications!$A$5:$A$600,0)),INDEX(Applications!$K$5:$K$600,MATCH(B957,Applications!$A$5:$A$600,0))))=D957,"OK","Not assigned"),"Check ID"))</f>
        <v>OK</v>
      </c>
      <c r="O957" s="7" t="s">
        <v>1426</v>
      </c>
    </row>
    <row r="958" customFormat="false" ht="15" hidden="false" customHeight="false" outlineLevel="0" collapsed="false">
      <c r="A958" s="35" t="s">
        <v>2355</v>
      </c>
      <c r="B958" s="35" t="s">
        <v>779</v>
      </c>
      <c r="C958" s="37" t="str">
        <f aca="false">IF(B958="","",IFERROR(INDEX(Applications!$B$5:$B$600,MATCH(B958,Applications!$A$5:$A$600,0)),"Application ID not found"))</f>
        <v>Memphis Pantry Network</v>
      </c>
      <c r="D958" s="35" t="s">
        <v>78</v>
      </c>
      <c r="E958" s="35" t="s">
        <v>83</v>
      </c>
      <c r="F958" s="36" t="n">
        <v>45953</v>
      </c>
      <c r="G958" s="35" t="n">
        <v>4</v>
      </c>
      <c r="H958" s="35" t="n">
        <v>4</v>
      </c>
      <c r="I958" s="35" t="n">
        <v>4</v>
      </c>
      <c r="J958" s="35" t="n">
        <v>4</v>
      </c>
      <c r="K958" s="35" t="n">
        <v>3</v>
      </c>
      <c r="L958" s="35" t="n">
        <v>3</v>
      </c>
      <c r="M958" s="50" t="n">
        <f aca="false">IF(COUNT(G958:L958)&lt;6,"",ROUND((G958*Rubric!$D$5+H958*Rubric!$D$6+I958*Rubric!$D$7+J958*Rubric!$D$8+K958*Rubric!$D$9+L958*Rubric!$D$10)/5*100,1))</f>
        <v>76</v>
      </c>
      <c r="N958" s="37" t="str">
        <f aca="false">IF(OR(B958="",D958=""),"",IFERROR(IF(IF(E958="Primary",INDEX(Applications!$I$5:$I$600,MATCH(B958,Applications!$A$5:$A$600,0)),IF(E958="Secondary",INDEX(Applications!$J$5:$J$600,MATCH(B958,Applications!$A$5:$A$600,0)),INDEX(Applications!$K$5:$K$600,MATCH(B958,Applications!$A$5:$A$600,0))))=D958,"OK","Not assigned"),"Check ID"))</f>
        <v>OK</v>
      </c>
      <c r="O958" s="7"/>
    </row>
    <row r="959" customFormat="false" ht="15" hidden="false" customHeight="false" outlineLevel="0" collapsed="false">
      <c r="A959" s="35" t="s">
        <v>2356</v>
      </c>
      <c r="B959" s="35" t="s">
        <v>729</v>
      </c>
      <c r="C959" s="37" t="str">
        <f aca="false">IF(B959="","",IFERROR(INDEX(Applications!$B$5:$B$600,MATCH(B959,Applications!$A$5:$A$600,0)),"Application ID not found"))</f>
        <v>Denver Mobile Market</v>
      </c>
      <c r="D959" s="35" t="s">
        <v>78</v>
      </c>
      <c r="E959" s="35" t="s">
        <v>80</v>
      </c>
      <c r="F959" s="36" t="n">
        <v>45953</v>
      </c>
      <c r="G959" s="35" t="n">
        <v>3</v>
      </c>
      <c r="H959" s="35" t="n">
        <v>3</v>
      </c>
      <c r="I959" s="35" t="n">
        <v>3</v>
      </c>
      <c r="J959" s="35" t="n">
        <v>3</v>
      </c>
      <c r="K959" s="35" t="n">
        <v>3</v>
      </c>
      <c r="L959" s="35" t="n">
        <v>3</v>
      </c>
      <c r="M959" s="50" t="n">
        <f aca="false">IF(COUNT(G959:L959)&lt;6,"",ROUND((G959*Rubric!$D$5+H959*Rubric!$D$6+I959*Rubric!$D$7+J959*Rubric!$D$8+K959*Rubric!$D$9+L959*Rubric!$D$10)/5*100,1))</f>
        <v>60</v>
      </c>
      <c r="N959" s="37" t="str">
        <f aca="false">IF(OR(B959="",D959=""),"",IFERROR(IF(IF(E959="Primary",INDEX(Applications!$I$5:$I$600,MATCH(B959,Applications!$A$5:$A$600,0)),IF(E959="Secondary",INDEX(Applications!$J$5:$J$600,MATCH(B959,Applications!$A$5:$A$600,0)),INDEX(Applications!$K$5:$K$600,MATCH(B959,Applications!$A$5:$A$600,0))))=D959,"OK","Not assigned"),"Check ID"))</f>
        <v>OK</v>
      </c>
      <c r="O959" s="7"/>
    </row>
    <row r="960" customFormat="false" ht="15" hidden="false" customHeight="false" outlineLevel="0" collapsed="false">
      <c r="A960" s="35" t="s">
        <v>2357</v>
      </c>
      <c r="B960" s="35" t="s">
        <v>585</v>
      </c>
      <c r="C960" s="37" t="str">
        <f aca="false">IF(B960="","",IFERROR(INDEX(Applications!$B$5:$B$600,MATCH(B960,Applications!$A$5:$A$600,0)),"Application ID not found"))</f>
        <v>Peoria Seed Library</v>
      </c>
      <c r="D960" s="35" t="s">
        <v>78</v>
      </c>
      <c r="E960" s="35" t="s">
        <v>83</v>
      </c>
      <c r="F960" s="36" t="n">
        <v>45953</v>
      </c>
      <c r="G960" s="35" t="n">
        <v>2</v>
      </c>
      <c r="H960" s="35" t="n">
        <v>3</v>
      </c>
      <c r="I960" s="35" t="n">
        <v>2</v>
      </c>
      <c r="J960" s="35" t="n">
        <v>2</v>
      </c>
      <c r="K960" s="35" t="n">
        <v>1</v>
      </c>
      <c r="L960" s="35" t="n">
        <v>2</v>
      </c>
      <c r="M960" s="50" t="n">
        <f aca="false">IF(COUNT(G960:L960)&lt;6,"",ROUND((G960*Rubric!$D$5+H960*Rubric!$D$6+I960*Rubric!$D$7+J960*Rubric!$D$8+K960*Rubric!$D$9+L960*Rubric!$D$10)/5*100,1))</f>
        <v>42</v>
      </c>
      <c r="N960" s="37" t="str">
        <f aca="false">IF(OR(B960="",D960=""),"",IFERROR(IF(IF(E960="Primary",INDEX(Applications!$I$5:$I$600,MATCH(B960,Applications!$A$5:$A$600,0)),IF(E960="Secondary",INDEX(Applications!$J$5:$J$600,MATCH(B960,Applications!$A$5:$A$600,0)),INDEX(Applications!$K$5:$K$600,MATCH(B960,Applications!$A$5:$A$600,0))))=D960,"OK","Not assigned"),"Check ID"))</f>
        <v>OK</v>
      </c>
      <c r="O960" s="7" t="s">
        <v>1592</v>
      </c>
    </row>
    <row r="961" customFormat="false" ht="15" hidden="false" customHeight="false" outlineLevel="0" collapsed="false">
      <c r="A961" s="35" t="s">
        <v>2358</v>
      </c>
      <c r="B961" s="35" t="s">
        <v>1229</v>
      </c>
      <c r="C961" s="37" t="str">
        <f aca="false">IF(B961="","",IFERROR(INDEX(Applications!$B$5:$B$600,MATCH(B961,Applications!$A$5:$A$600,0)),"Application ID not found"))</f>
        <v>Des Moines Market Gardens</v>
      </c>
      <c r="D961" s="35" t="s">
        <v>78</v>
      </c>
      <c r="E961" s="35" t="s">
        <v>83</v>
      </c>
      <c r="F961" s="36" t="n">
        <v>45953</v>
      </c>
      <c r="G961" s="35" t="n">
        <v>4</v>
      </c>
      <c r="H961" s="35" t="n">
        <v>3</v>
      </c>
      <c r="I961" s="35" t="n">
        <v>3</v>
      </c>
      <c r="J961" s="35" t="n">
        <v>2</v>
      </c>
      <c r="K961" s="35" t="n">
        <v>3</v>
      </c>
      <c r="L961" s="35" t="n">
        <v>3</v>
      </c>
      <c r="M961" s="50" t="n">
        <f aca="false">IF(COUNT(G961:L961)&lt;6,"",ROUND((G961*Rubric!$D$5+H961*Rubric!$D$6+I961*Rubric!$D$7+J961*Rubric!$D$8+K961*Rubric!$D$9+L961*Rubric!$D$10)/5*100,1))</f>
        <v>62</v>
      </c>
      <c r="N961" s="37" t="str">
        <f aca="false">IF(OR(B961="",D961=""),"",IFERROR(IF(IF(E961="Primary",INDEX(Applications!$I$5:$I$600,MATCH(B961,Applications!$A$5:$A$600,0)),IF(E961="Secondary",INDEX(Applications!$J$5:$J$600,MATCH(B961,Applications!$A$5:$A$600,0)),INDEX(Applications!$K$5:$K$600,MATCH(B961,Applications!$A$5:$A$600,0))))=D961,"OK","Not assigned"),"Check ID"))</f>
        <v>OK</v>
      </c>
      <c r="O961" s="7"/>
    </row>
    <row r="962" customFormat="false" ht="15" hidden="false" customHeight="false" outlineLevel="0" collapsed="false">
      <c r="A962" s="35" t="s">
        <v>2359</v>
      </c>
      <c r="B962" s="35" t="s">
        <v>1243</v>
      </c>
      <c r="C962" s="37" t="str">
        <f aca="false">IF(B962="","",IFERROR(INDEX(Applications!$B$5:$B$600,MATCH(B962,Applications!$A$5:$A$600,0)),"Application ID not found"))</f>
        <v>Cork Community Kitchen</v>
      </c>
      <c r="D962" s="35" t="s">
        <v>78</v>
      </c>
      <c r="E962" s="35" t="s">
        <v>83</v>
      </c>
      <c r="F962" s="36" t="n">
        <v>45953</v>
      </c>
      <c r="G962" s="35" t="n">
        <v>2</v>
      </c>
      <c r="H962" s="35" t="n">
        <v>3</v>
      </c>
      <c r="I962" s="35" t="n">
        <v>2</v>
      </c>
      <c r="J962" s="35" t="n">
        <v>2</v>
      </c>
      <c r="K962" s="35" t="n">
        <v>2</v>
      </c>
      <c r="L962" s="35" t="n">
        <v>2</v>
      </c>
      <c r="M962" s="50" t="n">
        <f aca="false">IF(COUNT(G962:L962)&lt;6,"",ROUND((G962*Rubric!$D$5+H962*Rubric!$D$6+I962*Rubric!$D$7+J962*Rubric!$D$8+K962*Rubric!$D$9+L962*Rubric!$D$10)/5*100,1))</f>
        <v>44</v>
      </c>
      <c r="N962" s="37" t="str">
        <f aca="false">IF(OR(B962="",D962=""),"",IFERROR(IF(IF(E962="Primary",INDEX(Applications!$I$5:$I$600,MATCH(B962,Applications!$A$5:$A$600,0)),IF(E962="Secondary",INDEX(Applications!$J$5:$J$600,MATCH(B962,Applications!$A$5:$A$600,0)),INDEX(Applications!$K$5:$K$600,MATCH(B962,Applications!$A$5:$A$600,0))))=D962,"OK","Not assigned"),"Check ID"))</f>
        <v>OK</v>
      </c>
      <c r="O962" s="7" t="s">
        <v>1402</v>
      </c>
    </row>
    <row r="963" customFormat="false" ht="15" hidden="false" customHeight="false" outlineLevel="0" collapsed="false">
      <c r="A963" s="35" t="s">
        <v>2360</v>
      </c>
      <c r="B963" s="35" t="s">
        <v>267</v>
      </c>
      <c r="C963" s="37" t="str">
        <f aca="false">IF(B963="","",IFERROR(INDEX(Applications!$B$5:$B$600,MATCH(B963,Applications!$A$5:$A$600,0)),"Application ID not found"))</f>
        <v>Commonground Farm Collective</v>
      </c>
      <c r="D963" s="35" t="s">
        <v>78</v>
      </c>
      <c r="E963" s="35" t="s">
        <v>80</v>
      </c>
      <c r="F963" s="36" t="n">
        <v>45953</v>
      </c>
      <c r="G963" s="35" t="n">
        <v>4</v>
      </c>
      <c r="H963" s="35" t="n">
        <v>4</v>
      </c>
      <c r="I963" s="35" t="n">
        <v>3</v>
      </c>
      <c r="J963" s="35" t="n">
        <v>4</v>
      </c>
      <c r="K963" s="35" t="n">
        <v>4</v>
      </c>
      <c r="L963" s="35" t="n">
        <v>4</v>
      </c>
      <c r="M963" s="50" t="n">
        <f aca="false">IF(COUNT(G963:L963)&lt;6,"",ROUND((G963*Rubric!$D$5+H963*Rubric!$D$6+I963*Rubric!$D$7+J963*Rubric!$D$8+K963*Rubric!$D$9+L963*Rubric!$D$10)/5*100,1))</f>
        <v>76</v>
      </c>
      <c r="N963" s="37" t="str">
        <f aca="false">IF(OR(B963="",D963=""),"",IFERROR(IF(IF(E963="Primary",INDEX(Applications!$I$5:$I$600,MATCH(B963,Applications!$A$5:$A$600,0)),IF(E963="Secondary",INDEX(Applications!$J$5:$J$600,MATCH(B963,Applications!$A$5:$A$600,0)),INDEX(Applications!$K$5:$K$600,MATCH(B963,Applications!$A$5:$A$600,0))))=D963,"OK","Not assigned"),"Check ID"))</f>
        <v>OK</v>
      </c>
      <c r="O963" s="7"/>
    </row>
    <row r="964" customFormat="false" ht="15" hidden="false" customHeight="false" outlineLevel="0" collapsed="false">
      <c r="A964" s="35" t="s">
        <v>2361</v>
      </c>
      <c r="B964" s="35" t="s">
        <v>212</v>
      </c>
      <c r="C964" s="37" t="str">
        <f aca="false">IF(B964="","",IFERROR(INDEX(Applications!$B$5:$B$600,MATCH(B964,Applications!$A$5:$A$600,0)),"Application ID not found"))</f>
        <v>Louisville Food Bank</v>
      </c>
      <c r="D964" s="35" t="s">
        <v>78</v>
      </c>
      <c r="E964" s="35" t="s">
        <v>83</v>
      </c>
      <c r="F964" s="36" t="n">
        <v>45953</v>
      </c>
      <c r="G964" s="35" t="n">
        <v>4</v>
      </c>
      <c r="H964" s="35" t="n">
        <v>4</v>
      </c>
      <c r="I964" s="35" t="n">
        <v>4</v>
      </c>
      <c r="J964" s="35" t="n">
        <v>4</v>
      </c>
      <c r="K964" s="35" t="n">
        <v>4</v>
      </c>
      <c r="L964" s="35" t="n">
        <v>4</v>
      </c>
      <c r="M964" s="50" t="n">
        <f aca="false">IF(COUNT(G964:L964)&lt;6,"",ROUND((G964*Rubric!$D$5+H964*Rubric!$D$6+I964*Rubric!$D$7+J964*Rubric!$D$8+K964*Rubric!$D$9+L964*Rubric!$D$10)/5*100,1))</f>
        <v>80</v>
      </c>
      <c r="N964" s="37" t="str">
        <f aca="false">IF(OR(B964="",D964=""),"",IFERROR(IF(IF(E964="Primary",INDEX(Applications!$I$5:$I$600,MATCH(B964,Applications!$A$5:$A$600,0)),IF(E964="Secondary",INDEX(Applications!$J$5:$J$600,MATCH(B964,Applications!$A$5:$A$600,0)),INDEX(Applications!$K$5:$K$600,MATCH(B964,Applications!$A$5:$A$600,0))))=D964,"OK","Not assigned"),"Check ID"))</f>
        <v>OK</v>
      </c>
      <c r="O964" s="7"/>
    </row>
    <row r="965" customFormat="false" ht="15" hidden="false" customHeight="false" outlineLevel="0" collapsed="false">
      <c r="A965" s="35" t="s">
        <v>2362</v>
      </c>
      <c r="B965" s="35" t="s">
        <v>198</v>
      </c>
      <c r="C965" s="37" t="str">
        <f aca="false">IF(B965="","",IFERROR(INDEX(Applications!$B$5:$B$600,MATCH(B965,Applications!$A$5:$A$600,0)),"Application ID not found"))</f>
        <v>Crossroads Bakery Collective</v>
      </c>
      <c r="D965" s="35" t="s">
        <v>78</v>
      </c>
      <c r="E965" s="35" t="s">
        <v>80</v>
      </c>
      <c r="F965" s="36" t="n">
        <v>45953</v>
      </c>
      <c r="G965" s="35" t="n">
        <v>4</v>
      </c>
      <c r="H965" s="35" t="n">
        <v>3</v>
      </c>
      <c r="I965" s="35" t="n">
        <v>4</v>
      </c>
      <c r="J965" s="35" t="n">
        <v>4</v>
      </c>
      <c r="K965" s="35" t="n">
        <v>5</v>
      </c>
      <c r="L965" s="35" t="n">
        <v>3</v>
      </c>
      <c r="M965" s="50" t="n">
        <f aca="false">IF(COUNT(G965:L965)&lt;6,"",ROUND((G965*Rubric!$D$5+H965*Rubric!$D$6+I965*Rubric!$D$7+J965*Rubric!$D$8+K965*Rubric!$D$9+L965*Rubric!$D$10)/5*100,1))</f>
        <v>76</v>
      </c>
      <c r="N965" s="37" t="str">
        <f aca="false">IF(OR(B965="",D965=""),"",IFERROR(IF(IF(E965="Primary",INDEX(Applications!$I$5:$I$600,MATCH(B965,Applications!$A$5:$A$600,0)),IF(E965="Secondary",INDEX(Applications!$J$5:$J$600,MATCH(B965,Applications!$A$5:$A$600,0)),INDEX(Applications!$K$5:$K$600,MATCH(B965,Applications!$A$5:$A$600,0))))=D965,"OK","Not assigned"),"Check ID"))</f>
        <v>OK</v>
      </c>
      <c r="O965" s="7"/>
    </row>
    <row r="966" customFormat="false" ht="15" hidden="false" customHeight="false" outlineLevel="0" collapsed="false">
      <c r="A966" s="35" t="s">
        <v>2363</v>
      </c>
      <c r="B966" s="35" t="s">
        <v>719</v>
      </c>
      <c r="C966" s="37" t="str">
        <f aca="false">IF(B966="","",IFERROR(INDEX(Applications!$B$5:$B$600,MATCH(B966,Applications!$A$5:$A$600,0)),"Application ID not found"))</f>
        <v>Fresno Food Shelf</v>
      </c>
      <c r="D966" s="35" t="s">
        <v>78</v>
      </c>
      <c r="E966" s="35" t="s">
        <v>80</v>
      </c>
      <c r="F966" s="36" t="n">
        <v>45953</v>
      </c>
      <c r="G966" s="35" t="n">
        <v>4</v>
      </c>
      <c r="H966" s="35" t="n">
        <v>4</v>
      </c>
      <c r="I966" s="35" t="n">
        <v>5</v>
      </c>
      <c r="J966" s="35" t="n">
        <v>5</v>
      </c>
      <c r="K966" s="35" t="n">
        <v>4</v>
      </c>
      <c r="L966" s="35" t="n">
        <v>4</v>
      </c>
      <c r="M966" s="50" t="n">
        <f aca="false">IF(COUNT(G966:L966)&lt;6,"",ROUND((G966*Rubric!$D$5+H966*Rubric!$D$6+I966*Rubric!$D$7+J966*Rubric!$D$8+K966*Rubric!$D$9+L966*Rubric!$D$10)/5*100,1))</f>
        <v>87</v>
      </c>
      <c r="N966" s="37" t="str">
        <f aca="false">IF(OR(B966="",D966=""),"",IFERROR(IF(IF(E966="Primary",INDEX(Applications!$I$5:$I$600,MATCH(B966,Applications!$A$5:$A$600,0)),IF(E966="Secondary",INDEX(Applications!$J$5:$J$600,MATCH(B966,Applications!$A$5:$A$600,0)),INDEX(Applications!$K$5:$K$600,MATCH(B966,Applications!$A$5:$A$600,0))))=D966,"OK","Not assigned"),"Check ID"))</f>
        <v>OK</v>
      </c>
      <c r="O966" s="7"/>
    </row>
    <row r="967" customFormat="false" ht="15" hidden="false" customHeight="false" outlineLevel="0" collapsed="false">
      <c r="A967" s="35" t="s">
        <v>2364</v>
      </c>
      <c r="B967" s="35" t="s">
        <v>683</v>
      </c>
      <c r="C967" s="37" t="str">
        <f aca="false">IF(B967="","",IFERROR(INDEX(Applications!$B$5:$B$600,MATCH(B967,Applications!$A$5:$A$600,0)),"Application ID not found"))</f>
        <v>Good Neighbor Market Gardens</v>
      </c>
      <c r="D967" s="35" t="s">
        <v>78</v>
      </c>
      <c r="E967" s="35" t="s">
        <v>80</v>
      </c>
      <c r="F967" s="36" t="n">
        <v>45953</v>
      </c>
      <c r="G967" s="35" t="n">
        <v>3</v>
      </c>
      <c r="H967" s="35" t="n">
        <v>4</v>
      </c>
      <c r="I967" s="35" t="n">
        <v>4</v>
      </c>
      <c r="J967" s="35" t="n">
        <v>4</v>
      </c>
      <c r="K967" s="35" t="n">
        <v>3</v>
      </c>
      <c r="L967" s="35" t="n">
        <v>4</v>
      </c>
      <c r="M967" s="50" t="n">
        <f aca="false">IF(COUNT(G967:L967)&lt;6,"",ROUND((G967*Rubric!$D$5+H967*Rubric!$D$6+I967*Rubric!$D$7+J967*Rubric!$D$8+K967*Rubric!$D$9+L967*Rubric!$D$10)/5*100,1))</f>
        <v>73</v>
      </c>
      <c r="N967" s="37" t="str">
        <f aca="false">IF(OR(B967="",D967=""),"",IFERROR(IF(IF(E967="Primary",INDEX(Applications!$I$5:$I$600,MATCH(B967,Applications!$A$5:$A$600,0)),IF(E967="Secondary",INDEX(Applications!$J$5:$J$600,MATCH(B967,Applications!$A$5:$A$600,0)),INDEX(Applications!$K$5:$K$600,MATCH(B967,Applications!$A$5:$A$600,0))))=D967,"OK","Not assigned"),"Check ID"))</f>
        <v>OK</v>
      </c>
      <c r="O967" s="7"/>
    </row>
    <row r="968" customFormat="false" ht="15" hidden="false" customHeight="false" outlineLevel="0" collapsed="false">
      <c r="A968" s="35" t="s">
        <v>2365</v>
      </c>
      <c r="B968" s="35" t="s">
        <v>849</v>
      </c>
      <c r="C968" s="37" t="str">
        <f aca="false">IF(B968="","",IFERROR(INDEX(Applications!$B$5:$B$600,MATCH(B968,Applications!$A$5:$A$600,0)),"Application ID not found"))</f>
        <v>Bridgeview Farm School</v>
      </c>
      <c r="D968" s="35" t="s">
        <v>78</v>
      </c>
      <c r="E968" s="35" t="s">
        <v>83</v>
      </c>
      <c r="F968" s="36" t="n">
        <v>45953</v>
      </c>
      <c r="G968" s="35" t="n">
        <v>1</v>
      </c>
      <c r="H968" s="35" t="n">
        <v>1</v>
      </c>
      <c r="I968" s="35" t="n">
        <v>1</v>
      </c>
      <c r="J968" s="35" t="n">
        <v>1</v>
      </c>
      <c r="K968" s="35" t="n">
        <v>1</v>
      </c>
      <c r="L968" s="35" t="n">
        <v>2</v>
      </c>
      <c r="M968" s="50" t="n">
        <f aca="false">IF(COUNT(G968:L968)&lt;6,"",ROUND((G968*Rubric!$D$5+H968*Rubric!$D$6+I968*Rubric!$D$7+J968*Rubric!$D$8+K968*Rubric!$D$9+L968*Rubric!$D$10)/5*100,1))</f>
        <v>22</v>
      </c>
      <c r="N968" s="37" t="str">
        <f aca="false">IF(OR(B968="",D968=""),"",IFERROR(IF(IF(E968="Primary",INDEX(Applications!$I$5:$I$600,MATCH(B968,Applications!$A$5:$A$600,0)),IF(E968="Secondary",INDEX(Applications!$J$5:$J$600,MATCH(B968,Applications!$A$5:$A$600,0)),INDEX(Applications!$K$5:$K$600,MATCH(B968,Applications!$A$5:$A$600,0))))=D968,"OK","Not assigned"),"Check ID"))</f>
        <v>OK</v>
      </c>
      <c r="O968" s="7"/>
    </row>
    <row r="969" customFormat="false" ht="15" hidden="false" customHeight="false" outlineLevel="0" collapsed="false">
      <c r="A969" s="35" t="s">
        <v>2366</v>
      </c>
      <c r="B969" s="35" t="s">
        <v>1213</v>
      </c>
      <c r="C969" s="37" t="str">
        <f aca="false">IF(B969="","",IFERROR(INDEX(Applications!$B$5:$B$600,MATCH(B969,Applications!$A$5:$A$600,0)),"Application ID not found"))</f>
        <v>Harbor Community Kitchen</v>
      </c>
      <c r="D969" s="35" t="s">
        <v>78</v>
      </c>
      <c r="E969" s="35" t="s">
        <v>80</v>
      </c>
      <c r="F969" s="36" t="n">
        <v>45953</v>
      </c>
      <c r="G969" s="35" t="n">
        <v>5</v>
      </c>
      <c r="H969" s="35" t="n">
        <v>4</v>
      </c>
      <c r="I969" s="35" t="n">
        <v>4</v>
      </c>
      <c r="J969" s="35" t="n">
        <v>4</v>
      </c>
      <c r="K969" s="35" t="n">
        <v>5</v>
      </c>
      <c r="L969" s="35" t="n">
        <v>4</v>
      </c>
      <c r="M969" s="50" t="n">
        <f aca="false">IF(COUNT(G969:L969)&lt;6,"",ROUND((G969*Rubric!$D$5+H969*Rubric!$D$6+I969*Rubric!$D$7+J969*Rubric!$D$8+K969*Rubric!$D$9+L969*Rubric!$D$10)/5*100,1))</f>
        <v>87</v>
      </c>
      <c r="N969" s="37" t="str">
        <f aca="false">IF(OR(B969="",D969=""),"",IFERROR(IF(IF(E969="Primary",INDEX(Applications!$I$5:$I$600,MATCH(B969,Applications!$A$5:$A$600,0)),IF(E969="Secondary",INDEX(Applications!$J$5:$J$600,MATCH(B969,Applications!$A$5:$A$600,0)),INDEX(Applications!$K$5:$K$600,MATCH(B969,Applications!$A$5:$A$600,0))))=D969,"OK","Not assigned"),"Check ID"))</f>
        <v>OK</v>
      </c>
      <c r="O969" s="7"/>
    </row>
    <row r="970" customFormat="false" ht="15" hidden="false" customHeight="false" outlineLevel="0" collapsed="false">
      <c r="A970" s="35" t="s">
        <v>2367</v>
      </c>
      <c r="B970" s="35" t="s">
        <v>256</v>
      </c>
      <c r="C970" s="37" t="str">
        <f aca="false">IF(B970="","",IFERROR(INDEX(Applications!$B$5:$B$600,MATCH(B970,Applications!$A$5:$A$600,0)),"Application ID not found"))</f>
        <v>Lakeshore Food Bank</v>
      </c>
      <c r="D970" s="35" t="s">
        <v>78</v>
      </c>
      <c r="E970" s="35" t="s">
        <v>83</v>
      </c>
      <c r="F970" s="36" t="n">
        <v>45953</v>
      </c>
      <c r="G970" s="35" t="n">
        <v>3</v>
      </c>
      <c r="H970" s="35" t="n">
        <v>4</v>
      </c>
      <c r="I970" s="35" t="n">
        <v>3</v>
      </c>
      <c r="J970" s="35" t="n">
        <v>3</v>
      </c>
      <c r="K970" s="35" t="n">
        <v>4</v>
      </c>
      <c r="L970" s="35" t="n">
        <v>4</v>
      </c>
      <c r="M970" s="50" t="n">
        <f aca="false">IF(COUNT(G970:L970)&lt;6,"",ROUND((G970*Rubric!$D$5+H970*Rubric!$D$6+I970*Rubric!$D$7+J970*Rubric!$D$8+K970*Rubric!$D$9+L970*Rubric!$D$10)/5*100,1))</f>
        <v>68</v>
      </c>
      <c r="N970" s="37" t="str">
        <f aca="false">IF(OR(B970="",D970=""),"",IFERROR(IF(IF(E970="Primary",INDEX(Applications!$I$5:$I$600,MATCH(B970,Applications!$A$5:$A$600,0)),IF(E970="Secondary",INDEX(Applications!$J$5:$J$600,MATCH(B970,Applications!$A$5:$A$600,0)),INDEX(Applications!$K$5:$K$600,MATCH(B970,Applications!$A$5:$A$600,0))))=D970,"OK","Not assigned"),"Check ID"))</f>
        <v>OK</v>
      </c>
      <c r="O970" s="7"/>
    </row>
    <row r="971" customFormat="false" ht="15" hidden="false" customHeight="false" outlineLevel="0" collapsed="false">
      <c r="A971" s="35" t="s">
        <v>2368</v>
      </c>
      <c r="B971" s="35" t="s">
        <v>448</v>
      </c>
      <c r="C971" s="37" t="str">
        <f aca="false">IF(B971="","",IFERROR(INDEX(Applications!$B$5:$B$600,MATCH(B971,Applications!$A$5:$A$600,0)),"Application ID not found"))</f>
        <v>Glasgow Community Pantry</v>
      </c>
      <c r="D971" s="35" t="s">
        <v>78</v>
      </c>
      <c r="E971" s="35" t="s">
        <v>80</v>
      </c>
      <c r="F971" s="36" t="n">
        <v>45953</v>
      </c>
      <c r="G971" s="35" t="n">
        <v>4</v>
      </c>
      <c r="H971" s="35" t="n">
        <v>3</v>
      </c>
      <c r="I971" s="35" t="n">
        <v>3</v>
      </c>
      <c r="J971" s="35" t="n">
        <v>4</v>
      </c>
      <c r="K971" s="35" t="n">
        <v>4</v>
      </c>
      <c r="L971" s="35" t="n">
        <v>3</v>
      </c>
      <c r="M971" s="50" t="n">
        <f aca="false">IF(COUNT(G971:L971)&lt;6,"",ROUND((G971*Rubric!$D$5+H971*Rubric!$D$6+I971*Rubric!$D$7+J971*Rubric!$D$8+K971*Rubric!$D$9+L971*Rubric!$D$10)/5*100,1))</f>
        <v>70</v>
      </c>
      <c r="N971" s="37" t="str">
        <f aca="false">IF(OR(B971="",D971=""),"",IFERROR(IF(IF(E971="Primary",INDEX(Applications!$I$5:$I$600,MATCH(B971,Applications!$A$5:$A$600,0)),IF(E971="Secondary",INDEX(Applications!$J$5:$J$600,MATCH(B971,Applications!$A$5:$A$600,0)),INDEX(Applications!$K$5:$K$600,MATCH(B971,Applications!$A$5:$A$600,0))))=D971,"OK","Not assigned"),"Check ID"))</f>
        <v>OK</v>
      </c>
      <c r="O971" s="7"/>
    </row>
    <row r="972" customFormat="false" ht="15" hidden="false" customHeight="false" outlineLevel="0" collapsed="false">
      <c r="A972" s="35" t="s">
        <v>2369</v>
      </c>
      <c r="B972" s="35" t="s">
        <v>223</v>
      </c>
      <c r="C972" s="37" t="str">
        <f aca="false">IF(B972="","",IFERROR(INDEX(Applications!$B$5:$B$600,MATCH(B972,Applications!$A$5:$A$600,0)),"Application ID not found"))</f>
        <v>Cardiff Market Gardens</v>
      </c>
      <c r="D972" s="35" t="s">
        <v>78</v>
      </c>
      <c r="E972" s="35" t="s">
        <v>86</v>
      </c>
      <c r="F972" s="36" t="n">
        <v>45953</v>
      </c>
      <c r="G972" s="35" t="n">
        <v>3</v>
      </c>
      <c r="H972" s="35" t="n">
        <v>3</v>
      </c>
      <c r="I972" s="35" t="n">
        <v>3</v>
      </c>
      <c r="J972" s="35" t="n">
        <v>3</v>
      </c>
      <c r="K972" s="35" t="n">
        <v>2</v>
      </c>
      <c r="L972" s="35" t="n">
        <v>2</v>
      </c>
      <c r="M972" s="50" t="n">
        <f aca="false">IF(COUNT(G972:L972)&lt;6,"",ROUND((G972*Rubric!$D$5+H972*Rubric!$D$6+I972*Rubric!$D$7+J972*Rubric!$D$8+K972*Rubric!$D$9+L972*Rubric!$D$10)/5*100,1))</f>
        <v>56</v>
      </c>
      <c r="N972" s="37" t="str">
        <f aca="false">IF(OR(B972="",D972=""),"",IFERROR(IF(IF(E972="Primary",INDEX(Applications!$I$5:$I$600,MATCH(B972,Applications!$A$5:$A$600,0)),IF(E972="Secondary",INDEX(Applications!$J$5:$J$600,MATCH(B972,Applications!$A$5:$A$600,0)),INDEX(Applications!$K$5:$K$600,MATCH(B972,Applications!$A$5:$A$600,0))))=D972,"OK","Not assigned"),"Check ID"))</f>
        <v>OK</v>
      </c>
      <c r="O972" s="7"/>
    </row>
    <row r="973" customFormat="false" ht="15" hidden="false" customHeight="false" outlineLevel="0" collapsed="false">
      <c r="A973" s="35" t="s">
        <v>2370</v>
      </c>
      <c r="B973" s="35" t="s">
        <v>1167</v>
      </c>
      <c r="C973" s="37" t="str">
        <f aca="false">IF(B973="","",IFERROR(INDEX(Applications!$B$5:$B$600,MATCH(B973,Applications!$A$5:$A$600,0)),"Application ID not found"))</f>
        <v>Medellín Culinary Works</v>
      </c>
      <c r="D973" s="35" t="s">
        <v>82</v>
      </c>
      <c r="E973" s="35" t="s">
        <v>83</v>
      </c>
      <c r="F973" s="36" t="n">
        <v>45953</v>
      </c>
      <c r="G973" s="35" t="n">
        <v>3</v>
      </c>
      <c r="H973" s="35" t="n">
        <v>3</v>
      </c>
      <c r="I973" s="35" t="n">
        <v>3</v>
      </c>
      <c r="J973" s="35" t="n">
        <v>3</v>
      </c>
      <c r="K973" s="35" t="n">
        <v>3</v>
      </c>
      <c r="L973" s="35" t="n">
        <v>4</v>
      </c>
      <c r="M973" s="50" t="n">
        <f aca="false">IF(COUNT(G973:L973)&lt;6,"",ROUND((G973*Rubric!$D$5+H973*Rubric!$D$6+I973*Rubric!$D$7+J973*Rubric!$D$8+K973*Rubric!$D$9+L973*Rubric!$D$10)/5*100,1))</f>
        <v>62</v>
      </c>
      <c r="N973" s="37" t="str">
        <f aca="false">IF(OR(B973="",D973=""),"",IFERROR(IF(IF(E973="Primary",INDEX(Applications!$I$5:$I$600,MATCH(B973,Applications!$A$5:$A$600,0)),IF(E973="Secondary",INDEX(Applications!$J$5:$J$600,MATCH(B973,Applications!$A$5:$A$600,0)),INDEX(Applications!$K$5:$K$600,MATCH(B973,Applications!$A$5:$A$600,0))))=D973,"OK","Not assigned"),"Check ID"))</f>
        <v>OK</v>
      </c>
      <c r="O973" s="7"/>
    </row>
    <row r="974" customFormat="false" ht="15" hidden="false" customHeight="false" outlineLevel="0" collapsed="false">
      <c r="A974" s="35" t="s">
        <v>2371</v>
      </c>
      <c r="B974" s="35" t="s">
        <v>719</v>
      </c>
      <c r="C974" s="37" t="str">
        <f aca="false">IF(B974="","",IFERROR(INDEX(Applications!$B$5:$B$600,MATCH(B974,Applications!$A$5:$A$600,0)),"Application ID not found"))</f>
        <v>Fresno Food Shelf</v>
      </c>
      <c r="D974" s="35" t="s">
        <v>82</v>
      </c>
      <c r="E974" s="35" t="s">
        <v>83</v>
      </c>
      <c r="F974" s="36" t="n">
        <v>45953</v>
      </c>
      <c r="G974" s="35" t="n">
        <v>3</v>
      </c>
      <c r="H974" s="35" t="n">
        <v>3</v>
      </c>
      <c r="I974" s="35" t="n">
        <v>2</v>
      </c>
      <c r="J974" s="35" t="n">
        <v>3</v>
      </c>
      <c r="K974" s="35" t="n">
        <v>3</v>
      </c>
      <c r="L974" s="35" t="n">
        <v>3</v>
      </c>
      <c r="M974" s="50" t="n">
        <f aca="false">IF(COUNT(G974:L974)&lt;6,"",ROUND((G974*Rubric!$D$5+H974*Rubric!$D$6+I974*Rubric!$D$7+J974*Rubric!$D$8+K974*Rubric!$D$9+L974*Rubric!$D$10)/5*100,1))</f>
        <v>56</v>
      </c>
      <c r="N974" s="37" t="str">
        <f aca="false">IF(OR(B974="",D974=""),"",IFERROR(IF(IF(E974="Primary",INDEX(Applications!$I$5:$I$600,MATCH(B974,Applications!$A$5:$A$600,0)),IF(E974="Secondary",INDEX(Applications!$J$5:$J$600,MATCH(B974,Applications!$A$5:$A$600,0)),INDEX(Applications!$K$5:$K$600,MATCH(B974,Applications!$A$5:$A$600,0))))=D974,"OK","Not assigned"),"Check ID"))</f>
        <v>OK</v>
      </c>
      <c r="O974" s="7"/>
    </row>
    <row r="975" customFormat="false" ht="15" hidden="false" customHeight="false" outlineLevel="0" collapsed="false">
      <c r="A975" s="35" t="s">
        <v>2372</v>
      </c>
      <c r="B975" s="35" t="s">
        <v>957</v>
      </c>
      <c r="C975" s="37" t="str">
        <f aca="false">IF(B975="","",IFERROR(INDEX(Applications!$B$5:$B$600,MATCH(B975,Applications!$A$5:$A$600,0)),"Application ID not found"))</f>
        <v>Mill Creek Community Pantry</v>
      </c>
      <c r="D975" s="35" t="s">
        <v>82</v>
      </c>
      <c r="E975" s="35" t="s">
        <v>80</v>
      </c>
      <c r="F975" s="36" t="n">
        <v>45953</v>
      </c>
      <c r="G975" s="35" t="n">
        <v>3</v>
      </c>
      <c r="H975" s="35" t="n">
        <v>3</v>
      </c>
      <c r="I975" s="35" t="n">
        <v>3</v>
      </c>
      <c r="J975" s="35" t="n">
        <v>4</v>
      </c>
      <c r="K975" s="35" t="n">
        <v>3</v>
      </c>
      <c r="L975" s="35" t="n">
        <v>3</v>
      </c>
      <c r="M975" s="50" t="n">
        <f aca="false">IF(COUNT(G975:L975)&lt;6,"",ROUND((G975*Rubric!$D$5+H975*Rubric!$D$6+I975*Rubric!$D$7+J975*Rubric!$D$8+K975*Rubric!$D$9+L975*Rubric!$D$10)/5*100,1))</f>
        <v>63</v>
      </c>
      <c r="N975" s="37" t="str">
        <f aca="false">IF(OR(B975="",D975=""),"",IFERROR(IF(IF(E975="Primary",INDEX(Applications!$I$5:$I$600,MATCH(B975,Applications!$A$5:$A$600,0)),IF(E975="Secondary",INDEX(Applications!$J$5:$J$600,MATCH(B975,Applications!$A$5:$A$600,0)),INDEX(Applications!$K$5:$K$600,MATCH(B975,Applications!$A$5:$A$600,0))))=D975,"OK","Not assigned"),"Check ID"))</f>
        <v>OK</v>
      </c>
      <c r="O975" s="7"/>
    </row>
    <row r="976" customFormat="false" ht="15" hidden="false" customHeight="false" outlineLevel="0" collapsed="false">
      <c r="A976" s="35" t="s">
        <v>2373</v>
      </c>
      <c r="B976" s="35" t="s">
        <v>294</v>
      </c>
      <c r="C976" s="37" t="str">
        <f aca="false">IF(B976="","",IFERROR(INDEX(Applications!$B$5:$B$600,MATCH(B976,Applications!$A$5:$A$600,0)),"Application ID not found"))</f>
        <v>Winnipeg Mobile Market</v>
      </c>
      <c r="D976" s="35" t="s">
        <v>82</v>
      </c>
      <c r="E976" s="35" t="s">
        <v>83</v>
      </c>
      <c r="F976" s="36" t="n">
        <v>45953</v>
      </c>
      <c r="G976" s="35" t="n">
        <v>3</v>
      </c>
      <c r="H976" s="35" t="n">
        <v>3</v>
      </c>
      <c r="I976" s="35" t="n">
        <v>3</v>
      </c>
      <c r="J976" s="35" t="n">
        <v>3</v>
      </c>
      <c r="K976" s="35" t="n">
        <v>4</v>
      </c>
      <c r="L976" s="35" t="n">
        <v>3</v>
      </c>
      <c r="M976" s="50" t="n">
        <f aca="false">IF(COUNT(G976:L976)&lt;6,"",ROUND((G976*Rubric!$D$5+H976*Rubric!$D$6+I976*Rubric!$D$7+J976*Rubric!$D$8+K976*Rubric!$D$9+L976*Rubric!$D$10)/5*100,1))</f>
        <v>62</v>
      </c>
      <c r="N976" s="37" t="str">
        <f aca="false">IF(OR(B976="",D976=""),"",IFERROR(IF(IF(E976="Primary",INDEX(Applications!$I$5:$I$600,MATCH(B976,Applications!$A$5:$A$600,0)),IF(E976="Secondary",INDEX(Applications!$J$5:$J$600,MATCH(B976,Applications!$A$5:$A$600,0)),INDEX(Applications!$K$5:$K$600,MATCH(B976,Applications!$A$5:$A$600,0))))=D976,"OK","Not assigned"),"Check ID"))</f>
        <v>OK</v>
      </c>
      <c r="O976" s="7"/>
    </row>
    <row r="977" customFormat="false" ht="15" hidden="false" customHeight="false" outlineLevel="0" collapsed="false">
      <c r="A977" s="35" t="s">
        <v>2374</v>
      </c>
      <c r="B977" s="35" t="s">
        <v>743</v>
      </c>
      <c r="C977" s="37" t="str">
        <f aca="false">IF(B977="","",IFERROR(INDEX(Applications!$B$5:$B$600,MATCH(B977,Applications!$A$5:$A$600,0)),"Application ID not found"))</f>
        <v>Stonebridge Schools Nutrition Fund</v>
      </c>
      <c r="D977" s="35" t="s">
        <v>82</v>
      </c>
      <c r="E977" s="35" t="s">
        <v>83</v>
      </c>
      <c r="F977" s="36" t="n">
        <v>45953</v>
      </c>
      <c r="G977" s="35" t="n">
        <v>4</v>
      </c>
      <c r="H977" s="35" t="n">
        <v>4</v>
      </c>
      <c r="I977" s="35" t="n">
        <v>3</v>
      </c>
      <c r="J977" s="35" t="n">
        <v>4</v>
      </c>
      <c r="K977" s="35" t="n">
        <v>4</v>
      </c>
      <c r="L977" s="35" t="n">
        <v>4</v>
      </c>
      <c r="M977" s="50" t="n">
        <f aca="false">IF(COUNT(G977:L977)&lt;6,"",ROUND((G977*Rubric!$D$5+H977*Rubric!$D$6+I977*Rubric!$D$7+J977*Rubric!$D$8+K977*Rubric!$D$9+L977*Rubric!$D$10)/5*100,1))</f>
        <v>76</v>
      </c>
      <c r="N977" s="37" t="str">
        <f aca="false">IF(OR(B977="",D977=""),"",IFERROR(IF(IF(E977="Primary",INDEX(Applications!$I$5:$I$600,MATCH(B977,Applications!$A$5:$A$600,0)),IF(E977="Secondary",INDEX(Applications!$J$5:$J$600,MATCH(B977,Applications!$A$5:$A$600,0)),INDEX(Applications!$K$5:$K$600,MATCH(B977,Applications!$A$5:$A$600,0))))=D977,"OK","Not assigned"),"Check ID"))</f>
        <v>OK</v>
      </c>
      <c r="O977" s="7"/>
    </row>
    <row r="978" customFormat="false" ht="15" hidden="false" customHeight="false" outlineLevel="0" collapsed="false">
      <c r="A978" s="35" t="s">
        <v>2375</v>
      </c>
      <c r="B978" s="35" t="s">
        <v>759</v>
      </c>
      <c r="C978" s="37" t="str">
        <f aca="false">IF(B978="","",IFERROR(INDEX(Applications!$B$5:$B$600,MATCH(B978,Applications!$A$5:$A$600,0)),"Application ID not found"))</f>
        <v>Tucson Pantry Network</v>
      </c>
      <c r="D978" s="35" t="s">
        <v>82</v>
      </c>
      <c r="E978" s="35" t="s">
        <v>83</v>
      </c>
      <c r="F978" s="36" t="n">
        <v>45953</v>
      </c>
      <c r="G978" s="35" t="n">
        <v>3</v>
      </c>
      <c r="H978" s="35" t="n">
        <v>3</v>
      </c>
      <c r="I978" s="35" t="n">
        <v>3</v>
      </c>
      <c r="J978" s="35" t="n">
        <v>2</v>
      </c>
      <c r="K978" s="35" t="n">
        <v>3</v>
      </c>
      <c r="L978" s="35" t="n">
        <v>3</v>
      </c>
      <c r="M978" s="50" t="n">
        <f aca="false">IF(COUNT(G978:L978)&lt;6,"",ROUND((G978*Rubric!$D$5+H978*Rubric!$D$6+I978*Rubric!$D$7+J978*Rubric!$D$8+K978*Rubric!$D$9+L978*Rubric!$D$10)/5*100,1))</f>
        <v>57</v>
      </c>
      <c r="N978" s="37" t="str">
        <f aca="false">IF(OR(B978="",D978=""),"",IFERROR(IF(IF(E978="Primary",INDEX(Applications!$I$5:$I$600,MATCH(B978,Applications!$A$5:$A$600,0)),IF(E978="Secondary",INDEX(Applications!$J$5:$J$600,MATCH(B978,Applications!$A$5:$A$600,0)),INDEX(Applications!$K$5:$K$600,MATCH(B978,Applications!$A$5:$A$600,0))))=D978,"OK","Not assigned"),"Check ID"))</f>
        <v>OK</v>
      </c>
      <c r="O978" s="7"/>
    </row>
    <row r="979" customFormat="false" ht="15" hidden="false" customHeight="false" outlineLevel="0" collapsed="false">
      <c r="A979" s="35" t="s">
        <v>2376</v>
      </c>
      <c r="B979" s="35" t="s">
        <v>1313</v>
      </c>
      <c r="C979" s="37" t="str">
        <f aca="false">IF(B979="","",IFERROR(INDEX(Applications!$B$5:$B$600,MATCH(B979,Applications!$A$5:$A$600,0)),"Application ID not found"))</f>
        <v>Salvador Community Kitchen</v>
      </c>
      <c r="D979" s="35" t="s">
        <v>82</v>
      </c>
      <c r="E979" s="35" t="s">
        <v>80</v>
      </c>
      <c r="F979" s="36" t="n">
        <v>45953</v>
      </c>
      <c r="G979" s="35" t="n">
        <v>4</v>
      </c>
      <c r="H979" s="35" t="n">
        <v>3</v>
      </c>
      <c r="I979" s="35" t="n">
        <v>3</v>
      </c>
      <c r="J979" s="35" t="n">
        <v>4</v>
      </c>
      <c r="K979" s="35" t="n">
        <v>3</v>
      </c>
      <c r="L979" s="35" t="n">
        <v>4</v>
      </c>
      <c r="M979" s="50" t="n">
        <f aca="false">IF(COUNT(G979:L979)&lt;6,"",ROUND((G979*Rubric!$D$5+H979*Rubric!$D$6+I979*Rubric!$D$7+J979*Rubric!$D$8+K979*Rubric!$D$9+L979*Rubric!$D$10)/5*100,1))</f>
        <v>70</v>
      </c>
      <c r="N979" s="37" t="str">
        <f aca="false">IF(OR(B979="",D979=""),"",IFERROR(IF(IF(E979="Primary",INDEX(Applications!$I$5:$I$600,MATCH(B979,Applications!$A$5:$A$600,0)),IF(E979="Secondary",INDEX(Applications!$J$5:$J$600,MATCH(B979,Applications!$A$5:$A$600,0)),INDEX(Applications!$K$5:$K$600,MATCH(B979,Applications!$A$5:$A$600,0))))=D979,"OK","Not assigned"),"Check ID"))</f>
        <v>OK</v>
      </c>
      <c r="O979" s="7"/>
    </row>
    <row r="980" customFormat="false" ht="15" hidden="false" customHeight="false" outlineLevel="0" collapsed="false">
      <c r="A980" s="35" t="s">
        <v>2377</v>
      </c>
      <c r="B980" s="35" t="s">
        <v>1049</v>
      </c>
      <c r="C980" s="37" t="str">
        <f aca="false">IF(B980="","",IFERROR(INDEX(Applications!$B$5:$B$600,MATCH(B980,Applications!$A$5:$A$600,0)),"Application ID not found"))</f>
        <v>Good Neighbor Community Pantry</v>
      </c>
      <c r="D980" s="35" t="s">
        <v>82</v>
      </c>
      <c r="E980" s="35" t="s">
        <v>83</v>
      </c>
      <c r="F980" s="36" t="n">
        <v>45953</v>
      </c>
      <c r="G980" s="35" t="n">
        <v>4</v>
      </c>
      <c r="H980" s="35" t="n">
        <v>4</v>
      </c>
      <c r="I980" s="35" t="n">
        <v>4</v>
      </c>
      <c r="J980" s="35" t="n">
        <v>3</v>
      </c>
      <c r="K980" s="35" t="n">
        <v>4</v>
      </c>
      <c r="L980" s="35" t="n">
        <v>4</v>
      </c>
      <c r="M980" s="50" t="n">
        <f aca="false">IF(COUNT(G980:L980)&lt;6,"",ROUND((G980*Rubric!$D$5+H980*Rubric!$D$6+I980*Rubric!$D$7+J980*Rubric!$D$8+K980*Rubric!$D$9+L980*Rubric!$D$10)/5*100,1))</f>
        <v>77</v>
      </c>
      <c r="N980" s="37" t="str">
        <f aca="false">IF(OR(B980="",D980=""),"",IFERROR(IF(IF(E980="Primary",INDEX(Applications!$I$5:$I$600,MATCH(B980,Applications!$A$5:$A$600,0)),IF(E980="Secondary",INDEX(Applications!$J$5:$J$600,MATCH(B980,Applications!$A$5:$A$600,0)),INDEX(Applications!$K$5:$K$600,MATCH(B980,Applications!$A$5:$A$600,0))))=D980,"OK","Not assigned"),"Check ID"))</f>
        <v>OK</v>
      </c>
      <c r="O980" s="7"/>
    </row>
    <row r="981" customFormat="false" ht="15" hidden="false" customHeight="false" outlineLevel="0" collapsed="false">
      <c r="A981" s="35" t="s">
        <v>2378</v>
      </c>
      <c r="B981" s="35" t="s">
        <v>577</v>
      </c>
      <c r="C981" s="37" t="str">
        <f aca="false">IF(B981="","",IFERROR(INDEX(Applications!$B$5:$B$600,MATCH(B981,Applications!$A$5:$A$600,0)),"Application ID not found"))</f>
        <v>Fairmount Schools Nutrition Fund</v>
      </c>
      <c r="D981" s="35" t="s">
        <v>82</v>
      </c>
      <c r="E981" s="35" t="s">
        <v>80</v>
      </c>
      <c r="F981" s="36" t="n">
        <v>45953</v>
      </c>
      <c r="G981" s="35" t="n">
        <v>4</v>
      </c>
      <c r="H981" s="35" t="n">
        <v>4</v>
      </c>
      <c r="I981" s="35" t="n">
        <v>4</v>
      </c>
      <c r="J981" s="35" t="n">
        <v>3</v>
      </c>
      <c r="K981" s="35" t="n">
        <v>3</v>
      </c>
      <c r="L981" s="35" t="n">
        <v>4</v>
      </c>
      <c r="M981" s="50" t="n">
        <f aca="false">IF(COUNT(G981:L981)&lt;6,"",ROUND((G981*Rubric!$D$5+H981*Rubric!$D$6+I981*Rubric!$D$7+J981*Rubric!$D$8+K981*Rubric!$D$9+L981*Rubric!$D$10)/5*100,1))</f>
        <v>75</v>
      </c>
      <c r="N981" s="37" t="str">
        <f aca="false">IF(OR(B981="",D981=""),"",IFERROR(IF(IF(E981="Primary",INDEX(Applications!$I$5:$I$600,MATCH(B981,Applications!$A$5:$A$600,0)),IF(E981="Secondary",INDEX(Applications!$J$5:$J$600,MATCH(B981,Applications!$A$5:$A$600,0)),INDEX(Applications!$K$5:$K$600,MATCH(B981,Applications!$A$5:$A$600,0))))=D981,"OK","Not assigned"),"Check ID"))</f>
        <v>OK</v>
      </c>
      <c r="O981" s="7" t="s">
        <v>1493</v>
      </c>
    </row>
    <row r="982" customFormat="false" ht="15" hidden="false" customHeight="false" outlineLevel="0" collapsed="false">
      <c r="A982" s="35" t="s">
        <v>2379</v>
      </c>
      <c r="B982" s="35" t="s">
        <v>959</v>
      </c>
      <c r="C982" s="37" t="str">
        <f aca="false">IF(B982="","",IFERROR(INDEX(Applications!$B$5:$B$600,MATCH(B982,Applications!$A$5:$A$600,0)),"Application ID not found"))</f>
        <v>Arequipa Mobile Market</v>
      </c>
      <c r="D982" s="35" t="s">
        <v>82</v>
      </c>
      <c r="E982" s="35" t="s">
        <v>83</v>
      </c>
      <c r="F982" s="36" t="n">
        <v>45953</v>
      </c>
      <c r="G982" s="35" t="n">
        <v>4</v>
      </c>
      <c r="H982" s="35" t="n">
        <v>4</v>
      </c>
      <c r="I982" s="35" t="n">
        <v>4</v>
      </c>
      <c r="J982" s="35" t="n">
        <v>4</v>
      </c>
      <c r="K982" s="35" t="n">
        <v>4</v>
      </c>
      <c r="L982" s="35" t="n">
        <v>4</v>
      </c>
      <c r="M982" s="50" t="n">
        <f aca="false">IF(COUNT(G982:L982)&lt;6,"",ROUND((G982*Rubric!$D$5+H982*Rubric!$D$6+I982*Rubric!$D$7+J982*Rubric!$D$8+K982*Rubric!$D$9+L982*Rubric!$D$10)/5*100,1))</f>
        <v>80</v>
      </c>
      <c r="N982" s="37" t="str">
        <f aca="false">IF(OR(B982="",D982=""),"",IFERROR(IF(IF(E982="Primary",INDEX(Applications!$I$5:$I$600,MATCH(B982,Applications!$A$5:$A$600,0)),IF(E982="Secondary",INDEX(Applications!$J$5:$J$600,MATCH(B982,Applications!$A$5:$A$600,0)),INDEX(Applications!$K$5:$K$600,MATCH(B982,Applications!$A$5:$A$600,0))))=D982,"OK","Not assigned"),"Check ID"))</f>
        <v>OK</v>
      </c>
      <c r="O982" s="7"/>
    </row>
    <row r="983" customFormat="false" ht="15" hidden="false" customHeight="false" outlineLevel="0" collapsed="false">
      <c r="A983" s="35" t="s">
        <v>2380</v>
      </c>
      <c r="B983" s="35" t="s">
        <v>641</v>
      </c>
      <c r="C983" s="37" t="str">
        <f aca="false">IF(B983="","",IFERROR(INDEX(Applications!$B$5:$B$600,MATCH(B983,Applications!$A$5:$A$600,0)),"Application ID not found"))</f>
        <v>Albany Kitchen Project</v>
      </c>
      <c r="D983" s="35" t="s">
        <v>82</v>
      </c>
      <c r="E983" s="35" t="s">
        <v>80</v>
      </c>
      <c r="F983" s="36" t="n">
        <v>45953</v>
      </c>
      <c r="G983" s="35" t="n">
        <v>3</v>
      </c>
      <c r="H983" s="35" t="n">
        <v>3</v>
      </c>
      <c r="I983" s="35" t="n">
        <v>3</v>
      </c>
      <c r="J983" s="35" t="n">
        <v>3</v>
      </c>
      <c r="K983" s="35" t="n">
        <v>3</v>
      </c>
      <c r="L983" s="35" t="n">
        <v>2</v>
      </c>
      <c r="M983" s="50" t="n">
        <f aca="false">IF(COUNT(G983:L983)&lt;6,"",ROUND((G983*Rubric!$D$5+H983*Rubric!$D$6+I983*Rubric!$D$7+J983*Rubric!$D$8+K983*Rubric!$D$9+L983*Rubric!$D$10)/5*100,1))</f>
        <v>58</v>
      </c>
      <c r="N983" s="37" t="str">
        <f aca="false">IF(OR(B983="",D983=""),"",IFERROR(IF(IF(E983="Primary",INDEX(Applications!$I$5:$I$600,MATCH(B983,Applications!$A$5:$A$600,0)),IF(E983="Secondary",INDEX(Applications!$J$5:$J$600,MATCH(B983,Applications!$A$5:$A$600,0)),INDEX(Applications!$K$5:$K$600,MATCH(B983,Applications!$A$5:$A$600,0))))=D983,"OK","Not assigned"),"Check ID"))</f>
        <v>OK</v>
      </c>
      <c r="O983" s="7"/>
    </row>
    <row r="984" customFormat="false" ht="15" hidden="false" customHeight="false" outlineLevel="0" collapsed="false">
      <c r="A984" s="35" t="s">
        <v>2381</v>
      </c>
      <c r="B984" s="35" t="s">
        <v>282</v>
      </c>
      <c r="C984" s="37" t="str">
        <f aca="false">IF(B984="","",IFERROR(INDEX(Applications!$B$5:$B$600,MATCH(B984,Applications!$A$5:$A$600,0)),"Application ID not found"))</f>
        <v>Louisville Culinary Works</v>
      </c>
      <c r="D984" s="35" t="s">
        <v>82</v>
      </c>
      <c r="E984" s="35" t="s">
        <v>83</v>
      </c>
      <c r="F984" s="36" t="n">
        <v>45953</v>
      </c>
      <c r="G984" s="35" t="n">
        <v>3</v>
      </c>
      <c r="H984" s="35" t="n">
        <v>3</v>
      </c>
      <c r="I984" s="35" t="n">
        <v>3</v>
      </c>
      <c r="J984" s="35" t="n">
        <v>3</v>
      </c>
      <c r="K984" s="35" t="n">
        <v>3</v>
      </c>
      <c r="L984" s="35" t="n">
        <v>4</v>
      </c>
      <c r="M984" s="50" t="n">
        <f aca="false">IF(COUNT(G984:L984)&lt;6,"",ROUND((G984*Rubric!$D$5+H984*Rubric!$D$6+I984*Rubric!$D$7+J984*Rubric!$D$8+K984*Rubric!$D$9+L984*Rubric!$D$10)/5*100,1))</f>
        <v>62</v>
      </c>
      <c r="N984" s="37" t="str">
        <f aca="false">IF(OR(B984="",D984=""),"",IFERROR(IF(IF(E984="Primary",INDEX(Applications!$I$5:$I$600,MATCH(B984,Applications!$A$5:$A$600,0)),IF(E984="Secondary",INDEX(Applications!$J$5:$J$600,MATCH(B984,Applications!$A$5:$A$600,0)),INDEX(Applications!$K$5:$K$600,MATCH(B984,Applications!$A$5:$A$600,0))))=D984,"OK","Not assigned"),"Check ID"))</f>
        <v>OK</v>
      </c>
      <c r="O984" s="7"/>
    </row>
    <row r="985" customFormat="false" ht="15" hidden="false" customHeight="false" outlineLevel="0" collapsed="false">
      <c r="A985" s="35" t="s">
        <v>2382</v>
      </c>
      <c r="B985" s="35" t="s">
        <v>1159</v>
      </c>
      <c r="C985" s="37" t="str">
        <f aca="false">IF(B985="","",IFERROR(INDEX(Applications!$B$5:$B$600,MATCH(B985,Applications!$A$5:$A$600,0)),"Application ID not found"))</f>
        <v>Parkside Food Shelf</v>
      </c>
      <c r="D985" s="35" t="s">
        <v>82</v>
      </c>
      <c r="E985" s="35" t="s">
        <v>80</v>
      </c>
      <c r="F985" s="36" t="n">
        <v>45953</v>
      </c>
      <c r="G985" s="35" t="n">
        <v>2</v>
      </c>
      <c r="H985" s="35" t="n">
        <v>2</v>
      </c>
      <c r="I985" s="35" t="n">
        <v>3</v>
      </c>
      <c r="J985" s="35" t="n">
        <v>3</v>
      </c>
      <c r="K985" s="35" t="n">
        <v>3</v>
      </c>
      <c r="L985" s="35" t="n">
        <v>3</v>
      </c>
      <c r="M985" s="50" t="n">
        <f aca="false">IF(COUNT(G985:L985)&lt;6,"",ROUND((G985*Rubric!$D$5+H985*Rubric!$D$6+I985*Rubric!$D$7+J985*Rubric!$D$8+K985*Rubric!$D$9+L985*Rubric!$D$10)/5*100,1))</f>
        <v>51</v>
      </c>
      <c r="N985" s="37" t="str">
        <f aca="false">IF(OR(B985="",D985=""),"",IFERROR(IF(IF(E985="Primary",INDEX(Applications!$I$5:$I$600,MATCH(B985,Applications!$A$5:$A$600,0)),IF(E985="Secondary",INDEX(Applications!$J$5:$J$600,MATCH(B985,Applications!$A$5:$A$600,0)),INDEX(Applications!$K$5:$K$600,MATCH(B985,Applications!$A$5:$A$600,0))))=D985,"OK","Not assigned"),"Check ID"))</f>
        <v>OK</v>
      </c>
      <c r="O985" s="7"/>
    </row>
    <row r="986" customFormat="false" ht="15" hidden="false" customHeight="false" outlineLevel="0" collapsed="false">
      <c r="A986" s="35" t="s">
        <v>2383</v>
      </c>
      <c r="B986" s="35" t="s">
        <v>841</v>
      </c>
      <c r="C986" s="37" t="str">
        <f aca="false">IF(B986="","",IFERROR(INDEX(Applications!$B$5:$B$600,MATCH(B986,Applications!$A$5:$A$600,0)),"Application ID not found"))</f>
        <v>Flint Youth Food Lab</v>
      </c>
      <c r="D986" s="35" t="s">
        <v>88</v>
      </c>
      <c r="E986" s="35" t="s">
        <v>80</v>
      </c>
      <c r="F986" s="36" t="n">
        <v>45953</v>
      </c>
      <c r="G986" s="35" t="n">
        <v>4</v>
      </c>
      <c r="H986" s="35" t="n">
        <v>3</v>
      </c>
      <c r="I986" s="35" t="n">
        <v>4</v>
      </c>
      <c r="J986" s="35" t="n">
        <v>3</v>
      </c>
      <c r="K986" s="35" t="n">
        <v>3</v>
      </c>
      <c r="L986" s="35" t="n">
        <v>4</v>
      </c>
      <c r="M986" s="50" t="n">
        <f aca="false">IF(COUNT(G986:L986)&lt;6,"",ROUND((G986*Rubric!$D$5+H986*Rubric!$D$6+I986*Rubric!$D$7+J986*Rubric!$D$8+K986*Rubric!$D$9+L986*Rubric!$D$10)/5*100,1))</f>
        <v>71</v>
      </c>
      <c r="N986" s="37" t="str">
        <f aca="false">IF(OR(B986="",D986=""),"",IFERROR(IF(IF(E986="Primary",INDEX(Applications!$I$5:$I$600,MATCH(B986,Applications!$A$5:$A$600,0)),IF(E986="Secondary",INDEX(Applications!$J$5:$J$600,MATCH(B986,Applications!$A$5:$A$600,0)),INDEX(Applications!$K$5:$K$600,MATCH(B986,Applications!$A$5:$A$600,0))))=D986,"OK","Not assigned"),"Check ID"))</f>
        <v>OK</v>
      </c>
      <c r="O986" s="7" t="s">
        <v>1493</v>
      </c>
    </row>
    <row r="987" customFormat="false" ht="15" hidden="false" customHeight="false" outlineLevel="0" collapsed="false">
      <c r="A987" s="35" t="s">
        <v>2384</v>
      </c>
      <c r="B987" s="35" t="s">
        <v>345</v>
      </c>
      <c r="C987" s="37" t="str">
        <f aca="false">IF(B987="","",IFERROR(INDEX(Applications!$B$5:$B$600,MATCH(B987,Applications!$A$5:$A$600,0)),"Application ID not found"))</f>
        <v>Omaha Culinary Works</v>
      </c>
      <c r="D987" s="35" t="s">
        <v>88</v>
      </c>
      <c r="E987" s="35" t="s">
        <v>83</v>
      </c>
      <c r="F987" s="36" t="n">
        <v>45953</v>
      </c>
      <c r="G987" s="35" t="n">
        <v>5</v>
      </c>
      <c r="H987" s="35" t="n">
        <v>5</v>
      </c>
      <c r="I987" s="35" t="n">
        <v>3</v>
      </c>
      <c r="J987" s="35" t="n">
        <v>4</v>
      </c>
      <c r="K987" s="35" t="n">
        <v>4</v>
      </c>
      <c r="L987" s="35" t="n">
        <v>4</v>
      </c>
      <c r="M987" s="50" t="n">
        <f aca="false">IF(COUNT(G987:L987)&lt;6,"",ROUND((G987*Rubric!$D$5+H987*Rubric!$D$6+I987*Rubric!$D$7+J987*Rubric!$D$8+K987*Rubric!$D$9+L987*Rubric!$D$10)/5*100,1))</f>
        <v>85</v>
      </c>
      <c r="N987" s="37" t="str">
        <f aca="false">IF(OR(B987="",D987=""),"",IFERROR(IF(IF(E987="Primary",INDEX(Applications!$I$5:$I$600,MATCH(B987,Applications!$A$5:$A$600,0)),IF(E987="Secondary",INDEX(Applications!$J$5:$J$600,MATCH(B987,Applications!$A$5:$A$600,0)),INDEX(Applications!$K$5:$K$600,MATCH(B987,Applications!$A$5:$A$600,0))))=D987,"OK","Not assigned"),"Check ID"))</f>
        <v>OK</v>
      </c>
      <c r="O987" s="7"/>
    </row>
    <row r="988" customFormat="false" ht="15" hidden="false" customHeight="false" outlineLevel="0" collapsed="false">
      <c r="A988" s="35" t="s">
        <v>2385</v>
      </c>
      <c r="B988" s="35" t="s">
        <v>446</v>
      </c>
      <c r="C988" s="37" t="str">
        <f aca="false">IF(B988="","",IFERROR(INDEX(Applications!$B$5:$B$600,MATCH(B988,Applications!$A$5:$A$600,0)),"Application ID not found"))</f>
        <v>Tulsa Bakery Collective</v>
      </c>
      <c r="D988" s="35" t="s">
        <v>88</v>
      </c>
      <c r="E988" s="35" t="s">
        <v>80</v>
      </c>
      <c r="F988" s="36" t="n">
        <v>45953</v>
      </c>
      <c r="G988" s="35" t="n">
        <v>4</v>
      </c>
      <c r="H988" s="35" t="n">
        <v>4</v>
      </c>
      <c r="I988" s="35" t="n">
        <v>4</v>
      </c>
      <c r="J988" s="35" t="n">
        <v>4</v>
      </c>
      <c r="K988" s="35" t="n">
        <v>4</v>
      </c>
      <c r="L988" s="35" t="n">
        <v>4</v>
      </c>
      <c r="M988" s="50" t="n">
        <f aca="false">IF(COUNT(G988:L988)&lt;6,"",ROUND((G988*Rubric!$D$5+H988*Rubric!$D$6+I988*Rubric!$D$7+J988*Rubric!$D$8+K988*Rubric!$D$9+L988*Rubric!$D$10)/5*100,1))</f>
        <v>80</v>
      </c>
      <c r="N988" s="37" t="str">
        <f aca="false">IF(OR(B988="",D988=""),"",IFERROR(IF(IF(E988="Primary",INDEX(Applications!$I$5:$I$600,MATCH(B988,Applications!$A$5:$A$600,0)),IF(E988="Secondary",INDEX(Applications!$J$5:$J$600,MATCH(B988,Applications!$A$5:$A$600,0)),INDEX(Applications!$K$5:$K$600,MATCH(B988,Applications!$A$5:$A$600,0))))=D988,"OK","Not assigned"),"Check ID"))</f>
        <v>OK</v>
      </c>
      <c r="O988" s="7"/>
    </row>
    <row r="989" customFormat="false" ht="15" hidden="false" customHeight="false" outlineLevel="0" collapsed="false">
      <c r="A989" s="35" t="s">
        <v>2386</v>
      </c>
      <c r="B989" s="35" t="s">
        <v>609</v>
      </c>
      <c r="C989" s="37" t="str">
        <f aca="false">IF(B989="","",IFERROR(INDEX(Applications!$B$5:$B$600,MATCH(B989,Applications!$A$5:$A$600,0)),"Application ID not found"))</f>
        <v>Monterrey Food Ventures</v>
      </c>
      <c r="D989" s="35" t="s">
        <v>88</v>
      </c>
      <c r="E989" s="35" t="s">
        <v>80</v>
      </c>
      <c r="F989" s="36" t="n">
        <v>45953</v>
      </c>
      <c r="G989" s="35" t="n">
        <v>3</v>
      </c>
      <c r="H989" s="35" t="n">
        <v>3</v>
      </c>
      <c r="I989" s="35" t="n">
        <v>4</v>
      </c>
      <c r="J989" s="35" t="n">
        <v>4</v>
      </c>
      <c r="K989" s="35" t="n">
        <v>4</v>
      </c>
      <c r="L989" s="35" t="n">
        <v>4</v>
      </c>
      <c r="M989" s="50" t="n">
        <f aca="false">IF(COUNT(G989:L989)&lt;6,"",ROUND((G989*Rubric!$D$5+H989*Rubric!$D$6+I989*Rubric!$D$7+J989*Rubric!$D$8+K989*Rubric!$D$9+L989*Rubric!$D$10)/5*100,1))</f>
        <v>71</v>
      </c>
      <c r="N989" s="37" t="str">
        <f aca="false">IF(OR(B989="",D989=""),"",IFERROR(IF(IF(E989="Primary",INDEX(Applications!$I$5:$I$600,MATCH(B989,Applications!$A$5:$A$600,0)),IF(E989="Secondary",INDEX(Applications!$J$5:$J$600,MATCH(B989,Applications!$A$5:$A$600,0)),INDEX(Applications!$K$5:$K$600,MATCH(B989,Applications!$A$5:$A$600,0))))=D989,"OK","Not assigned"),"Check ID"))</f>
        <v>OK</v>
      </c>
      <c r="O989" s="7"/>
    </row>
    <row r="990" customFormat="false" ht="15" hidden="false" customHeight="false" outlineLevel="0" collapsed="false">
      <c r="A990" s="35" t="s">
        <v>2387</v>
      </c>
      <c r="B990" s="35" t="s">
        <v>697</v>
      </c>
      <c r="C990" s="37" t="str">
        <f aca="false">IF(B990="","",IFERROR(INDEX(Applications!$B$5:$B$600,MATCH(B990,Applications!$A$5:$A$600,0)),"Application ID not found"))</f>
        <v>Sunrise Community Pantry</v>
      </c>
      <c r="D990" s="35" t="s">
        <v>88</v>
      </c>
      <c r="E990" s="35" t="s">
        <v>83</v>
      </c>
      <c r="F990" s="36" t="n">
        <v>45953</v>
      </c>
      <c r="G990" s="35" t="n">
        <v>4</v>
      </c>
      <c r="H990" s="35" t="n">
        <v>4</v>
      </c>
      <c r="I990" s="35" t="n">
        <v>5</v>
      </c>
      <c r="J990" s="35" t="n">
        <v>4</v>
      </c>
      <c r="K990" s="35" t="n">
        <v>4</v>
      </c>
      <c r="L990" s="35" t="n">
        <v>4</v>
      </c>
      <c r="M990" s="50" t="n">
        <f aca="false">IF(COUNT(G990:L990)&lt;6,"",ROUND((G990*Rubric!$D$5+H990*Rubric!$D$6+I990*Rubric!$D$7+J990*Rubric!$D$8+K990*Rubric!$D$9+L990*Rubric!$D$10)/5*100,1))</f>
        <v>84</v>
      </c>
      <c r="N990" s="37" t="str">
        <f aca="false">IF(OR(B990="",D990=""),"",IFERROR(IF(IF(E990="Primary",INDEX(Applications!$I$5:$I$600,MATCH(B990,Applications!$A$5:$A$600,0)),IF(E990="Secondary",INDEX(Applications!$J$5:$J$600,MATCH(B990,Applications!$A$5:$A$600,0)),INDEX(Applications!$K$5:$K$600,MATCH(B990,Applications!$A$5:$A$600,0))))=D990,"OK","Not assigned"),"Check ID"))</f>
        <v>OK</v>
      </c>
      <c r="O990" s="7"/>
    </row>
    <row r="991" customFormat="false" ht="15" hidden="false" customHeight="false" outlineLevel="0" collapsed="false">
      <c r="A991" s="35" t="s">
        <v>2388</v>
      </c>
      <c r="B991" s="35" t="s">
        <v>1077</v>
      </c>
      <c r="C991" s="37" t="str">
        <f aca="false">IF(B991="","",IFERROR(INDEX(Applications!$B$5:$B$600,MATCH(B991,Applications!$A$5:$A$600,0)),"Application ID not found"))</f>
        <v>Sheffield Meals Project</v>
      </c>
      <c r="D991" s="35" t="s">
        <v>88</v>
      </c>
      <c r="E991" s="35" t="s">
        <v>80</v>
      </c>
      <c r="F991" s="36" t="n">
        <v>45953</v>
      </c>
      <c r="G991" s="35" t="n">
        <v>1</v>
      </c>
      <c r="H991" s="35" t="n">
        <v>1</v>
      </c>
      <c r="I991" s="35" t="n">
        <v>1</v>
      </c>
      <c r="J991" s="35" t="n">
        <v>2</v>
      </c>
      <c r="K991" s="35" t="n">
        <v>1</v>
      </c>
      <c r="L991" s="35" t="n">
        <v>1</v>
      </c>
      <c r="M991" s="50" t="n">
        <f aca="false">IF(COUNT(G991:L991)&lt;6,"",ROUND((G991*Rubric!$D$5+H991*Rubric!$D$6+I991*Rubric!$D$7+J991*Rubric!$D$8+K991*Rubric!$D$9+L991*Rubric!$D$10)/5*100,1))</f>
        <v>23</v>
      </c>
      <c r="N991" s="37" t="str">
        <f aca="false">IF(OR(B991="",D991=""),"",IFERROR(IF(IF(E991="Primary",INDEX(Applications!$I$5:$I$600,MATCH(B991,Applications!$A$5:$A$600,0)),IF(E991="Secondary",INDEX(Applications!$J$5:$J$600,MATCH(B991,Applications!$A$5:$A$600,0)),INDEX(Applications!$K$5:$K$600,MATCH(B991,Applications!$A$5:$A$600,0))))=D991,"OK","Not assigned"),"Check ID"))</f>
        <v>OK</v>
      </c>
      <c r="O991" s="7" t="s">
        <v>1416</v>
      </c>
    </row>
    <row r="992" customFormat="false" ht="15" hidden="false" customHeight="false" outlineLevel="0" collapsed="false">
      <c r="A992" s="35" t="s">
        <v>2389</v>
      </c>
      <c r="B992" s="35" t="s">
        <v>1363</v>
      </c>
      <c r="C992" s="37" t="str">
        <f aca="false">IF(B992="","",IFERROR(INDEX(Applications!$B$5:$B$600,MATCH(B992,Applications!$A$5:$A$600,0)),"Application ID not found"))</f>
        <v>Detroit Farm Collective</v>
      </c>
      <c r="D992" s="35" t="s">
        <v>88</v>
      </c>
      <c r="E992" s="35" t="s">
        <v>80</v>
      </c>
      <c r="F992" s="36" t="n">
        <v>45953</v>
      </c>
      <c r="G992" s="35" t="n">
        <v>5</v>
      </c>
      <c r="H992" s="35" t="n">
        <v>3</v>
      </c>
      <c r="I992" s="35" t="n">
        <v>3</v>
      </c>
      <c r="J992" s="35" t="n">
        <v>3</v>
      </c>
      <c r="K992" s="35" t="n">
        <v>3</v>
      </c>
      <c r="L992" s="35" t="n">
        <v>3</v>
      </c>
      <c r="M992" s="50" t="n">
        <f aca="false">IF(COUNT(G992:L992)&lt;6,"",ROUND((G992*Rubric!$D$5+H992*Rubric!$D$6+I992*Rubric!$D$7+J992*Rubric!$D$8+K992*Rubric!$D$9+L992*Rubric!$D$10)/5*100,1))</f>
        <v>70</v>
      </c>
      <c r="N992" s="37" t="str">
        <f aca="false">IF(OR(B992="",D992=""),"",IFERROR(IF(IF(E992="Primary",INDEX(Applications!$I$5:$I$600,MATCH(B992,Applications!$A$5:$A$600,0)),IF(E992="Secondary",INDEX(Applications!$J$5:$J$600,MATCH(B992,Applications!$A$5:$A$600,0)),INDEX(Applications!$K$5:$K$600,MATCH(B992,Applications!$A$5:$A$600,0))))=D992,"OK","Not assigned"),"Check ID"))</f>
        <v>OK</v>
      </c>
      <c r="O992" s="7"/>
    </row>
    <row r="993" customFormat="false" ht="15" hidden="false" customHeight="false" outlineLevel="0" collapsed="false">
      <c r="A993" s="35" t="s">
        <v>2390</v>
      </c>
      <c r="B993" s="35" t="s">
        <v>917</v>
      </c>
      <c r="C993" s="37" t="str">
        <f aca="false">IF(B993="","",IFERROR(INDEX(Applications!$B$5:$B$600,MATCH(B993,Applications!$A$5:$A$600,0)),"Application ID not found"))</f>
        <v>Linden Food Shelf</v>
      </c>
      <c r="D993" s="35" t="s">
        <v>88</v>
      </c>
      <c r="E993" s="35" t="s">
        <v>80</v>
      </c>
      <c r="F993" s="36" t="n">
        <v>45953</v>
      </c>
      <c r="G993" s="35" t="n">
        <v>2</v>
      </c>
      <c r="H993" s="35" t="n">
        <v>3</v>
      </c>
      <c r="I993" s="35" t="n">
        <v>2</v>
      </c>
      <c r="J993" s="35" t="n">
        <v>3</v>
      </c>
      <c r="K993" s="35" t="n">
        <v>3</v>
      </c>
      <c r="L993" s="35" t="n">
        <v>2</v>
      </c>
      <c r="M993" s="50" t="n">
        <f aca="false">IF(COUNT(G993:L993)&lt;6,"",ROUND((G993*Rubric!$D$5+H993*Rubric!$D$6+I993*Rubric!$D$7+J993*Rubric!$D$8+K993*Rubric!$D$9+L993*Rubric!$D$10)/5*100,1))</f>
        <v>49</v>
      </c>
      <c r="N993" s="37" t="str">
        <f aca="false">IF(OR(B993="",D993=""),"",IFERROR(IF(IF(E993="Primary",INDEX(Applications!$I$5:$I$600,MATCH(B993,Applications!$A$5:$A$600,0)),IF(E993="Secondary",INDEX(Applications!$J$5:$J$600,MATCH(B993,Applications!$A$5:$A$600,0)),INDEX(Applications!$K$5:$K$600,MATCH(B993,Applications!$A$5:$A$600,0))))=D993,"OK","Not assigned"),"Check ID"))</f>
        <v>OK</v>
      </c>
      <c r="O993" s="7"/>
    </row>
    <row r="994" customFormat="false" ht="15" hidden="false" customHeight="false" outlineLevel="0" collapsed="false">
      <c r="A994" s="35" t="s">
        <v>2391</v>
      </c>
      <c r="B994" s="35" t="s">
        <v>317</v>
      </c>
      <c r="C994" s="37" t="str">
        <f aca="false">IF(B994="","",IFERROR(INDEX(Applications!$B$5:$B$600,MATCH(B994,Applications!$A$5:$A$600,0)),"Application ID not found"))</f>
        <v>Good Neighbor Food Shelf</v>
      </c>
      <c r="D994" s="35" t="s">
        <v>88</v>
      </c>
      <c r="E994" s="35" t="s">
        <v>83</v>
      </c>
      <c r="F994" s="36" t="n">
        <v>45953</v>
      </c>
      <c r="G994" s="35" t="n">
        <v>3</v>
      </c>
      <c r="H994" s="35" t="n">
        <v>2</v>
      </c>
      <c r="I994" s="35" t="n">
        <v>2</v>
      </c>
      <c r="J994" s="35" t="n">
        <v>2</v>
      </c>
      <c r="K994" s="35" t="n">
        <v>3</v>
      </c>
      <c r="L994" s="35" t="n">
        <v>2</v>
      </c>
      <c r="M994" s="50" t="n">
        <f aca="false">IF(COUNT(G994:L994)&lt;6,"",ROUND((G994*Rubric!$D$5+H994*Rubric!$D$6+I994*Rubric!$D$7+J994*Rubric!$D$8+K994*Rubric!$D$9+L994*Rubric!$D$10)/5*100,1))</f>
        <v>47</v>
      </c>
      <c r="N994" s="37" t="str">
        <f aca="false">IF(OR(B994="",D994=""),"",IFERROR(IF(IF(E994="Primary",INDEX(Applications!$I$5:$I$600,MATCH(B994,Applications!$A$5:$A$600,0)),IF(E994="Secondary",INDEX(Applications!$J$5:$J$600,MATCH(B994,Applications!$A$5:$A$600,0)),INDEX(Applications!$K$5:$K$600,MATCH(B994,Applications!$A$5:$A$600,0))))=D994,"OK","Not assigned"),"Check ID"))</f>
        <v>OK</v>
      </c>
      <c r="O994" s="7"/>
    </row>
    <row r="995" customFormat="false" ht="15" hidden="false" customHeight="false" outlineLevel="0" collapsed="false">
      <c r="A995" s="35" t="s">
        <v>2392</v>
      </c>
      <c r="B995" s="35" t="s">
        <v>1377</v>
      </c>
      <c r="C995" s="37" t="str">
        <f aca="false">IF(B995="","",IFERROR(INDEX(Applications!$B$5:$B$600,MATCH(B995,Applications!$A$5:$A$600,0)),"Application ID not found"))</f>
        <v>Good Neighbor Farm Collective</v>
      </c>
      <c r="D995" s="35" t="s">
        <v>88</v>
      </c>
      <c r="E995" s="35" t="s">
        <v>80</v>
      </c>
      <c r="F995" s="36" t="n">
        <v>45953</v>
      </c>
      <c r="G995" s="35" t="n">
        <v>1</v>
      </c>
      <c r="H995" s="35" t="n">
        <v>1</v>
      </c>
      <c r="I995" s="35" t="n">
        <v>1</v>
      </c>
      <c r="J995" s="35" t="n">
        <v>2</v>
      </c>
      <c r="K995" s="35" t="n">
        <v>2</v>
      </c>
      <c r="L995" s="35" t="n">
        <v>1</v>
      </c>
      <c r="M995" s="50" t="n">
        <f aca="false">IF(COUNT(G995:L995)&lt;6,"",ROUND((G995*Rubric!$D$5+H995*Rubric!$D$6+I995*Rubric!$D$7+J995*Rubric!$D$8+K995*Rubric!$D$9+L995*Rubric!$D$10)/5*100,1))</f>
        <v>25</v>
      </c>
      <c r="N995" s="37" t="str">
        <f aca="false">IF(OR(B995="",D995=""),"",IFERROR(IF(IF(E995="Primary",INDEX(Applications!$I$5:$I$600,MATCH(B995,Applications!$A$5:$A$600,0)),IF(E995="Secondary",INDEX(Applications!$J$5:$J$600,MATCH(B995,Applications!$A$5:$A$600,0)),INDEX(Applications!$K$5:$K$600,MATCH(B995,Applications!$A$5:$A$600,0))))=D995,"OK","Not assigned"),"Check ID"))</f>
        <v>OK</v>
      </c>
      <c r="O995" s="7"/>
    </row>
    <row r="996" customFormat="false" ht="15" hidden="false" customHeight="false" outlineLevel="0" collapsed="false">
      <c r="A996" s="35" t="s">
        <v>2393</v>
      </c>
      <c r="B996" s="35" t="s">
        <v>1031</v>
      </c>
      <c r="C996" s="37" t="str">
        <f aca="false">IF(B996="","",IFERROR(INDEX(Applications!$B$5:$B$600,MATCH(B996,Applications!$A$5:$A$600,0)),"Application ID not found"))</f>
        <v>Valley Bakery Collective</v>
      </c>
      <c r="D996" s="35" t="s">
        <v>88</v>
      </c>
      <c r="E996" s="35" t="s">
        <v>80</v>
      </c>
      <c r="F996" s="36" t="n">
        <v>45953</v>
      </c>
      <c r="G996" s="35" t="n">
        <v>2</v>
      </c>
      <c r="H996" s="35" t="n">
        <v>2</v>
      </c>
      <c r="I996" s="35" t="n">
        <v>2</v>
      </c>
      <c r="J996" s="35" t="n">
        <v>3</v>
      </c>
      <c r="K996" s="35" t="n">
        <v>2</v>
      </c>
      <c r="L996" s="35" t="n">
        <v>1</v>
      </c>
      <c r="M996" s="50" t="n">
        <f aca="false">IF(COUNT(G996:L996)&lt;6,"",ROUND((G996*Rubric!$D$5+H996*Rubric!$D$6+I996*Rubric!$D$7+J996*Rubric!$D$8+K996*Rubric!$D$9+L996*Rubric!$D$10)/5*100,1))</f>
        <v>41</v>
      </c>
      <c r="N996" s="37" t="str">
        <f aca="false">IF(OR(B996="",D996=""),"",IFERROR(IF(IF(E996="Primary",INDEX(Applications!$I$5:$I$600,MATCH(B996,Applications!$A$5:$A$600,0)),IF(E996="Secondary",INDEX(Applications!$J$5:$J$600,MATCH(B996,Applications!$A$5:$A$600,0)),INDEX(Applications!$K$5:$K$600,MATCH(B996,Applications!$A$5:$A$600,0))))=D996,"OK","Not assigned"),"Check ID"))</f>
        <v>OK</v>
      </c>
      <c r="O996" s="7" t="s">
        <v>1398</v>
      </c>
    </row>
    <row r="997" customFormat="false" ht="15" hidden="false" customHeight="false" outlineLevel="0" collapsed="false">
      <c r="A997" s="35" t="s">
        <v>2394</v>
      </c>
      <c r="B997" s="35" t="s">
        <v>635</v>
      </c>
      <c r="C997" s="37" t="str">
        <f aca="false">IF(B997="","",IFERROR(INDEX(Applications!$B$5:$B$600,MATCH(B997,Applications!$A$5:$A$600,0)),"Application ID not found"))</f>
        <v>Hillcrest Schools Nutrition Fund</v>
      </c>
      <c r="D997" s="35" t="s">
        <v>88</v>
      </c>
      <c r="E997" s="35" t="s">
        <v>80</v>
      </c>
      <c r="F997" s="36" t="n">
        <v>45953</v>
      </c>
      <c r="G997" s="35" t="n">
        <v>4</v>
      </c>
      <c r="H997" s="35" t="n">
        <v>5</v>
      </c>
      <c r="I997" s="35" t="n">
        <v>4</v>
      </c>
      <c r="J997" s="35" t="n">
        <v>4</v>
      </c>
      <c r="K997" s="35" t="n">
        <v>4</v>
      </c>
      <c r="L997" s="35" t="n">
        <v>4</v>
      </c>
      <c r="M997" s="50" t="n">
        <f aca="false">IF(COUNT(G997:L997)&lt;6,"",ROUND((G997*Rubric!$D$5+H997*Rubric!$D$6+I997*Rubric!$D$7+J997*Rubric!$D$8+K997*Rubric!$D$9+L997*Rubric!$D$10)/5*100,1))</f>
        <v>84</v>
      </c>
      <c r="N997" s="37" t="str">
        <f aca="false">IF(OR(B997="",D997=""),"",IFERROR(IF(IF(E997="Primary",INDEX(Applications!$I$5:$I$600,MATCH(B997,Applications!$A$5:$A$600,0)),IF(E997="Secondary",INDEX(Applications!$J$5:$J$600,MATCH(B997,Applications!$A$5:$A$600,0)),INDEX(Applications!$K$5:$K$600,MATCH(B997,Applications!$A$5:$A$600,0))))=D997,"OK","Not assigned"),"Check ID"))</f>
        <v>OK</v>
      </c>
      <c r="O997" s="7"/>
    </row>
    <row r="998" customFormat="false" ht="15" hidden="false" customHeight="false" outlineLevel="0" collapsed="false">
      <c r="A998" s="35" t="s">
        <v>2395</v>
      </c>
      <c r="B998" s="35" t="s">
        <v>430</v>
      </c>
      <c r="C998" s="37" t="str">
        <f aca="false">IF(B998="","",IFERROR(INDEX(Applications!$B$5:$B$600,MATCH(B998,Applications!$A$5:$A$600,0)),"Application ID not found"))</f>
        <v>High Plains Pantry Network</v>
      </c>
      <c r="D998" s="35" t="s">
        <v>88</v>
      </c>
      <c r="E998" s="35" t="s">
        <v>80</v>
      </c>
      <c r="F998" s="36" t="n">
        <v>45953</v>
      </c>
      <c r="G998" s="35" t="n">
        <v>2</v>
      </c>
      <c r="H998" s="35" t="n">
        <v>3</v>
      </c>
      <c r="I998" s="35" t="n">
        <v>3</v>
      </c>
      <c r="J998" s="35" t="n">
        <v>3</v>
      </c>
      <c r="K998" s="35" t="n">
        <v>2</v>
      </c>
      <c r="L998" s="35" t="n">
        <v>3</v>
      </c>
      <c r="M998" s="50" t="n">
        <f aca="false">IF(COUNT(G998:L998)&lt;6,"",ROUND((G998*Rubric!$D$5+H998*Rubric!$D$6+I998*Rubric!$D$7+J998*Rubric!$D$8+K998*Rubric!$D$9+L998*Rubric!$D$10)/5*100,1))</f>
        <v>53</v>
      </c>
      <c r="N998" s="37" t="str">
        <f aca="false">IF(OR(B998="",D998=""),"",IFERROR(IF(IF(E998="Primary",INDEX(Applications!$I$5:$I$600,MATCH(B998,Applications!$A$5:$A$600,0)),IF(E998="Secondary",INDEX(Applications!$J$5:$J$600,MATCH(B998,Applications!$A$5:$A$600,0)),INDEX(Applications!$K$5:$K$600,MATCH(B998,Applications!$A$5:$A$600,0))))=D998,"OK","Not assigned"),"Check ID"))</f>
        <v>OK</v>
      </c>
      <c r="O998" s="7"/>
    </row>
    <row r="999" customFormat="false" ht="15" hidden="false" customHeight="false" outlineLevel="0" collapsed="false">
      <c r="A999" s="35" t="s">
        <v>2396</v>
      </c>
      <c r="B999" s="35" t="s">
        <v>637</v>
      </c>
      <c r="C999" s="37" t="str">
        <f aca="false">IF(B999="","",IFERROR(INDEX(Applications!$B$5:$B$600,MATCH(B999,Applications!$A$5:$A$600,0)),"Application ID not found"))</f>
        <v>Old Town Food Ventures</v>
      </c>
      <c r="D999" s="35" t="s">
        <v>88</v>
      </c>
      <c r="E999" s="35" t="s">
        <v>86</v>
      </c>
      <c r="F999" s="36" t="n">
        <v>45953</v>
      </c>
      <c r="G999" s="35" t="n">
        <v>2</v>
      </c>
      <c r="H999" s="35" t="n">
        <v>3</v>
      </c>
      <c r="I999" s="35" t="n">
        <v>3</v>
      </c>
      <c r="J999" s="35" t="n">
        <v>2</v>
      </c>
      <c r="K999" s="35" t="n">
        <v>4</v>
      </c>
      <c r="L999" s="35" t="n">
        <v>3</v>
      </c>
      <c r="M999" s="50" t="n">
        <f aca="false">IF(COUNT(G999:L999)&lt;6,"",ROUND((G999*Rubric!$D$5+H999*Rubric!$D$6+I999*Rubric!$D$7+J999*Rubric!$D$8+K999*Rubric!$D$9+L999*Rubric!$D$10)/5*100,1))</f>
        <v>54</v>
      </c>
      <c r="N999" s="37" t="str">
        <f aca="false">IF(OR(B999="",D999=""),"",IFERROR(IF(IF(E999="Primary",INDEX(Applications!$I$5:$I$600,MATCH(B999,Applications!$A$5:$A$600,0)),IF(E999="Secondary",INDEX(Applications!$J$5:$J$600,MATCH(B999,Applications!$A$5:$A$600,0)),INDEX(Applications!$K$5:$K$600,MATCH(B999,Applications!$A$5:$A$600,0))))=D999,"OK","Not assigned"),"Check ID"))</f>
        <v>OK</v>
      </c>
      <c r="O999" s="7"/>
    </row>
    <row r="1000" customFormat="false" ht="15" hidden="false" customHeight="false" outlineLevel="0" collapsed="false">
      <c r="A1000" s="35" t="s">
        <v>2397</v>
      </c>
      <c r="B1000" s="35" t="s">
        <v>1163</v>
      </c>
      <c r="C1000" s="37" t="str">
        <f aca="false">IF(B1000="","",IFERROR(INDEX(Applications!$B$5:$B$600,MATCH(B1000,Applications!$A$5:$A$600,0)),"Application ID not found"))</f>
        <v>Louisville Family Center</v>
      </c>
      <c r="D1000" s="35" t="s">
        <v>88</v>
      </c>
      <c r="E1000" s="35" t="s">
        <v>86</v>
      </c>
      <c r="F1000" s="36" t="n">
        <v>45953</v>
      </c>
      <c r="G1000" s="35" t="n">
        <v>3</v>
      </c>
      <c r="H1000" s="35" t="n">
        <v>2</v>
      </c>
      <c r="I1000" s="35" t="n">
        <v>2</v>
      </c>
      <c r="J1000" s="35" t="n">
        <v>3</v>
      </c>
      <c r="K1000" s="35" t="n">
        <v>3</v>
      </c>
      <c r="L1000" s="35" t="n">
        <v>2</v>
      </c>
      <c r="M1000" s="50" t="n">
        <f aca="false">IF(COUNT(G1000:L1000)&lt;6,"",ROUND((G1000*Rubric!$D$5+H1000*Rubric!$D$6+I1000*Rubric!$D$7+J1000*Rubric!$D$8+K1000*Rubric!$D$9+L1000*Rubric!$D$10)/5*100,1))</f>
        <v>50</v>
      </c>
      <c r="N1000" s="37" t="str">
        <f aca="false">IF(OR(B1000="",D1000=""),"",IFERROR(IF(IF(E1000="Primary",INDEX(Applications!$I$5:$I$600,MATCH(B1000,Applications!$A$5:$A$600,0)),IF(E1000="Secondary",INDEX(Applications!$J$5:$J$600,MATCH(B1000,Applications!$A$5:$A$600,0)),INDEX(Applications!$K$5:$K$600,MATCH(B1000,Applications!$A$5:$A$600,0))))=D1000,"OK","Not assigned"),"Check ID"))</f>
        <v>OK</v>
      </c>
      <c r="O1000" s="7"/>
    </row>
    <row r="1001" customFormat="false" ht="15" hidden="false" customHeight="false" outlineLevel="0" collapsed="false">
      <c r="A1001" s="35" t="s">
        <v>2398</v>
      </c>
      <c r="B1001" s="35" t="s">
        <v>1079</v>
      </c>
      <c r="C1001" s="37" t="str">
        <f aca="false">IF(B1001="","",IFERROR(INDEX(Applications!$B$5:$B$600,MATCH(B1001,Applications!$A$5:$A$600,0)),"Application ID not found"))</f>
        <v>Atlanta Mobile Market</v>
      </c>
      <c r="D1001" s="35" t="s">
        <v>88</v>
      </c>
      <c r="E1001" s="35" t="s">
        <v>86</v>
      </c>
      <c r="F1001" s="36" t="n">
        <v>45953</v>
      </c>
      <c r="G1001" s="35" t="n">
        <v>3</v>
      </c>
      <c r="H1001" s="35" t="n">
        <v>2</v>
      </c>
      <c r="I1001" s="35" t="n">
        <v>2</v>
      </c>
      <c r="J1001" s="35" t="n">
        <v>2</v>
      </c>
      <c r="K1001" s="35" t="n">
        <v>2</v>
      </c>
      <c r="L1001" s="35" t="n">
        <v>3</v>
      </c>
      <c r="M1001" s="50" t="n">
        <f aca="false">IF(COUNT(G1001:L1001)&lt;6,"",ROUND((G1001*Rubric!$D$5+H1001*Rubric!$D$6+I1001*Rubric!$D$7+J1001*Rubric!$D$8+K1001*Rubric!$D$9+L1001*Rubric!$D$10)/5*100,1))</f>
        <v>47</v>
      </c>
      <c r="N1001" s="37" t="str">
        <f aca="false">IF(OR(B1001="",D1001=""),"",IFERROR(IF(IF(E1001="Primary",INDEX(Applications!$I$5:$I$600,MATCH(B1001,Applications!$A$5:$A$600,0)),IF(E1001="Secondary",INDEX(Applications!$J$5:$J$600,MATCH(B1001,Applications!$A$5:$A$600,0)),INDEX(Applications!$K$5:$K$600,MATCH(B1001,Applications!$A$5:$A$600,0))))=D1001,"OK","Not assigned"),"Check ID"))</f>
        <v>OK</v>
      </c>
      <c r="O1001" s="7"/>
    </row>
    <row r="1002" customFormat="false" ht="15" hidden="false" customHeight="false" outlineLevel="0" collapsed="false">
      <c r="A1002" s="35" t="s">
        <v>2399</v>
      </c>
      <c r="B1002" s="35" t="s">
        <v>593</v>
      </c>
      <c r="C1002" s="37" t="str">
        <f aca="false">IF(B1002="","",IFERROR(INDEX(Applications!$B$5:$B$600,MATCH(B1002,Applications!$A$5:$A$600,0)),"Application ID not found"))</f>
        <v>Louisville Food Ventures</v>
      </c>
      <c r="D1002" s="35" t="s">
        <v>88</v>
      </c>
      <c r="E1002" s="35" t="s">
        <v>86</v>
      </c>
      <c r="F1002" s="36" t="n">
        <v>45953</v>
      </c>
      <c r="G1002" s="35" t="n">
        <v>4</v>
      </c>
      <c r="H1002" s="35" t="n">
        <v>3</v>
      </c>
      <c r="I1002" s="35" t="n">
        <v>3</v>
      </c>
      <c r="J1002" s="35" t="n">
        <v>3</v>
      </c>
      <c r="K1002" s="35" t="n">
        <v>3</v>
      </c>
      <c r="L1002" s="35" t="n">
        <v>3</v>
      </c>
      <c r="M1002" s="50" t="n">
        <f aca="false">IF(COUNT(G1002:L1002)&lt;6,"",ROUND((G1002*Rubric!$D$5+H1002*Rubric!$D$6+I1002*Rubric!$D$7+J1002*Rubric!$D$8+K1002*Rubric!$D$9+L1002*Rubric!$D$10)/5*100,1))</f>
        <v>65</v>
      </c>
      <c r="N1002" s="37" t="str">
        <f aca="false">IF(OR(B1002="",D1002=""),"",IFERROR(IF(IF(E1002="Primary",INDEX(Applications!$I$5:$I$600,MATCH(B1002,Applications!$A$5:$A$600,0)),IF(E1002="Secondary",INDEX(Applications!$J$5:$J$600,MATCH(B1002,Applications!$A$5:$A$600,0)),INDEX(Applications!$K$5:$K$600,MATCH(B1002,Applications!$A$5:$A$600,0))))=D1002,"OK","Not assigned"),"Check ID"))</f>
        <v>OK</v>
      </c>
      <c r="O1002" s="7"/>
    </row>
    <row r="1003" customFormat="false" ht="15" hidden="false" customHeight="false" outlineLevel="0" collapsed="false">
      <c r="A1003" s="35" t="s">
        <v>2400</v>
      </c>
      <c r="B1003" s="35" t="s">
        <v>619</v>
      </c>
      <c r="C1003" s="37" t="str">
        <f aca="false">IF(B1003="","",IFERROR(INDEX(Applications!$B$5:$B$600,MATCH(B1003,Applications!$A$5:$A$600,0)),"Application ID not found"))</f>
        <v>Eastside Growers Cooperative</v>
      </c>
      <c r="D1003" s="35" t="s">
        <v>91</v>
      </c>
      <c r="E1003" s="35" t="s">
        <v>83</v>
      </c>
      <c r="F1003" s="36" t="n">
        <v>45953</v>
      </c>
      <c r="G1003" s="35" t="n">
        <v>2</v>
      </c>
      <c r="H1003" s="35" t="n">
        <v>2</v>
      </c>
      <c r="I1003" s="35" t="n">
        <v>3</v>
      </c>
      <c r="J1003" s="35" t="n">
        <v>2</v>
      </c>
      <c r="K1003" s="35" t="n">
        <v>2</v>
      </c>
      <c r="L1003" s="35" t="n">
        <v>2</v>
      </c>
      <c r="M1003" s="50" t="n">
        <f aca="false">IF(COUNT(G1003:L1003)&lt;6,"",ROUND((G1003*Rubric!$D$5+H1003*Rubric!$D$6+I1003*Rubric!$D$7+J1003*Rubric!$D$8+K1003*Rubric!$D$9+L1003*Rubric!$D$10)/5*100,1))</f>
        <v>44</v>
      </c>
      <c r="N1003" s="37" t="str">
        <f aca="false">IF(OR(B1003="",D1003=""),"",IFERROR(IF(IF(E1003="Primary",INDEX(Applications!$I$5:$I$600,MATCH(B1003,Applications!$A$5:$A$600,0)),IF(E1003="Secondary",INDEX(Applications!$J$5:$J$600,MATCH(B1003,Applications!$A$5:$A$600,0)),INDEX(Applications!$K$5:$K$600,MATCH(B1003,Applications!$A$5:$A$600,0))))=D1003,"OK","Not assigned"),"Check ID"))</f>
        <v>OK</v>
      </c>
      <c r="O1003" s="7"/>
    </row>
    <row r="1004" customFormat="false" ht="15" hidden="false" customHeight="false" outlineLevel="0" collapsed="false">
      <c r="A1004" s="35" t="s">
        <v>2401</v>
      </c>
      <c r="B1004" s="35" t="s">
        <v>999</v>
      </c>
      <c r="C1004" s="37" t="str">
        <f aca="false">IF(B1004="","",IFERROR(INDEX(Applications!$B$5:$B$600,MATCH(B1004,Applications!$A$5:$A$600,0)),"Application ID not found"))</f>
        <v>Tidewater Seed Library</v>
      </c>
      <c r="D1004" s="35" t="s">
        <v>91</v>
      </c>
      <c r="E1004" s="35" t="s">
        <v>80</v>
      </c>
      <c r="F1004" s="36" t="n">
        <v>45953</v>
      </c>
      <c r="G1004" s="35" t="n">
        <v>3</v>
      </c>
      <c r="H1004" s="35" t="n">
        <v>3</v>
      </c>
      <c r="I1004" s="35" t="n">
        <v>3</v>
      </c>
      <c r="J1004" s="35" t="n">
        <v>3</v>
      </c>
      <c r="K1004" s="35" t="n">
        <v>3</v>
      </c>
      <c r="L1004" s="35" t="n">
        <v>3</v>
      </c>
      <c r="M1004" s="50" t="n">
        <f aca="false">IF(COUNT(G1004:L1004)&lt;6,"",ROUND((G1004*Rubric!$D$5+H1004*Rubric!$D$6+I1004*Rubric!$D$7+J1004*Rubric!$D$8+K1004*Rubric!$D$9+L1004*Rubric!$D$10)/5*100,1))</f>
        <v>60</v>
      </c>
      <c r="N1004" s="37" t="str">
        <f aca="false">IF(OR(B1004="",D1004=""),"",IFERROR(IF(IF(E1004="Primary",INDEX(Applications!$I$5:$I$600,MATCH(B1004,Applications!$A$5:$A$600,0)),IF(E1004="Secondary",INDEX(Applications!$J$5:$J$600,MATCH(B1004,Applications!$A$5:$A$600,0)),INDEX(Applications!$K$5:$K$600,MATCH(B1004,Applications!$A$5:$A$600,0))))=D1004,"OK","Not assigned"),"Check ID"))</f>
        <v>OK</v>
      </c>
      <c r="O1004" s="7"/>
    </row>
    <row r="1005" customFormat="false" ht="15" hidden="false" customHeight="false" outlineLevel="0" collapsed="false">
      <c r="A1005" s="35" t="s">
        <v>2402</v>
      </c>
      <c r="B1005" s="35" t="s">
        <v>206</v>
      </c>
      <c r="C1005" s="37" t="str">
        <f aca="false">IF(B1005="","",IFERROR(INDEX(Applications!$B$5:$B$600,MATCH(B1005,Applications!$A$5:$A$600,0)),"Application ID not found"))</f>
        <v>Glasgow Meals Project</v>
      </c>
      <c r="D1005" s="35" t="s">
        <v>91</v>
      </c>
      <c r="E1005" s="35" t="s">
        <v>80</v>
      </c>
      <c r="F1005" s="36" t="n">
        <v>45953</v>
      </c>
      <c r="G1005" s="35" t="n">
        <v>3</v>
      </c>
      <c r="H1005" s="35" t="n">
        <v>3</v>
      </c>
      <c r="I1005" s="35" t="n">
        <v>4</v>
      </c>
      <c r="J1005" s="35" t="n">
        <v>4</v>
      </c>
      <c r="K1005" s="35" t="n">
        <v>3</v>
      </c>
      <c r="L1005" s="35" t="n">
        <v>3</v>
      </c>
      <c r="M1005" s="50" t="n">
        <f aca="false">IF(COUNT(G1005:L1005)&lt;6,"",ROUND((G1005*Rubric!$D$5+H1005*Rubric!$D$6+I1005*Rubric!$D$7+J1005*Rubric!$D$8+K1005*Rubric!$D$9+L1005*Rubric!$D$10)/5*100,1))</f>
        <v>67</v>
      </c>
      <c r="N1005" s="37" t="str">
        <f aca="false">IF(OR(B1005="",D1005=""),"",IFERROR(IF(IF(E1005="Primary",INDEX(Applications!$I$5:$I$600,MATCH(B1005,Applications!$A$5:$A$600,0)),IF(E1005="Secondary",INDEX(Applications!$J$5:$J$600,MATCH(B1005,Applications!$A$5:$A$600,0)),INDEX(Applications!$K$5:$K$600,MATCH(B1005,Applications!$A$5:$A$600,0))))=D1005,"OK","Not assigned"),"Check ID"))</f>
        <v>OK</v>
      </c>
      <c r="O1005" s="7"/>
    </row>
    <row r="1006" customFormat="false" ht="15" hidden="false" customHeight="false" outlineLevel="0" collapsed="false">
      <c r="A1006" s="35" t="s">
        <v>2403</v>
      </c>
      <c r="B1006" s="35" t="s">
        <v>723</v>
      </c>
      <c r="C1006" s="37" t="str">
        <f aca="false">IF(B1006="","",IFERROR(INDEX(Applications!$B$5:$B$600,MATCH(B1006,Applications!$A$5:$A$600,0)),"Application ID not found"))</f>
        <v>Hamilton Kitchen Project</v>
      </c>
      <c r="D1006" s="35" t="s">
        <v>91</v>
      </c>
      <c r="E1006" s="35" t="s">
        <v>83</v>
      </c>
      <c r="F1006" s="36" t="n">
        <v>45953</v>
      </c>
      <c r="G1006" s="35" t="n">
        <v>4</v>
      </c>
      <c r="H1006" s="35" t="n">
        <v>3</v>
      </c>
      <c r="I1006" s="35" t="n">
        <v>3</v>
      </c>
      <c r="J1006" s="35" t="n">
        <v>3</v>
      </c>
      <c r="K1006" s="35" t="n">
        <v>4</v>
      </c>
      <c r="L1006" s="35" t="n">
        <v>4</v>
      </c>
      <c r="M1006" s="50" t="n">
        <f aca="false">IF(COUNT(G1006:L1006)&lt;6,"",ROUND((G1006*Rubric!$D$5+H1006*Rubric!$D$6+I1006*Rubric!$D$7+J1006*Rubric!$D$8+K1006*Rubric!$D$9+L1006*Rubric!$D$10)/5*100,1))</f>
        <v>69</v>
      </c>
      <c r="N1006" s="37" t="str">
        <f aca="false">IF(OR(B1006="",D1006=""),"",IFERROR(IF(IF(E1006="Primary",INDEX(Applications!$I$5:$I$600,MATCH(B1006,Applications!$A$5:$A$600,0)),IF(E1006="Secondary",INDEX(Applications!$J$5:$J$600,MATCH(B1006,Applications!$A$5:$A$600,0)),INDEX(Applications!$K$5:$K$600,MATCH(B1006,Applications!$A$5:$A$600,0))))=D1006,"OK","Not assigned"),"Check ID"))</f>
        <v>OK</v>
      </c>
      <c r="O1006" s="7"/>
    </row>
    <row r="1007" customFormat="false" ht="15" hidden="false" customHeight="false" outlineLevel="0" collapsed="false">
      <c r="A1007" s="35" t="s">
        <v>2404</v>
      </c>
      <c r="B1007" s="35" t="s">
        <v>263</v>
      </c>
      <c r="C1007" s="37" t="str">
        <f aca="false">IF(B1007="","",IFERROR(INDEX(Applications!$B$5:$B$600,MATCH(B1007,Applications!$A$5:$A$600,0)),"Application ID not found"))</f>
        <v>Hamilton Food Bank</v>
      </c>
      <c r="D1007" s="35" t="s">
        <v>91</v>
      </c>
      <c r="E1007" s="35" t="s">
        <v>80</v>
      </c>
      <c r="F1007" s="36" t="n">
        <v>45953</v>
      </c>
      <c r="G1007" s="35" t="n">
        <v>4</v>
      </c>
      <c r="H1007" s="35" t="n">
        <v>4</v>
      </c>
      <c r="I1007" s="35" t="n">
        <v>4</v>
      </c>
      <c r="J1007" s="35" t="n">
        <v>5</v>
      </c>
      <c r="K1007" s="35" t="n">
        <v>4</v>
      </c>
      <c r="L1007" s="35" t="n">
        <v>4</v>
      </c>
      <c r="M1007" s="50" t="n">
        <f aca="false">IF(COUNT(G1007:L1007)&lt;6,"",ROUND((G1007*Rubric!$D$5+H1007*Rubric!$D$6+I1007*Rubric!$D$7+J1007*Rubric!$D$8+K1007*Rubric!$D$9+L1007*Rubric!$D$10)/5*100,1))</f>
        <v>83</v>
      </c>
      <c r="N1007" s="37" t="str">
        <f aca="false">IF(OR(B1007="",D1007=""),"",IFERROR(IF(IF(E1007="Primary",INDEX(Applications!$I$5:$I$600,MATCH(B1007,Applications!$A$5:$A$600,0)),IF(E1007="Secondary",INDEX(Applications!$J$5:$J$600,MATCH(B1007,Applications!$A$5:$A$600,0)),INDEX(Applications!$K$5:$K$600,MATCH(B1007,Applications!$A$5:$A$600,0))))=D1007,"OK","Not assigned"),"Check ID"))</f>
        <v>OK</v>
      </c>
      <c r="O1007" s="7"/>
    </row>
    <row r="1008" customFormat="false" ht="15" hidden="false" customHeight="false" outlineLevel="0" collapsed="false">
      <c r="A1008" s="35" t="s">
        <v>2405</v>
      </c>
      <c r="B1008" s="35" t="s">
        <v>1249</v>
      </c>
      <c r="C1008" s="37" t="str">
        <f aca="false">IF(B1008="","",IFERROR(INDEX(Applications!$B$5:$B$600,MATCH(B1008,Applications!$A$5:$A$600,0)),"Application ID not found"))</f>
        <v>Arequipa Community Pantry</v>
      </c>
      <c r="D1008" s="35" t="s">
        <v>91</v>
      </c>
      <c r="E1008" s="35" t="s">
        <v>83</v>
      </c>
      <c r="F1008" s="36" t="n">
        <v>45953</v>
      </c>
      <c r="G1008" s="35" t="n">
        <v>2</v>
      </c>
      <c r="H1008" s="35" t="n">
        <v>1</v>
      </c>
      <c r="I1008" s="35" t="n">
        <v>1</v>
      </c>
      <c r="J1008" s="35" t="n">
        <v>1</v>
      </c>
      <c r="K1008" s="35" t="n">
        <v>1</v>
      </c>
      <c r="L1008" s="35" t="n">
        <v>2</v>
      </c>
      <c r="M1008" s="50" t="n">
        <f aca="false">IF(COUNT(G1008:L1008)&lt;6,"",ROUND((G1008*Rubric!$D$5+H1008*Rubric!$D$6+I1008*Rubric!$D$7+J1008*Rubric!$D$8+K1008*Rubric!$D$9+L1008*Rubric!$D$10)/5*100,1))</f>
        <v>27</v>
      </c>
      <c r="N1008" s="37" t="str">
        <f aca="false">IF(OR(B1008="",D1008=""),"",IFERROR(IF(IF(E1008="Primary",INDEX(Applications!$I$5:$I$600,MATCH(B1008,Applications!$A$5:$A$600,0)),IF(E1008="Secondary",INDEX(Applications!$J$5:$J$600,MATCH(B1008,Applications!$A$5:$A$600,0)),INDEX(Applications!$K$5:$K$600,MATCH(B1008,Applications!$A$5:$A$600,0))))=D1008,"OK","Not assigned"),"Check ID"))</f>
        <v>OK</v>
      </c>
      <c r="O1008" s="7"/>
    </row>
    <row r="1009" customFormat="false" ht="15" hidden="false" customHeight="false" outlineLevel="0" collapsed="false">
      <c r="A1009" s="35" t="s">
        <v>2406</v>
      </c>
      <c r="B1009" s="35" t="s">
        <v>627</v>
      </c>
      <c r="C1009" s="37" t="str">
        <f aca="false">IF(B1009="","",IFERROR(INDEX(Applications!$B$5:$B$600,MATCH(B1009,Applications!$A$5:$A$600,0)),"Application ID not found"))</f>
        <v>Omaha Kitchen Project</v>
      </c>
      <c r="D1009" s="35" t="s">
        <v>91</v>
      </c>
      <c r="E1009" s="35" t="s">
        <v>80</v>
      </c>
      <c r="F1009" s="36" t="n">
        <v>45953</v>
      </c>
      <c r="G1009" s="35" t="n">
        <v>3</v>
      </c>
      <c r="H1009" s="35" t="n">
        <v>3</v>
      </c>
      <c r="I1009" s="35" t="n">
        <v>4</v>
      </c>
      <c r="J1009" s="35" t="n">
        <v>3</v>
      </c>
      <c r="K1009" s="35" t="n">
        <v>2</v>
      </c>
      <c r="L1009" s="35" t="n">
        <v>3</v>
      </c>
      <c r="M1009" s="50" t="n">
        <f aca="false">IF(COUNT(G1009:L1009)&lt;6,"",ROUND((G1009*Rubric!$D$5+H1009*Rubric!$D$6+I1009*Rubric!$D$7+J1009*Rubric!$D$8+K1009*Rubric!$D$9+L1009*Rubric!$D$10)/5*100,1))</f>
        <v>62</v>
      </c>
      <c r="N1009" s="37" t="str">
        <f aca="false">IF(OR(B1009="",D1009=""),"",IFERROR(IF(IF(E1009="Primary",INDEX(Applications!$I$5:$I$600,MATCH(B1009,Applications!$A$5:$A$600,0)),IF(E1009="Secondary",INDEX(Applications!$J$5:$J$600,MATCH(B1009,Applications!$A$5:$A$600,0)),INDEX(Applications!$K$5:$K$600,MATCH(B1009,Applications!$A$5:$A$600,0))))=D1009,"OK","Not assigned"),"Check ID"))</f>
        <v>OK</v>
      </c>
      <c r="O1009" s="7"/>
    </row>
    <row r="1010" customFormat="false" ht="15" hidden="false" customHeight="false" outlineLevel="0" collapsed="false">
      <c r="A1010" s="35" t="s">
        <v>2407</v>
      </c>
      <c r="B1010" s="35" t="s">
        <v>406</v>
      </c>
      <c r="C1010" s="37" t="str">
        <f aca="false">IF(B1010="","",IFERROR(INDEX(Applications!$B$5:$B$600,MATCH(B1010,Applications!$A$5:$A$600,0)),"Application ID not found"))</f>
        <v>Dayton Community Kitchen</v>
      </c>
      <c r="D1010" s="35" t="s">
        <v>94</v>
      </c>
      <c r="E1010" s="35" t="s">
        <v>83</v>
      </c>
      <c r="F1010" s="36" t="n">
        <v>45953</v>
      </c>
      <c r="G1010" s="35" t="n">
        <v>3</v>
      </c>
      <c r="H1010" s="35" t="n">
        <v>4</v>
      </c>
      <c r="I1010" s="35" t="n">
        <v>3</v>
      </c>
      <c r="J1010" s="35" t="n">
        <v>4</v>
      </c>
      <c r="K1010" s="35" t="n">
        <v>4</v>
      </c>
      <c r="L1010" s="35" t="n">
        <v>3</v>
      </c>
      <c r="M1010" s="50" t="n">
        <f aca="false">IF(COUNT(G1010:L1010)&lt;6,"",ROUND((G1010*Rubric!$D$5+H1010*Rubric!$D$6+I1010*Rubric!$D$7+J1010*Rubric!$D$8+K1010*Rubric!$D$9+L1010*Rubric!$D$10)/5*100,1))</f>
        <v>69</v>
      </c>
      <c r="N1010" s="37" t="str">
        <f aca="false">IF(OR(B1010="",D1010=""),"",IFERROR(IF(IF(E1010="Primary",INDEX(Applications!$I$5:$I$600,MATCH(B1010,Applications!$A$5:$A$600,0)),IF(E1010="Secondary",INDEX(Applications!$J$5:$J$600,MATCH(B1010,Applications!$A$5:$A$600,0)),INDEX(Applications!$K$5:$K$600,MATCH(B1010,Applications!$A$5:$A$600,0))))=D1010,"OK","Not assigned"),"Check ID"))</f>
        <v>OK</v>
      </c>
      <c r="O1010" s="7"/>
    </row>
    <row r="1011" customFormat="false" ht="15" hidden="false" customHeight="false" outlineLevel="0" collapsed="false">
      <c r="A1011" s="35" t="s">
        <v>2408</v>
      </c>
      <c r="B1011" s="35" t="s">
        <v>793</v>
      </c>
      <c r="C1011" s="37" t="str">
        <f aca="false">IF(B1011="","",IFERROR(INDEX(Applications!$B$5:$B$600,MATCH(B1011,Applications!$A$5:$A$600,0)),"Application ID not found"))</f>
        <v>Open Door Cafe Training Program</v>
      </c>
      <c r="D1011" s="35" t="s">
        <v>94</v>
      </c>
      <c r="E1011" s="35" t="s">
        <v>83</v>
      </c>
      <c r="F1011" s="36" t="n">
        <v>45953</v>
      </c>
      <c r="G1011" s="35" t="n">
        <v>3</v>
      </c>
      <c r="H1011" s="35" t="n">
        <v>3</v>
      </c>
      <c r="I1011" s="35" t="n">
        <v>4</v>
      </c>
      <c r="J1011" s="35" t="n">
        <v>3</v>
      </c>
      <c r="K1011" s="35" t="n">
        <v>3</v>
      </c>
      <c r="L1011" s="35" t="n">
        <v>4</v>
      </c>
      <c r="M1011" s="50" t="n">
        <f aca="false">IF(COUNT(G1011:L1011)&lt;6,"",ROUND((G1011*Rubric!$D$5+H1011*Rubric!$D$6+I1011*Rubric!$D$7+J1011*Rubric!$D$8+K1011*Rubric!$D$9+L1011*Rubric!$D$10)/5*100,1))</f>
        <v>66</v>
      </c>
      <c r="N1011" s="37" t="str">
        <f aca="false">IF(OR(B1011="",D1011=""),"",IFERROR(IF(IF(E1011="Primary",INDEX(Applications!$I$5:$I$600,MATCH(B1011,Applications!$A$5:$A$600,0)),IF(E1011="Secondary",INDEX(Applications!$J$5:$J$600,MATCH(B1011,Applications!$A$5:$A$600,0)),INDEX(Applications!$K$5:$K$600,MATCH(B1011,Applications!$A$5:$A$600,0))))=D1011,"OK","Not assigned"),"Check ID"))</f>
        <v>OK</v>
      </c>
      <c r="O1011" s="7"/>
    </row>
    <row r="1012" customFormat="false" ht="15" hidden="false" customHeight="false" outlineLevel="0" collapsed="false">
      <c r="A1012" s="35" t="s">
        <v>2409</v>
      </c>
      <c r="B1012" s="35" t="s">
        <v>1131</v>
      </c>
      <c r="C1012" s="37" t="str">
        <f aca="false">IF(B1012="","",IFERROR(INDEX(Applications!$B$5:$B$600,MATCH(B1012,Applications!$A$5:$A$600,0)),"Application ID not found"))</f>
        <v>Akron Market Gardens</v>
      </c>
      <c r="D1012" s="35" t="s">
        <v>94</v>
      </c>
      <c r="E1012" s="35" t="s">
        <v>80</v>
      </c>
      <c r="F1012" s="36" t="n">
        <v>45953</v>
      </c>
      <c r="G1012" s="35" t="n">
        <v>3</v>
      </c>
      <c r="H1012" s="35" t="n">
        <v>4</v>
      </c>
      <c r="I1012" s="35" t="n">
        <v>3</v>
      </c>
      <c r="J1012" s="35" t="n">
        <v>3</v>
      </c>
      <c r="K1012" s="35" t="n">
        <v>4</v>
      </c>
      <c r="L1012" s="35" t="n">
        <v>4</v>
      </c>
      <c r="M1012" s="50" t="n">
        <f aca="false">IF(COUNT(G1012:L1012)&lt;6,"",ROUND((G1012*Rubric!$D$5+H1012*Rubric!$D$6+I1012*Rubric!$D$7+J1012*Rubric!$D$8+K1012*Rubric!$D$9+L1012*Rubric!$D$10)/5*100,1))</f>
        <v>68</v>
      </c>
      <c r="N1012" s="37" t="str">
        <f aca="false">IF(OR(B1012="",D1012=""),"",IFERROR(IF(IF(E1012="Primary",INDEX(Applications!$I$5:$I$600,MATCH(B1012,Applications!$A$5:$A$600,0)),IF(E1012="Secondary",INDEX(Applications!$J$5:$J$600,MATCH(B1012,Applications!$A$5:$A$600,0)),INDEX(Applications!$K$5:$K$600,MATCH(B1012,Applications!$A$5:$A$600,0))))=D1012,"OK","Not assigned"),"Check ID"))</f>
        <v>OK</v>
      </c>
      <c r="O1012" s="7"/>
    </row>
    <row r="1013" customFormat="false" ht="15" hidden="false" customHeight="false" outlineLevel="0" collapsed="false">
      <c r="A1013" s="35" t="s">
        <v>2410</v>
      </c>
      <c r="B1013" s="35" t="s">
        <v>963</v>
      </c>
      <c r="C1013" s="37" t="str">
        <f aca="false">IF(B1013="","",IFERROR(INDEX(Applications!$B$5:$B$600,MATCH(B1013,Applications!$A$5:$A$600,0)),"Application ID not found"))</f>
        <v>Marigold Cafe Training Program</v>
      </c>
      <c r="D1013" s="35" t="s">
        <v>94</v>
      </c>
      <c r="E1013" s="35" t="s">
        <v>80</v>
      </c>
      <c r="F1013" s="36" t="n">
        <v>45953</v>
      </c>
      <c r="G1013" s="35" t="n">
        <v>4</v>
      </c>
      <c r="H1013" s="35" t="n">
        <v>5</v>
      </c>
      <c r="I1013" s="35" t="n">
        <v>4</v>
      </c>
      <c r="J1013" s="35" t="n">
        <v>4</v>
      </c>
      <c r="K1013" s="35" t="n">
        <v>4</v>
      </c>
      <c r="L1013" s="35" t="n">
        <v>4</v>
      </c>
      <c r="M1013" s="50" t="n">
        <f aca="false">IF(COUNT(G1013:L1013)&lt;6,"",ROUND((G1013*Rubric!$D$5+H1013*Rubric!$D$6+I1013*Rubric!$D$7+J1013*Rubric!$D$8+K1013*Rubric!$D$9+L1013*Rubric!$D$10)/5*100,1))</f>
        <v>84</v>
      </c>
      <c r="N1013" s="37" t="str">
        <f aca="false">IF(OR(B1013="",D1013=""),"",IFERROR(IF(IF(E1013="Primary",INDEX(Applications!$I$5:$I$600,MATCH(B1013,Applications!$A$5:$A$600,0)),IF(E1013="Secondary",INDEX(Applications!$J$5:$J$600,MATCH(B1013,Applications!$A$5:$A$600,0)),INDEX(Applications!$K$5:$K$600,MATCH(B1013,Applications!$A$5:$A$600,0))))=D1013,"OK","Not assigned"),"Check ID"))</f>
        <v>OK</v>
      </c>
      <c r="O1013" s="7"/>
    </row>
    <row r="1014" customFormat="false" ht="15" hidden="false" customHeight="false" outlineLevel="0" collapsed="false">
      <c r="A1014" s="35" t="s">
        <v>2411</v>
      </c>
      <c r="B1014" s="35" t="s">
        <v>1357</v>
      </c>
      <c r="C1014" s="37" t="str">
        <f aca="false">IF(B1014="","",IFERROR(INDEX(Applications!$B$5:$B$600,MATCH(B1014,Applications!$A$5:$A$600,0)),"Application ID not found"))</f>
        <v>Calgary Farm School</v>
      </c>
      <c r="D1014" s="35" t="s">
        <v>94</v>
      </c>
      <c r="E1014" s="35" t="s">
        <v>80</v>
      </c>
      <c r="F1014" s="36" t="n">
        <v>45953</v>
      </c>
      <c r="G1014" s="35" t="n">
        <v>5</v>
      </c>
      <c r="H1014" s="35" t="n">
        <v>5</v>
      </c>
      <c r="I1014" s="35" t="n">
        <v>4</v>
      </c>
      <c r="J1014" s="35" t="n">
        <v>5</v>
      </c>
      <c r="K1014" s="35" t="n">
        <v>5</v>
      </c>
      <c r="L1014" s="35" t="n">
        <v>5</v>
      </c>
      <c r="M1014" s="50" t="n">
        <f aca="false">IF(COUNT(G1014:L1014)&lt;6,"",ROUND((G1014*Rubric!$D$5+H1014*Rubric!$D$6+I1014*Rubric!$D$7+J1014*Rubric!$D$8+K1014*Rubric!$D$9+L1014*Rubric!$D$10)/5*100,1))</f>
        <v>96</v>
      </c>
      <c r="N1014" s="37" t="str">
        <f aca="false">IF(OR(B1014="",D1014=""),"",IFERROR(IF(IF(E1014="Primary",INDEX(Applications!$I$5:$I$600,MATCH(B1014,Applications!$A$5:$A$600,0)),IF(E1014="Secondary",INDEX(Applications!$J$5:$J$600,MATCH(B1014,Applications!$A$5:$A$600,0)),INDEX(Applications!$K$5:$K$600,MATCH(B1014,Applications!$A$5:$A$600,0))))=D1014,"OK","Not assigned"),"Check ID"))</f>
        <v>OK</v>
      </c>
      <c r="O1014" s="7" t="s">
        <v>1398</v>
      </c>
    </row>
    <row r="1015" customFormat="false" ht="15" hidden="false" customHeight="false" outlineLevel="0" collapsed="false">
      <c r="A1015" s="35" t="s">
        <v>2412</v>
      </c>
      <c r="B1015" s="35" t="s">
        <v>1243</v>
      </c>
      <c r="C1015" s="37" t="str">
        <f aca="false">IF(B1015="","",IFERROR(INDEX(Applications!$B$5:$B$600,MATCH(B1015,Applications!$A$5:$A$600,0)),"Application ID not found"))</f>
        <v>Cork Community Kitchen</v>
      </c>
      <c r="D1015" s="35" t="s">
        <v>94</v>
      </c>
      <c r="E1015" s="35" t="s">
        <v>80</v>
      </c>
      <c r="F1015" s="36" t="n">
        <v>45953</v>
      </c>
      <c r="G1015" s="35" t="n">
        <v>2</v>
      </c>
      <c r="H1015" s="35" t="n">
        <v>2</v>
      </c>
      <c r="I1015" s="35" t="n">
        <v>2</v>
      </c>
      <c r="J1015" s="35" t="n">
        <v>2</v>
      </c>
      <c r="K1015" s="35" t="n">
        <v>1</v>
      </c>
      <c r="L1015" s="35" t="n">
        <v>2</v>
      </c>
      <c r="M1015" s="50" t="n">
        <f aca="false">IF(COUNT(G1015:L1015)&lt;6,"",ROUND((G1015*Rubric!$D$5+H1015*Rubric!$D$6+I1015*Rubric!$D$7+J1015*Rubric!$D$8+K1015*Rubric!$D$9+L1015*Rubric!$D$10)/5*100,1))</f>
        <v>38</v>
      </c>
      <c r="N1015" s="37" t="str">
        <f aca="false">IF(OR(B1015="",D1015=""),"",IFERROR(IF(IF(E1015="Primary",INDEX(Applications!$I$5:$I$600,MATCH(B1015,Applications!$A$5:$A$600,0)),IF(E1015="Secondary",INDEX(Applications!$J$5:$J$600,MATCH(B1015,Applications!$A$5:$A$600,0)),INDEX(Applications!$K$5:$K$600,MATCH(B1015,Applications!$A$5:$A$600,0))))=D1015,"OK","Not assigned"),"Check ID"))</f>
        <v>OK</v>
      </c>
      <c r="O1015" s="7"/>
    </row>
    <row r="1016" customFormat="false" ht="15" hidden="false" customHeight="false" outlineLevel="0" collapsed="false">
      <c r="A1016" s="35" t="s">
        <v>2413</v>
      </c>
      <c r="B1016" s="35" t="s">
        <v>303</v>
      </c>
      <c r="C1016" s="37" t="str">
        <f aca="false">IF(B1016="","",IFERROR(INDEX(Applications!$B$5:$B$600,MATCH(B1016,Applications!$A$5:$A$600,0)),"Application ID not found"))</f>
        <v>Eastside Schools Nutrition Fund</v>
      </c>
      <c r="D1016" s="35" t="s">
        <v>94</v>
      </c>
      <c r="E1016" s="35" t="s">
        <v>80</v>
      </c>
      <c r="F1016" s="36" t="n">
        <v>45953</v>
      </c>
      <c r="G1016" s="35" t="n">
        <v>2</v>
      </c>
      <c r="H1016" s="35" t="n">
        <v>2</v>
      </c>
      <c r="I1016" s="35" t="n">
        <v>3</v>
      </c>
      <c r="J1016" s="35" t="n">
        <v>2</v>
      </c>
      <c r="K1016" s="35" t="n">
        <v>2</v>
      </c>
      <c r="L1016" s="35" t="n">
        <v>2</v>
      </c>
      <c r="M1016" s="50" t="n">
        <f aca="false">IF(COUNT(G1016:L1016)&lt;6,"",ROUND((G1016*Rubric!$D$5+H1016*Rubric!$D$6+I1016*Rubric!$D$7+J1016*Rubric!$D$8+K1016*Rubric!$D$9+L1016*Rubric!$D$10)/5*100,1))</f>
        <v>44</v>
      </c>
      <c r="N1016" s="37" t="str">
        <f aca="false">IF(OR(B1016="",D1016=""),"",IFERROR(IF(IF(E1016="Primary",INDEX(Applications!$I$5:$I$600,MATCH(B1016,Applications!$A$5:$A$600,0)),IF(E1016="Secondary",INDEX(Applications!$J$5:$J$600,MATCH(B1016,Applications!$A$5:$A$600,0)),INDEX(Applications!$K$5:$K$600,MATCH(B1016,Applications!$A$5:$A$600,0))))=D1016,"OK","Not assigned"),"Check ID"))</f>
        <v>OK</v>
      </c>
      <c r="O1016" s="7"/>
    </row>
    <row r="1017" customFormat="false" ht="15" hidden="false" customHeight="false" outlineLevel="0" collapsed="false">
      <c r="A1017" s="35" t="s">
        <v>2414</v>
      </c>
      <c r="B1017" s="35" t="s">
        <v>1339</v>
      </c>
      <c r="C1017" s="37" t="str">
        <f aca="false">IF(B1017="","",IFERROR(INDEX(Applications!$B$5:$B$600,MATCH(B1017,Applications!$A$5:$A$600,0)),"Application ID not found"))</f>
        <v>Sunrise Food Shelf</v>
      </c>
      <c r="D1017" s="35" t="s">
        <v>94</v>
      </c>
      <c r="E1017" s="35" t="s">
        <v>80</v>
      </c>
      <c r="F1017" s="36" t="n">
        <v>45953</v>
      </c>
      <c r="G1017" s="35" t="n">
        <v>3</v>
      </c>
      <c r="H1017" s="35" t="n">
        <v>4</v>
      </c>
      <c r="I1017" s="35" t="n">
        <v>3</v>
      </c>
      <c r="J1017" s="35" t="n">
        <v>3</v>
      </c>
      <c r="K1017" s="35" t="n">
        <v>2</v>
      </c>
      <c r="L1017" s="35" t="n">
        <v>2</v>
      </c>
      <c r="M1017" s="50" t="n">
        <f aca="false">IF(COUNT(G1017:L1017)&lt;6,"",ROUND((G1017*Rubric!$D$5+H1017*Rubric!$D$6+I1017*Rubric!$D$7+J1017*Rubric!$D$8+K1017*Rubric!$D$9+L1017*Rubric!$D$10)/5*100,1))</f>
        <v>60</v>
      </c>
      <c r="N1017" s="37" t="str">
        <f aca="false">IF(OR(B1017="",D1017=""),"",IFERROR(IF(IF(E1017="Primary",INDEX(Applications!$I$5:$I$600,MATCH(B1017,Applications!$A$5:$A$600,0)),IF(E1017="Secondary",INDEX(Applications!$J$5:$J$600,MATCH(B1017,Applications!$A$5:$A$600,0)),INDEX(Applications!$K$5:$K$600,MATCH(B1017,Applications!$A$5:$A$600,0))))=D1017,"OK","Not assigned"),"Check ID"))</f>
        <v>OK</v>
      </c>
      <c r="O1017" s="7"/>
    </row>
    <row r="1018" customFormat="false" ht="15" hidden="false" customHeight="false" outlineLevel="0" collapsed="false">
      <c r="A1018" s="35" t="s">
        <v>2415</v>
      </c>
      <c r="B1018" s="35" t="s">
        <v>480</v>
      </c>
      <c r="C1018" s="37" t="str">
        <f aca="false">IF(B1018="","",IFERROR(INDEX(Applications!$B$5:$B$600,MATCH(B1018,Applications!$A$5:$A$600,0)),"Application ID not found"))</f>
        <v>Hamilton Mobile Market</v>
      </c>
      <c r="D1018" s="35" t="s">
        <v>94</v>
      </c>
      <c r="E1018" s="35" t="s">
        <v>83</v>
      </c>
      <c r="F1018" s="36" t="n">
        <v>45953</v>
      </c>
      <c r="G1018" s="35" t="n">
        <v>4</v>
      </c>
      <c r="H1018" s="35" t="n">
        <v>3</v>
      </c>
      <c r="I1018" s="35" t="n">
        <v>4</v>
      </c>
      <c r="J1018" s="35" t="n">
        <v>4</v>
      </c>
      <c r="K1018" s="35" t="n">
        <v>4</v>
      </c>
      <c r="L1018" s="35" t="n">
        <v>4</v>
      </c>
      <c r="M1018" s="50" t="n">
        <f aca="false">IF(COUNT(G1018:L1018)&lt;6,"",ROUND((G1018*Rubric!$D$5+H1018*Rubric!$D$6+I1018*Rubric!$D$7+J1018*Rubric!$D$8+K1018*Rubric!$D$9+L1018*Rubric!$D$10)/5*100,1))</f>
        <v>76</v>
      </c>
      <c r="N1018" s="37" t="str">
        <f aca="false">IF(OR(B1018="",D1018=""),"",IFERROR(IF(IF(E1018="Primary",INDEX(Applications!$I$5:$I$600,MATCH(B1018,Applications!$A$5:$A$600,0)),IF(E1018="Secondary",INDEX(Applications!$J$5:$J$600,MATCH(B1018,Applications!$A$5:$A$600,0)),INDEX(Applications!$K$5:$K$600,MATCH(B1018,Applications!$A$5:$A$600,0))))=D1018,"OK","Not assigned"),"Check ID"))</f>
        <v>OK</v>
      </c>
      <c r="O1018" s="7"/>
    </row>
    <row r="1019" customFormat="false" ht="15" hidden="false" customHeight="false" outlineLevel="0" collapsed="false">
      <c r="A1019" s="35" t="s">
        <v>2416</v>
      </c>
      <c r="B1019" s="35" t="s">
        <v>1305</v>
      </c>
      <c r="C1019" s="37" t="str">
        <f aca="false">IF(B1019="","",IFERROR(INDEX(Applications!$B$5:$B$600,MATCH(B1019,Applications!$A$5:$A$600,0)),"Application ID not found"))</f>
        <v>Hamburg Seed Library</v>
      </c>
      <c r="D1019" s="35" t="s">
        <v>94</v>
      </c>
      <c r="E1019" s="35" t="s">
        <v>80</v>
      </c>
      <c r="F1019" s="36" t="n">
        <v>45953</v>
      </c>
      <c r="G1019" s="35" t="n">
        <v>4</v>
      </c>
      <c r="H1019" s="35" t="n">
        <v>4</v>
      </c>
      <c r="I1019" s="35" t="n">
        <v>3</v>
      </c>
      <c r="J1019" s="35" t="n">
        <v>4</v>
      </c>
      <c r="K1019" s="35" t="n">
        <v>4</v>
      </c>
      <c r="L1019" s="35" t="n">
        <v>4</v>
      </c>
      <c r="M1019" s="50" t="n">
        <f aca="false">IF(COUNT(G1019:L1019)&lt;6,"",ROUND((G1019*Rubric!$D$5+H1019*Rubric!$D$6+I1019*Rubric!$D$7+J1019*Rubric!$D$8+K1019*Rubric!$D$9+L1019*Rubric!$D$10)/5*100,1))</f>
        <v>76</v>
      </c>
      <c r="N1019" s="37" t="str">
        <f aca="false">IF(OR(B1019="",D1019=""),"",IFERROR(IF(IF(E1019="Primary",INDEX(Applications!$I$5:$I$600,MATCH(B1019,Applications!$A$5:$A$600,0)),IF(E1019="Secondary",INDEX(Applications!$J$5:$J$600,MATCH(B1019,Applications!$A$5:$A$600,0)),INDEX(Applications!$K$5:$K$600,MATCH(B1019,Applications!$A$5:$A$600,0))))=D1019,"OK","Not assigned"),"Check ID"))</f>
        <v>OK</v>
      </c>
      <c r="O1019" s="7"/>
    </row>
    <row r="1020" customFormat="false" ht="15" hidden="false" customHeight="false" outlineLevel="0" collapsed="false">
      <c r="A1020" s="35" t="s">
        <v>2417</v>
      </c>
      <c r="B1020" s="35" t="s">
        <v>337</v>
      </c>
      <c r="C1020" s="37" t="str">
        <f aca="false">IF(B1020="","",IFERROR(INDEX(Applications!$B$5:$B$600,MATCH(B1020,Applications!$A$5:$A$600,0)),"Application ID not found"))</f>
        <v>Galway Food Ventures</v>
      </c>
      <c r="D1020" s="35" t="s">
        <v>94</v>
      </c>
      <c r="E1020" s="35" t="s">
        <v>83</v>
      </c>
      <c r="F1020" s="36" t="n">
        <v>45953</v>
      </c>
      <c r="G1020" s="35" t="n">
        <v>2</v>
      </c>
      <c r="H1020" s="35" t="n">
        <v>3</v>
      </c>
      <c r="I1020" s="35" t="n">
        <v>3</v>
      </c>
      <c r="J1020" s="35" t="n">
        <v>3</v>
      </c>
      <c r="K1020" s="35" t="n">
        <v>3</v>
      </c>
      <c r="L1020" s="35" t="n">
        <v>3</v>
      </c>
      <c r="M1020" s="50" t="n">
        <f aca="false">IF(COUNT(G1020:L1020)&lt;6,"",ROUND((G1020*Rubric!$D$5+H1020*Rubric!$D$6+I1020*Rubric!$D$7+J1020*Rubric!$D$8+K1020*Rubric!$D$9+L1020*Rubric!$D$10)/5*100,1))</f>
        <v>55</v>
      </c>
      <c r="N1020" s="37" t="str">
        <f aca="false">IF(OR(B1020="",D1020=""),"",IFERROR(IF(IF(E1020="Primary",INDEX(Applications!$I$5:$I$600,MATCH(B1020,Applications!$A$5:$A$600,0)),IF(E1020="Secondary",INDEX(Applications!$J$5:$J$600,MATCH(B1020,Applications!$A$5:$A$600,0)),INDEX(Applications!$K$5:$K$600,MATCH(B1020,Applications!$A$5:$A$600,0))))=D1020,"OK","Not assigned"),"Check ID"))</f>
        <v>OK</v>
      </c>
      <c r="O1020" s="7"/>
    </row>
    <row r="1021" customFormat="false" ht="15" hidden="false" customHeight="false" outlineLevel="0" collapsed="false">
      <c r="A1021" s="35" t="s">
        <v>2418</v>
      </c>
      <c r="B1021" s="35" t="s">
        <v>364</v>
      </c>
      <c r="C1021" s="37" t="str">
        <f aca="false">IF(B1021="","",IFERROR(INDEX(Applications!$B$5:$B$600,MATCH(B1021,Applications!$A$5:$A$600,0)),"Application ID not found"))</f>
        <v>Tidewater Food Shelf</v>
      </c>
      <c r="D1021" s="35" t="s">
        <v>94</v>
      </c>
      <c r="E1021" s="35" t="s">
        <v>83</v>
      </c>
      <c r="F1021" s="36" t="n">
        <v>45953</v>
      </c>
      <c r="G1021" s="35" t="n">
        <v>3</v>
      </c>
      <c r="H1021" s="35" t="n">
        <v>3</v>
      </c>
      <c r="I1021" s="35" t="n">
        <v>3</v>
      </c>
      <c r="J1021" s="35" t="n">
        <v>2</v>
      </c>
      <c r="K1021" s="35" t="n">
        <v>3</v>
      </c>
      <c r="L1021" s="35" t="n">
        <v>3</v>
      </c>
      <c r="M1021" s="50" t="n">
        <f aca="false">IF(COUNT(G1021:L1021)&lt;6,"",ROUND((G1021*Rubric!$D$5+H1021*Rubric!$D$6+I1021*Rubric!$D$7+J1021*Rubric!$D$8+K1021*Rubric!$D$9+L1021*Rubric!$D$10)/5*100,1))</f>
        <v>57</v>
      </c>
      <c r="N1021" s="37" t="str">
        <f aca="false">IF(OR(B1021="",D1021=""),"",IFERROR(IF(IF(E1021="Primary",INDEX(Applications!$I$5:$I$600,MATCH(B1021,Applications!$A$5:$A$600,0)),IF(E1021="Secondary",INDEX(Applications!$J$5:$J$600,MATCH(B1021,Applications!$A$5:$A$600,0)),INDEX(Applications!$K$5:$K$600,MATCH(B1021,Applications!$A$5:$A$600,0))))=D1021,"OK","Not assigned"),"Check ID"))</f>
        <v>OK</v>
      </c>
      <c r="O1021" s="7"/>
    </row>
    <row r="1022" customFormat="false" ht="15" hidden="false" customHeight="false" outlineLevel="0" collapsed="false">
      <c r="A1022" s="35" t="s">
        <v>2419</v>
      </c>
      <c r="B1022" s="35" t="s">
        <v>1111</v>
      </c>
      <c r="C1022" s="37" t="str">
        <f aca="false">IF(B1022="","",IFERROR(INDEX(Applications!$B$5:$B$600,MATCH(B1022,Applications!$A$5:$A$600,0)),"Application ID not found"))</f>
        <v>Greenway Food Bank</v>
      </c>
      <c r="D1022" s="35" t="s">
        <v>94</v>
      </c>
      <c r="E1022" s="35" t="s">
        <v>86</v>
      </c>
      <c r="F1022" s="36" t="n">
        <v>45953</v>
      </c>
      <c r="G1022" s="35" t="n">
        <v>4</v>
      </c>
      <c r="H1022" s="35" t="n">
        <v>4</v>
      </c>
      <c r="I1022" s="35" t="n">
        <v>3</v>
      </c>
      <c r="J1022" s="35" t="n">
        <v>4</v>
      </c>
      <c r="K1022" s="35" t="n">
        <v>4</v>
      </c>
      <c r="L1022" s="35" t="n">
        <v>4</v>
      </c>
      <c r="M1022" s="50" t="n">
        <f aca="false">IF(COUNT(G1022:L1022)&lt;6,"",ROUND((G1022*Rubric!$D$5+H1022*Rubric!$D$6+I1022*Rubric!$D$7+J1022*Rubric!$D$8+K1022*Rubric!$D$9+L1022*Rubric!$D$10)/5*100,1))</f>
        <v>76</v>
      </c>
      <c r="N1022" s="37" t="str">
        <f aca="false">IF(OR(B1022="",D1022=""),"",IFERROR(IF(IF(E1022="Primary",INDEX(Applications!$I$5:$I$600,MATCH(B1022,Applications!$A$5:$A$600,0)),IF(E1022="Secondary",INDEX(Applications!$J$5:$J$600,MATCH(B1022,Applications!$A$5:$A$600,0)),INDEX(Applications!$K$5:$K$600,MATCH(B1022,Applications!$A$5:$A$600,0))))=D1022,"OK","Not assigned"),"Check ID"))</f>
        <v>OK</v>
      </c>
      <c r="O1022" s="7"/>
    </row>
    <row r="1023" customFormat="false" ht="15" hidden="false" customHeight="false" outlineLevel="0" collapsed="false">
      <c r="A1023" s="35" t="s">
        <v>2420</v>
      </c>
      <c r="B1023" s="35" t="s">
        <v>1193</v>
      </c>
      <c r="C1023" s="37" t="str">
        <f aca="false">IF(B1023="","",IFERROR(INDEX(Applications!$B$5:$B$600,MATCH(B1023,Applications!$A$5:$A$600,0)),"Application ID not found"))</f>
        <v>Oak Hollow Farm Collective</v>
      </c>
      <c r="D1023" s="35" t="s">
        <v>85</v>
      </c>
      <c r="E1023" s="35" t="s">
        <v>80</v>
      </c>
      <c r="F1023" s="36" t="n">
        <v>45953</v>
      </c>
      <c r="G1023" s="35" t="n">
        <v>4</v>
      </c>
      <c r="H1023" s="35" t="n">
        <v>4</v>
      </c>
      <c r="I1023" s="35" t="n">
        <v>4</v>
      </c>
      <c r="J1023" s="35" t="n">
        <v>4</v>
      </c>
      <c r="K1023" s="35" t="n">
        <v>4</v>
      </c>
      <c r="L1023" s="35" t="n">
        <v>4</v>
      </c>
      <c r="M1023" s="50" t="n">
        <f aca="false">IF(COUNT(G1023:L1023)&lt;6,"",ROUND((G1023*Rubric!$D$5+H1023*Rubric!$D$6+I1023*Rubric!$D$7+J1023*Rubric!$D$8+K1023*Rubric!$D$9+L1023*Rubric!$D$10)/5*100,1))</f>
        <v>80</v>
      </c>
      <c r="N1023" s="37" t="str">
        <f aca="false">IF(OR(B1023="",D1023=""),"",IFERROR(IF(IF(E1023="Primary",INDEX(Applications!$I$5:$I$600,MATCH(B1023,Applications!$A$5:$A$600,0)),IF(E1023="Secondary",INDEX(Applications!$J$5:$J$600,MATCH(B1023,Applications!$A$5:$A$600,0)),INDEX(Applications!$K$5:$K$600,MATCH(B1023,Applications!$A$5:$A$600,0))))=D1023,"OK","Not assigned"),"Check ID"))</f>
        <v>OK</v>
      </c>
      <c r="O1023" s="7"/>
    </row>
    <row r="1024" customFormat="false" ht="15" hidden="false" customHeight="false" outlineLevel="0" collapsed="false">
      <c r="A1024" s="35" t="s">
        <v>2421</v>
      </c>
      <c r="B1024" s="35" t="s">
        <v>1039</v>
      </c>
      <c r="C1024" s="37" t="str">
        <f aca="false">IF(B1024="","",IFERROR(INDEX(Applications!$B$5:$B$600,MATCH(B1024,Applications!$A$5:$A$600,0)),"Application ID not found"))</f>
        <v>Peoria Youth Food Lab</v>
      </c>
      <c r="D1024" s="35" t="s">
        <v>85</v>
      </c>
      <c r="E1024" s="35" t="s">
        <v>83</v>
      </c>
      <c r="F1024" s="36" t="n">
        <v>45953</v>
      </c>
      <c r="G1024" s="35" t="n">
        <v>2</v>
      </c>
      <c r="H1024" s="35" t="n">
        <v>2</v>
      </c>
      <c r="I1024" s="35" t="n">
        <v>3</v>
      </c>
      <c r="J1024" s="35" t="n">
        <v>2</v>
      </c>
      <c r="K1024" s="35" t="n">
        <v>3</v>
      </c>
      <c r="L1024" s="35" t="n">
        <v>3</v>
      </c>
      <c r="M1024" s="50" t="n">
        <f aca="false">IF(COUNT(G1024:L1024)&lt;6,"",ROUND((G1024*Rubric!$D$5+H1024*Rubric!$D$6+I1024*Rubric!$D$7+J1024*Rubric!$D$8+K1024*Rubric!$D$9+L1024*Rubric!$D$10)/5*100,1))</f>
        <v>48</v>
      </c>
      <c r="N1024" s="37" t="str">
        <f aca="false">IF(OR(B1024="",D1024=""),"",IFERROR(IF(IF(E1024="Primary",INDEX(Applications!$I$5:$I$600,MATCH(B1024,Applications!$A$5:$A$600,0)),IF(E1024="Secondary",INDEX(Applications!$J$5:$J$600,MATCH(B1024,Applications!$A$5:$A$600,0)),INDEX(Applications!$K$5:$K$600,MATCH(B1024,Applications!$A$5:$A$600,0))))=D1024,"OK","Not assigned"),"Check ID"))</f>
        <v>OK</v>
      </c>
      <c r="O1024" s="7"/>
    </row>
    <row r="1025" customFormat="false" ht="15" hidden="false" customHeight="false" outlineLevel="0" collapsed="false">
      <c r="A1025" s="35" t="s">
        <v>2422</v>
      </c>
      <c r="B1025" s="35" t="s">
        <v>973</v>
      </c>
      <c r="C1025" s="37" t="str">
        <f aca="false">IF(B1025="","",IFERROR(INDEX(Applications!$B$5:$B$600,MATCH(B1025,Applications!$A$5:$A$600,0)),"Application ID not found"))</f>
        <v>Greenway Culinary Works</v>
      </c>
      <c r="D1025" s="35" t="s">
        <v>85</v>
      </c>
      <c r="E1025" s="35" t="s">
        <v>80</v>
      </c>
      <c r="F1025" s="36" t="n">
        <v>45953</v>
      </c>
      <c r="G1025" s="35" t="n">
        <v>4</v>
      </c>
      <c r="H1025" s="35" t="n">
        <v>4</v>
      </c>
      <c r="I1025" s="35" t="n">
        <v>4</v>
      </c>
      <c r="J1025" s="35" t="n">
        <v>5</v>
      </c>
      <c r="K1025" s="35" t="n">
        <v>4</v>
      </c>
      <c r="L1025" s="35" t="n">
        <v>4</v>
      </c>
      <c r="M1025" s="50" t="n">
        <f aca="false">IF(COUNT(G1025:L1025)&lt;6,"",ROUND((G1025*Rubric!$D$5+H1025*Rubric!$D$6+I1025*Rubric!$D$7+J1025*Rubric!$D$8+K1025*Rubric!$D$9+L1025*Rubric!$D$10)/5*100,1))</f>
        <v>83</v>
      </c>
      <c r="N1025" s="37" t="str">
        <f aca="false">IF(OR(B1025="",D1025=""),"",IFERROR(IF(IF(E1025="Primary",INDEX(Applications!$I$5:$I$600,MATCH(B1025,Applications!$A$5:$A$600,0)),IF(E1025="Secondary",INDEX(Applications!$J$5:$J$600,MATCH(B1025,Applications!$A$5:$A$600,0)),INDEX(Applications!$K$5:$K$600,MATCH(B1025,Applications!$A$5:$A$600,0))))=D1025,"OK","Not assigned"),"Check ID"))</f>
        <v>OK</v>
      </c>
      <c r="O1025" s="7" t="s">
        <v>1592</v>
      </c>
    </row>
    <row r="1026" customFormat="false" ht="15" hidden="false" customHeight="false" outlineLevel="0" collapsed="false">
      <c r="A1026" s="35" t="s">
        <v>2423</v>
      </c>
      <c r="B1026" s="35" t="s">
        <v>468</v>
      </c>
      <c r="C1026" s="37" t="str">
        <f aca="false">IF(B1026="","",IFERROR(INDEX(Applications!$B$5:$B$600,MATCH(B1026,Applications!$A$5:$A$600,0)),"Application ID not found"))</f>
        <v>Toronto Schools Nutrition Fund</v>
      </c>
      <c r="D1026" s="35" t="s">
        <v>85</v>
      </c>
      <c r="E1026" s="35" t="s">
        <v>80</v>
      </c>
      <c r="F1026" s="36" t="n">
        <v>45953</v>
      </c>
      <c r="G1026" s="35" t="n">
        <v>3</v>
      </c>
      <c r="H1026" s="35" t="n">
        <v>3</v>
      </c>
      <c r="I1026" s="35" t="n">
        <v>3</v>
      </c>
      <c r="J1026" s="35" t="n">
        <v>3</v>
      </c>
      <c r="K1026" s="35" t="n">
        <v>3</v>
      </c>
      <c r="L1026" s="35" t="n">
        <v>2</v>
      </c>
      <c r="M1026" s="50" t="n">
        <f aca="false">IF(COUNT(G1026:L1026)&lt;6,"",ROUND((G1026*Rubric!$D$5+H1026*Rubric!$D$6+I1026*Rubric!$D$7+J1026*Rubric!$D$8+K1026*Rubric!$D$9+L1026*Rubric!$D$10)/5*100,1))</f>
        <v>58</v>
      </c>
      <c r="N1026" s="37" t="str">
        <f aca="false">IF(OR(B1026="",D1026=""),"",IFERROR(IF(IF(E1026="Primary",INDEX(Applications!$I$5:$I$600,MATCH(B1026,Applications!$A$5:$A$600,0)),IF(E1026="Secondary",INDEX(Applications!$J$5:$J$600,MATCH(B1026,Applications!$A$5:$A$600,0)),INDEX(Applications!$K$5:$K$600,MATCH(B1026,Applications!$A$5:$A$600,0))))=D1026,"OK","Not assigned"),"Check ID"))</f>
        <v>OK</v>
      </c>
      <c r="O1026" s="7"/>
    </row>
    <row r="1027" customFormat="false" ht="15" hidden="false" customHeight="false" outlineLevel="0" collapsed="false">
      <c r="A1027" s="35" t="s">
        <v>2424</v>
      </c>
      <c r="B1027" s="35" t="s">
        <v>538</v>
      </c>
      <c r="C1027" s="37" t="str">
        <f aca="false">IF(B1027="","",IFERROR(INDEX(Applications!$B$5:$B$600,MATCH(B1027,Applications!$A$5:$A$600,0)),"Application ID not found"))</f>
        <v>Pittsburgh Schools Nutrition Fund</v>
      </c>
      <c r="D1027" s="35" t="s">
        <v>85</v>
      </c>
      <c r="E1027" s="35" t="s">
        <v>83</v>
      </c>
      <c r="F1027" s="36" t="n">
        <v>45953</v>
      </c>
      <c r="G1027" s="35" t="n">
        <v>3</v>
      </c>
      <c r="H1027" s="35" t="n">
        <v>3</v>
      </c>
      <c r="I1027" s="35" t="n">
        <v>3</v>
      </c>
      <c r="J1027" s="35" t="n">
        <v>3</v>
      </c>
      <c r="K1027" s="35" t="n">
        <v>3</v>
      </c>
      <c r="L1027" s="35" t="n">
        <v>4</v>
      </c>
      <c r="M1027" s="50" t="n">
        <f aca="false">IF(COUNT(G1027:L1027)&lt;6,"",ROUND((G1027*Rubric!$D$5+H1027*Rubric!$D$6+I1027*Rubric!$D$7+J1027*Rubric!$D$8+K1027*Rubric!$D$9+L1027*Rubric!$D$10)/5*100,1))</f>
        <v>62</v>
      </c>
      <c r="N1027" s="37" t="str">
        <f aca="false">IF(OR(B1027="",D1027=""),"",IFERROR(IF(IF(E1027="Primary",INDEX(Applications!$I$5:$I$600,MATCH(B1027,Applications!$A$5:$A$600,0)),IF(E1027="Secondary",INDEX(Applications!$J$5:$J$600,MATCH(B1027,Applications!$A$5:$A$600,0)),INDEX(Applications!$K$5:$K$600,MATCH(B1027,Applications!$A$5:$A$600,0))))=D1027,"OK","Not assigned"),"Check ID"))</f>
        <v>OK</v>
      </c>
      <c r="O1027" s="7"/>
    </row>
    <row r="1028" customFormat="false" ht="15" hidden="false" customHeight="false" outlineLevel="0" collapsed="false">
      <c r="A1028" s="35" t="s">
        <v>2425</v>
      </c>
      <c r="B1028" s="35" t="s">
        <v>721</v>
      </c>
      <c r="C1028" s="37" t="str">
        <f aca="false">IF(B1028="","",IFERROR(INDEX(Applications!$B$5:$B$600,MATCH(B1028,Applications!$A$5:$A$600,0)),"Application ID not found"))</f>
        <v>Ironwood Family Center</v>
      </c>
      <c r="D1028" s="35" t="s">
        <v>85</v>
      </c>
      <c r="E1028" s="35" t="s">
        <v>83</v>
      </c>
      <c r="F1028" s="36" t="n">
        <v>45953</v>
      </c>
      <c r="G1028" s="35" t="n">
        <v>4</v>
      </c>
      <c r="H1028" s="35" t="n">
        <v>4</v>
      </c>
      <c r="I1028" s="35" t="n">
        <v>4</v>
      </c>
      <c r="J1028" s="35" t="n">
        <v>3</v>
      </c>
      <c r="K1028" s="35" t="n">
        <v>4</v>
      </c>
      <c r="L1028" s="35" t="n">
        <v>4</v>
      </c>
      <c r="M1028" s="50" t="n">
        <f aca="false">IF(COUNT(G1028:L1028)&lt;6,"",ROUND((G1028*Rubric!$D$5+H1028*Rubric!$D$6+I1028*Rubric!$D$7+J1028*Rubric!$D$8+K1028*Rubric!$D$9+L1028*Rubric!$D$10)/5*100,1))</f>
        <v>77</v>
      </c>
      <c r="N1028" s="37" t="str">
        <f aca="false">IF(OR(B1028="",D1028=""),"",IFERROR(IF(IF(E1028="Primary",INDEX(Applications!$I$5:$I$600,MATCH(B1028,Applications!$A$5:$A$600,0)),IF(E1028="Secondary",INDEX(Applications!$J$5:$J$600,MATCH(B1028,Applications!$A$5:$A$600,0)),INDEX(Applications!$K$5:$K$600,MATCH(B1028,Applications!$A$5:$A$600,0))))=D1028,"OK","Not assigned"),"Check ID"))</f>
        <v>OK</v>
      </c>
      <c r="O1028" s="7"/>
    </row>
    <row r="1029" customFormat="false" ht="15" hidden="false" customHeight="false" outlineLevel="0" collapsed="false">
      <c r="A1029" s="35" t="s">
        <v>2426</v>
      </c>
      <c r="B1029" s="35" t="s">
        <v>1357</v>
      </c>
      <c r="C1029" s="37" t="str">
        <f aca="false">IF(B1029="","",IFERROR(INDEX(Applications!$B$5:$B$600,MATCH(B1029,Applications!$A$5:$A$600,0)),"Application ID not found"))</f>
        <v>Calgary Farm School</v>
      </c>
      <c r="D1029" s="35" t="s">
        <v>85</v>
      </c>
      <c r="E1029" s="35" t="s">
        <v>83</v>
      </c>
      <c r="F1029" s="36" t="n">
        <v>45953</v>
      </c>
      <c r="G1029" s="35" t="n">
        <v>4</v>
      </c>
      <c r="H1029" s="35" t="n">
        <v>4</v>
      </c>
      <c r="I1029" s="35" t="n">
        <v>4</v>
      </c>
      <c r="J1029" s="35" t="n">
        <v>5</v>
      </c>
      <c r="K1029" s="35" t="n">
        <v>4</v>
      </c>
      <c r="L1029" s="35" t="n">
        <v>4</v>
      </c>
      <c r="M1029" s="50" t="n">
        <f aca="false">IF(COUNT(G1029:L1029)&lt;6,"",ROUND((G1029*Rubric!$D$5+H1029*Rubric!$D$6+I1029*Rubric!$D$7+J1029*Rubric!$D$8+K1029*Rubric!$D$9+L1029*Rubric!$D$10)/5*100,1))</f>
        <v>83</v>
      </c>
      <c r="N1029" s="37" t="str">
        <f aca="false">IF(OR(B1029="",D1029=""),"",IFERROR(IF(IF(E1029="Primary",INDEX(Applications!$I$5:$I$600,MATCH(B1029,Applications!$A$5:$A$600,0)),IF(E1029="Secondary",INDEX(Applications!$J$5:$J$600,MATCH(B1029,Applications!$A$5:$A$600,0)),INDEX(Applications!$K$5:$K$600,MATCH(B1029,Applications!$A$5:$A$600,0))))=D1029,"OK","Not assigned"),"Check ID"))</f>
        <v>OK</v>
      </c>
      <c r="O1029" s="7"/>
    </row>
    <row r="1030" customFormat="false" ht="15" hidden="false" customHeight="false" outlineLevel="0" collapsed="false">
      <c r="A1030" s="35" t="s">
        <v>2427</v>
      </c>
      <c r="B1030" s="35" t="s">
        <v>292</v>
      </c>
      <c r="C1030" s="37" t="str">
        <f aca="false">IF(B1030="","",IFERROR(INDEX(Applications!$B$5:$B$600,MATCH(B1030,Applications!$A$5:$A$600,0)),"Application ID not found"))</f>
        <v>Tucson Culinary Works</v>
      </c>
      <c r="D1030" s="35" t="s">
        <v>85</v>
      </c>
      <c r="E1030" s="35" t="s">
        <v>80</v>
      </c>
      <c r="F1030" s="36" t="n">
        <v>45953</v>
      </c>
      <c r="G1030" s="35" t="n">
        <v>3</v>
      </c>
      <c r="H1030" s="35" t="n">
        <v>3</v>
      </c>
      <c r="I1030" s="35" t="n">
        <v>3</v>
      </c>
      <c r="J1030" s="35" t="n">
        <v>3</v>
      </c>
      <c r="K1030" s="35" t="n">
        <v>3</v>
      </c>
      <c r="L1030" s="35" t="n">
        <v>3</v>
      </c>
      <c r="M1030" s="50" t="n">
        <f aca="false">IF(COUNT(G1030:L1030)&lt;6,"",ROUND((G1030*Rubric!$D$5+H1030*Rubric!$D$6+I1030*Rubric!$D$7+J1030*Rubric!$D$8+K1030*Rubric!$D$9+L1030*Rubric!$D$10)/5*100,1))</f>
        <v>60</v>
      </c>
      <c r="N1030" s="37" t="str">
        <f aca="false">IF(OR(B1030="",D1030=""),"",IFERROR(IF(IF(E1030="Primary",INDEX(Applications!$I$5:$I$600,MATCH(B1030,Applications!$A$5:$A$600,0)),IF(E1030="Secondary",INDEX(Applications!$J$5:$J$600,MATCH(B1030,Applications!$A$5:$A$600,0)),INDEX(Applications!$K$5:$K$600,MATCH(B1030,Applications!$A$5:$A$600,0))))=D1030,"OK","Not assigned"),"Check ID"))</f>
        <v>OK</v>
      </c>
      <c r="O1030" s="7"/>
    </row>
    <row r="1031" customFormat="false" ht="15" hidden="false" customHeight="false" outlineLevel="0" collapsed="false">
      <c r="A1031" s="35" t="s">
        <v>2428</v>
      </c>
      <c r="B1031" s="35" t="s">
        <v>741</v>
      </c>
      <c r="C1031" s="37" t="str">
        <f aca="false">IF(B1031="","",IFERROR(INDEX(Applications!$B$5:$B$600,MATCH(B1031,Applications!$A$5:$A$600,0)),"Application ID not found"))</f>
        <v>Galway Bakery Collective</v>
      </c>
      <c r="D1031" s="35" t="s">
        <v>85</v>
      </c>
      <c r="E1031" s="35" t="s">
        <v>80</v>
      </c>
      <c r="F1031" s="36" t="n">
        <v>45953</v>
      </c>
      <c r="G1031" s="35" t="n">
        <v>3</v>
      </c>
      <c r="H1031" s="35" t="n">
        <v>3</v>
      </c>
      <c r="I1031" s="35" t="n">
        <v>3</v>
      </c>
      <c r="J1031" s="35" t="n">
        <v>3</v>
      </c>
      <c r="K1031" s="35" t="n">
        <v>4</v>
      </c>
      <c r="L1031" s="35" t="n">
        <v>3</v>
      </c>
      <c r="M1031" s="50" t="n">
        <f aca="false">IF(COUNT(G1031:L1031)&lt;6,"",ROUND((G1031*Rubric!$D$5+H1031*Rubric!$D$6+I1031*Rubric!$D$7+J1031*Rubric!$D$8+K1031*Rubric!$D$9+L1031*Rubric!$D$10)/5*100,1))</f>
        <v>62</v>
      </c>
      <c r="N1031" s="37" t="str">
        <f aca="false">IF(OR(B1031="",D1031=""),"",IFERROR(IF(IF(E1031="Primary",INDEX(Applications!$I$5:$I$600,MATCH(B1031,Applications!$A$5:$A$600,0)),IF(E1031="Secondary",INDEX(Applications!$J$5:$J$600,MATCH(B1031,Applications!$A$5:$A$600,0)),INDEX(Applications!$K$5:$K$600,MATCH(B1031,Applications!$A$5:$A$600,0))))=D1031,"OK","Not assigned"),"Check ID"))</f>
        <v>OK</v>
      </c>
      <c r="O1031" s="7"/>
    </row>
    <row r="1032" customFormat="false" ht="15" hidden="false" customHeight="false" outlineLevel="0" collapsed="false">
      <c r="A1032" s="35" t="s">
        <v>2429</v>
      </c>
      <c r="B1032" s="35" t="s">
        <v>837</v>
      </c>
      <c r="C1032" s="37" t="str">
        <f aca="false">IF(B1032="","",IFERROR(INDEX(Applications!$B$5:$B$600,MATCH(B1032,Applications!$A$5:$A$600,0)),"Application ID not found"))</f>
        <v>Prairie Youth Food Lab</v>
      </c>
      <c r="D1032" s="35" t="s">
        <v>85</v>
      </c>
      <c r="E1032" s="35" t="s">
        <v>80</v>
      </c>
      <c r="F1032" s="36" t="n">
        <v>45953</v>
      </c>
      <c r="G1032" s="35" t="n">
        <v>4</v>
      </c>
      <c r="H1032" s="35" t="n">
        <v>3</v>
      </c>
      <c r="I1032" s="35" t="n">
        <v>3</v>
      </c>
      <c r="J1032" s="35" t="n">
        <v>4</v>
      </c>
      <c r="K1032" s="35" t="n">
        <v>3</v>
      </c>
      <c r="L1032" s="35" t="n">
        <v>3</v>
      </c>
      <c r="M1032" s="50" t="n">
        <f aca="false">IF(COUNT(G1032:L1032)&lt;6,"",ROUND((G1032*Rubric!$D$5+H1032*Rubric!$D$6+I1032*Rubric!$D$7+J1032*Rubric!$D$8+K1032*Rubric!$D$9+L1032*Rubric!$D$10)/5*100,1))</f>
        <v>68</v>
      </c>
      <c r="N1032" s="37" t="str">
        <f aca="false">IF(OR(B1032="",D1032=""),"",IFERROR(IF(IF(E1032="Primary",INDEX(Applications!$I$5:$I$600,MATCH(B1032,Applications!$A$5:$A$600,0)),IF(E1032="Secondary",INDEX(Applications!$J$5:$J$600,MATCH(B1032,Applications!$A$5:$A$600,0)),INDEX(Applications!$K$5:$K$600,MATCH(B1032,Applications!$A$5:$A$600,0))))=D1032,"OK","Not assigned"),"Check ID"))</f>
        <v>OK</v>
      </c>
      <c r="O1032" s="7"/>
    </row>
    <row r="1033" customFormat="false" ht="15" hidden="false" customHeight="false" outlineLevel="0" collapsed="false">
      <c r="A1033" s="35" t="s">
        <v>2430</v>
      </c>
      <c r="B1033" s="35" t="s">
        <v>1217</v>
      </c>
      <c r="C1033" s="37" t="str">
        <f aca="false">IF(B1033="","",IFERROR(INDEX(Applications!$B$5:$B$600,MATCH(B1033,Applications!$A$5:$A$600,0)),"Application ID not found"))</f>
        <v>Toledo Schools Nutrition Fund</v>
      </c>
      <c r="D1033" s="35" t="s">
        <v>85</v>
      </c>
      <c r="E1033" s="35" t="s">
        <v>83</v>
      </c>
      <c r="F1033" s="36" t="n">
        <v>45953</v>
      </c>
      <c r="G1033" s="35" t="n">
        <v>4</v>
      </c>
      <c r="H1033" s="35" t="n">
        <v>3</v>
      </c>
      <c r="I1033" s="35" t="n">
        <v>3</v>
      </c>
      <c r="J1033" s="35" t="n">
        <v>4</v>
      </c>
      <c r="K1033" s="35" t="n">
        <v>3</v>
      </c>
      <c r="L1033" s="35" t="n">
        <v>3</v>
      </c>
      <c r="M1033" s="50" t="n">
        <f aca="false">IF(COUNT(G1033:L1033)&lt;6,"",ROUND((G1033*Rubric!$D$5+H1033*Rubric!$D$6+I1033*Rubric!$D$7+J1033*Rubric!$D$8+K1033*Rubric!$D$9+L1033*Rubric!$D$10)/5*100,1))</f>
        <v>68</v>
      </c>
      <c r="N1033" s="37" t="str">
        <f aca="false">IF(OR(B1033="",D1033=""),"",IFERROR(IF(IF(E1033="Primary",INDEX(Applications!$I$5:$I$600,MATCH(B1033,Applications!$A$5:$A$600,0)),IF(E1033="Secondary",INDEX(Applications!$J$5:$J$600,MATCH(B1033,Applications!$A$5:$A$600,0)),INDEX(Applications!$K$5:$K$600,MATCH(B1033,Applications!$A$5:$A$600,0))))=D1033,"OK","Not assigned"),"Check ID"))</f>
        <v>OK</v>
      </c>
      <c r="O1033" s="7"/>
    </row>
    <row r="1034" customFormat="false" ht="15" hidden="false" customHeight="false" outlineLevel="0" collapsed="false">
      <c r="A1034" s="35" t="s">
        <v>2431</v>
      </c>
      <c r="B1034" s="35" t="s">
        <v>1089</v>
      </c>
      <c r="C1034" s="37" t="str">
        <f aca="false">IF(B1034="","",IFERROR(INDEX(Applications!$B$5:$B$600,MATCH(B1034,Applications!$A$5:$A$600,0)),"Application ID not found"))</f>
        <v>Valley Family Center</v>
      </c>
      <c r="D1034" s="35" t="s">
        <v>85</v>
      </c>
      <c r="E1034" s="35" t="s">
        <v>80</v>
      </c>
      <c r="F1034" s="36" t="n">
        <v>45953</v>
      </c>
      <c r="G1034" s="35" t="n">
        <v>2</v>
      </c>
      <c r="H1034" s="35" t="n">
        <v>3</v>
      </c>
      <c r="I1034" s="35" t="n">
        <v>3</v>
      </c>
      <c r="J1034" s="35" t="n">
        <v>3</v>
      </c>
      <c r="K1034" s="35" t="n">
        <v>3</v>
      </c>
      <c r="L1034" s="35" t="n">
        <v>2</v>
      </c>
      <c r="M1034" s="50" t="n">
        <f aca="false">IF(COUNT(G1034:L1034)&lt;6,"",ROUND((G1034*Rubric!$D$5+H1034*Rubric!$D$6+I1034*Rubric!$D$7+J1034*Rubric!$D$8+K1034*Rubric!$D$9+L1034*Rubric!$D$10)/5*100,1))</f>
        <v>53</v>
      </c>
      <c r="N1034" s="37" t="str">
        <f aca="false">IF(OR(B1034="",D1034=""),"",IFERROR(IF(IF(E1034="Primary",INDEX(Applications!$I$5:$I$600,MATCH(B1034,Applications!$A$5:$A$600,0)),IF(E1034="Secondary",INDEX(Applications!$J$5:$J$600,MATCH(B1034,Applications!$A$5:$A$600,0)),INDEX(Applications!$K$5:$K$600,MATCH(B1034,Applications!$A$5:$A$600,0))))=D1034,"OK","Not assigned"),"Check ID"))</f>
        <v>OK</v>
      </c>
      <c r="O1034" s="7"/>
    </row>
    <row r="1035" customFormat="false" ht="15" hidden="false" customHeight="false" outlineLevel="0" collapsed="false">
      <c r="A1035" s="35" t="s">
        <v>2432</v>
      </c>
      <c r="B1035" s="35" t="s">
        <v>223</v>
      </c>
      <c r="C1035" s="37" t="str">
        <f aca="false">IF(B1035="","",IFERROR(INDEX(Applications!$B$5:$B$600,MATCH(B1035,Applications!$A$5:$A$600,0)),"Application ID not found"))</f>
        <v>Cardiff Market Gardens</v>
      </c>
      <c r="D1035" s="35" t="s">
        <v>85</v>
      </c>
      <c r="E1035" s="35" t="s">
        <v>83</v>
      </c>
      <c r="F1035" s="36" t="n">
        <v>45953</v>
      </c>
      <c r="G1035" s="35" t="n">
        <v>3</v>
      </c>
      <c r="H1035" s="35" t="n">
        <v>4</v>
      </c>
      <c r="I1035" s="35" t="n">
        <v>3</v>
      </c>
      <c r="J1035" s="35" t="n">
        <v>3</v>
      </c>
      <c r="K1035" s="35" t="n">
        <v>2</v>
      </c>
      <c r="L1035" s="35" t="n">
        <v>2</v>
      </c>
      <c r="M1035" s="50" t="n">
        <f aca="false">IF(COUNT(G1035:L1035)&lt;6,"",ROUND((G1035*Rubric!$D$5+H1035*Rubric!$D$6+I1035*Rubric!$D$7+J1035*Rubric!$D$8+K1035*Rubric!$D$9+L1035*Rubric!$D$10)/5*100,1))</f>
        <v>60</v>
      </c>
      <c r="N1035" s="37" t="str">
        <f aca="false">IF(OR(B1035="",D1035=""),"",IFERROR(IF(IF(E1035="Primary",INDEX(Applications!$I$5:$I$600,MATCH(B1035,Applications!$A$5:$A$600,0)),IF(E1035="Secondary",INDEX(Applications!$J$5:$J$600,MATCH(B1035,Applications!$A$5:$A$600,0)),INDEX(Applications!$K$5:$K$600,MATCH(B1035,Applications!$A$5:$A$600,0))))=D1035,"OK","Not assigned"),"Check ID"))</f>
        <v>OK</v>
      </c>
      <c r="O1035" s="7"/>
    </row>
    <row r="1036" customFormat="false" ht="15" hidden="false" customHeight="false" outlineLevel="0" collapsed="false">
      <c r="A1036" s="35" t="s">
        <v>2433</v>
      </c>
      <c r="B1036" s="35" t="s">
        <v>1029</v>
      </c>
      <c r="C1036" s="37" t="str">
        <f aca="false">IF(B1036="","",IFERROR(INDEX(Applications!$B$5:$B$600,MATCH(B1036,Applications!$A$5:$A$600,0)),"Application ID not found"))</f>
        <v>Cologne Culinary Works</v>
      </c>
      <c r="D1036" s="35" t="s">
        <v>85</v>
      </c>
      <c r="E1036" s="35" t="s">
        <v>80</v>
      </c>
      <c r="F1036" s="36" t="n">
        <v>45953</v>
      </c>
      <c r="G1036" s="35" t="n">
        <v>3</v>
      </c>
      <c r="H1036" s="35" t="n">
        <v>3</v>
      </c>
      <c r="I1036" s="35" t="n">
        <v>3</v>
      </c>
      <c r="J1036" s="35" t="n">
        <v>3</v>
      </c>
      <c r="K1036" s="35" t="n">
        <v>3</v>
      </c>
      <c r="L1036" s="35" t="n">
        <v>4</v>
      </c>
      <c r="M1036" s="50" t="n">
        <f aca="false">IF(COUNT(G1036:L1036)&lt;6,"",ROUND((G1036*Rubric!$D$5+H1036*Rubric!$D$6+I1036*Rubric!$D$7+J1036*Rubric!$D$8+K1036*Rubric!$D$9+L1036*Rubric!$D$10)/5*100,1))</f>
        <v>62</v>
      </c>
      <c r="N1036" s="37" t="str">
        <f aca="false">IF(OR(B1036="",D1036=""),"",IFERROR(IF(IF(E1036="Primary",INDEX(Applications!$I$5:$I$600,MATCH(B1036,Applications!$A$5:$A$600,0)),IF(E1036="Secondary",INDEX(Applications!$J$5:$J$600,MATCH(B1036,Applications!$A$5:$A$600,0)),INDEX(Applications!$K$5:$K$600,MATCH(B1036,Applications!$A$5:$A$600,0))))=D1036,"OK","Not assigned"),"Check ID"))</f>
        <v>OK</v>
      </c>
      <c r="O1036" s="7"/>
    </row>
    <row r="1037" customFormat="false" ht="15" hidden="false" customHeight="false" outlineLevel="0" collapsed="false">
      <c r="A1037" s="35" t="s">
        <v>2434</v>
      </c>
      <c r="B1037" s="35" t="s">
        <v>1341</v>
      </c>
      <c r="C1037" s="37" t="str">
        <f aca="false">IF(B1037="","",IFERROR(INDEX(Applications!$B$5:$B$600,MATCH(B1037,Applications!$A$5:$A$600,0)),"Application ID not found"))</f>
        <v>Detroit Youth Food Lab</v>
      </c>
      <c r="D1037" s="35" t="s">
        <v>85</v>
      </c>
      <c r="E1037" s="35" t="s">
        <v>83</v>
      </c>
      <c r="F1037" s="36" t="n">
        <v>45953</v>
      </c>
      <c r="G1037" s="35" t="n">
        <v>4</v>
      </c>
      <c r="H1037" s="35" t="n">
        <v>3</v>
      </c>
      <c r="I1037" s="35" t="n">
        <v>3</v>
      </c>
      <c r="J1037" s="35" t="n">
        <v>4</v>
      </c>
      <c r="K1037" s="35" t="n">
        <v>4</v>
      </c>
      <c r="L1037" s="35" t="n">
        <v>3</v>
      </c>
      <c r="M1037" s="50" t="n">
        <f aca="false">IF(COUNT(G1037:L1037)&lt;6,"",ROUND((G1037*Rubric!$D$5+H1037*Rubric!$D$6+I1037*Rubric!$D$7+J1037*Rubric!$D$8+K1037*Rubric!$D$9+L1037*Rubric!$D$10)/5*100,1))</f>
        <v>70</v>
      </c>
      <c r="N1037" s="37" t="str">
        <f aca="false">IF(OR(B1037="",D1037=""),"",IFERROR(IF(IF(E1037="Primary",INDEX(Applications!$I$5:$I$600,MATCH(B1037,Applications!$A$5:$A$600,0)),IF(E1037="Secondary",INDEX(Applications!$J$5:$J$600,MATCH(B1037,Applications!$A$5:$A$600,0)),INDEX(Applications!$K$5:$K$600,MATCH(B1037,Applications!$A$5:$A$600,0))))=D1037,"OK","Not assigned"),"Check ID"))</f>
        <v>OK</v>
      </c>
      <c r="O1037" s="7"/>
    </row>
    <row r="1038" customFormat="false" ht="15" hidden="false" customHeight="false" outlineLevel="0" collapsed="false">
      <c r="A1038" s="35" t="s">
        <v>2435</v>
      </c>
      <c r="B1038" s="35" t="s">
        <v>809</v>
      </c>
      <c r="C1038" s="37" t="str">
        <f aca="false">IF(B1038="","",IFERROR(INDEX(Applications!$B$5:$B$600,MATCH(B1038,Applications!$A$5:$A$600,0)),"Application ID not found"))</f>
        <v>Recife Community Kitchen</v>
      </c>
      <c r="D1038" s="35" t="s">
        <v>85</v>
      </c>
      <c r="E1038" s="35" t="s">
        <v>80</v>
      </c>
      <c r="F1038" s="36" t="n">
        <v>45953</v>
      </c>
      <c r="G1038" s="35" t="n">
        <v>3</v>
      </c>
      <c r="H1038" s="35" t="n">
        <v>4</v>
      </c>
      <c r="I1038" s="35" t="n">
        <v>3</v>
      </c>
      <c r="J1038" s="35" t="n">
        <v>5</v>
      </c>
      <c r="K1038" s="35" t="n">
        <v>4</v>
      </c>
      <c r="L1038" s="35" t="n">
        <v>4</v>
      </c>
      <c r="M1038" s="50" t="n">
        <f aca="false">IF(COUNT(G1038:L1038)&lt;6,"",ROUND((G1038*Rubric!$D$5+H1038*Rubric!$D$6+I1038*Rubric!$D$7+J1038*Rubric!$D$8+K1038*Rubric!$D$9+L1038*Rubric!$D$10)/5*100,1))</f>
        <v>74</v>
      </c>
      <c r="N1038" s="37" t="str">
        <f aca="false">IF(OR(B1038="",D1038=""),"",IFERROR(IF(IF(E1038="Primary",INDEX(Applications!$I$5:$I$600,MATCH(B1038,Applications!$A$5:$A$600,0)),IF(E1038="Secondary",INDEX(Applications!$J$5:$J$600,MATCH(B1038,Applications!$A$5:$A$600,0)),INDEX(Applications!$K$5:$K$600,MATCH(B1038,Applications!$A$5:$A$600,0))))=D1038,"OK","Not assigned"),"Check ID"))</f>
        <v>OK</v>
      </c>
      <c r="O1038" s="7"/>
    </row>
    <row r="1039" customFormat="false" ht="15" hidden="false" customHeight="false" outlineLevel="0" collapsed="false">
      <c r="A1039" s="35" t="s">
        <v>2436</v>
      </c>
      <c r="B1039" s="35" t="s">
        <v>478</v>
      </c>
      <c r="C1039" s="37" t="str">
        <f aca="false">IF(B1039="","",IFERROR(INDEX(Applications!$B$5:$B$600,MATCH(B1039,Applications!$A$5:$A$600,0)),"Application ID not found"))</f>
        <v>Oak Hollow Family Center</v>
      </c>
      <c r="D1039" s="35" t="s">
        <v>85</v>
      </c>
      <c r="E1039" s="35" t="s">
        <v>86</v>
      </c>
      <c r="F1039" s="36" t="n">
        <v>45953</v>
      </c>
      <c r="G1039" s="35" t="n">
        <v>3</v>
      </c>
      <c r="H1039" s="35" t="n">
        <v>3</v>
      </c>
      <c r="I1039" s="35" t="n">
        <v>3</v>
      </c>
      <c r="J1039" s="35" t="n">
        <v>4</v>
      </c>
      <c r="K1039" s="35" t="n">
        <v>4</v>
      </c>
      <c r="L1039" s="35" t="n">
        <v>4</v>
      </c>
      <c r="M1039" s="50" t="n">
        <f aca="false">IF(COUNT(G1039:L1039)&lt;6,"",ROUND((G1039*Rubric!$D$5+H1039*Rubric!$D$6+I1039*Rubric!$D$7+J1039*Rubric!$D$8+K1039*Rubric!$D$9+L1039*Rubric!$D$10)/5*100,1))</f>
        <v>67</v>
      </c>
      <c r="N1039" s="37" t="str">
        <f aca="false">IF(OR(B1039="",D1039=""),"",IFERROR(IF(IF(E1039="Primary",INDEX(Applications!$I$5:$I$600,MATCH(B1039,Applications!$A$5:$A$600,0)),IF(E1039="Secondary",INDEX(Applications!$J$5:$J$600,MATCH(B1039,Applications!$A$5:$A$600,0)),INDEX(Applications!$K$5:$K$600,MATCH(B1039,Applications!$A$5:$A$600,0))))=D1039,"OK","Not assigned"),"Check ID"))</f>
        <v>OK</v>
      </c>
      <c r="O1039" s="7"/>
    </row>
    <row r="1040" customFormat="false" ht="15" hidden="false" customHeight="false" outlineLevel="0" collapsed="false">
      <c r="A1040" s="35" t="s">
        <v>2437</v>
      </c>
      <c r="B1040" s="35" t="s">
        <v>317</v>
      </c>
      <c r="C1040" s="37" t="str">
        <f aca="false">IF(B1040="","",IFERROR(INDEX(Applications!$B$5:$B$600,MATCH(B1040,Applications!$A$5:$A$600,0)),"Application ID not found"))</f>
        <v>Good Neighbor Food Shelf</v>
      </c>
      <c r="D1040" s="35" t="s">
        <v>78</v>
      </c>
      <c r="E1040" s="35" t="s">
        <v>80</v>
      </c>
      <c r="F1040" s="36" t="n">
        <v>45954</v>
      </c>
      <c r="G1040" s="35" t="n">
        <v>2</v>
      </c>
      <c r="H1040" s="35" t="n">
        <v>2</v>
      </c>
      <c r="I1040" s="35" t="n">
        <v>2</v>
      </c>
      <c r="J1040" s="35" t="n">
        <v>2</v>
      </c>
      <c r="K1040" s="35" t="n">
        <v>2</v>
      </c>
      <c r="L1040" s="35" t="n">
        <v>2</v>
      </c>
      <c r="M1040" s="50" t="n">
        <f aca="false">IF(COUNT(G1040:L1040)&lt;6,"",ROUND((G1040*Rubric!$D$5+H1040*Rubric!$D$6+I1040*Rubric!$D$7+J1040*Rubric!$D$8+K1040*Rubric!$D$9+L1040*Rubric!$D$10)/5*100,1))</f>
        <v>40</v>
      </c>
      <c r="N1040" s="37" t="str">
        <f aca="false">IF(OR(B1040="",D1040=""),"",IFERROR(IF(IF(E1040="Primary",INDEX(Applications!$I$5:$I$600,MATCH(B1040,Applications!$A$5:$A$600,0)),IF(E1040="Secondary",INDEX(Applications!$J$5:$J$600,MATCH(B1040,Applications!$A$5:$A$600,0)),INDEX(Applications!$K$5:$K$600,MATCH(B1040,Applications!$A$5:$A$600,0))))=D1040,"OK","Not assigned"),"Check ID"))</f>
        <v>OK</v>
      </c>
      <c r="O1040" s="7"/>
    </row>
    <row r="1041" customFormat="false" ht="15" hidden="false" customHeight="false" outlineLevel="0" collapsed="false">
      <c r="A1041" s="35" t="s">
        <v>2438</v>
      </c>
      <c r="B1041" s="35" t="s">
        <v>1025</v>
      </c>
      <c r="C1041" s="37" t="str">
        <f aca="false">IF(B1041="","",IFERROR(INDEX(Applications!$B$5:$B$600,MATCH(B1041,Applications!$A$5:$A$600,0)),"Application ID not found"))</f>
        <v>Canal Street Growers Cooperative</v>
      </c>
      <c r="D1041" s="35" t="s">
        <v>78</v>
      </c>
      <c r="E1041" s="35" t="s">
        <v>83</v>
      </c>
      <c r="F1041" s="36" t="n">
        <v>45954</v>
      </c>
      <c r="G1041" s="35" t="n">
        <v>2</v>
      </c>
      <c r="H1041" s="35" t="n">
        <v>2</v>
      </c>
      <c r="I1041" s="35" t="n">
        <v>2</v>
      </c>
      <c r="J1041" s="35" t="n">
        <v>2</v>
      </c>
      <c r="K1041" s="35" t="n">
        <v>2</v>
      </c>
      <c r="L1041" s="35" t="n">
        <v>2</v>
      </c>
      <c r="M1041" s="50" t="n">
        <f aca="false">IF(COUNT(G1041:L1041)&lt;6,"",ROUND((G1041*Rubric!$D$5+H1041*Rubric!$D$6+I1041*Rubric!$D$7+J1041*Rubric!$D$8+K1041*Rubric!$D$9+L1041*Rubric!$D$10)/5*100,1))</f>
        <v>40</v>
      </c>
      <c r="N1041" s="37" t="str">
        <f aca="false">IF(OR(B1041="",D1041=""),"",IFERROR(IF(IF(E1041="Primary",INDEX(Applications!$I$5:$I$600,MATCH(B1041,Applications!$A$5:$A$600,0)),IF(E1041="Secondary",INDEX(Applications!$J$5:$J$600,MATCH(B1041,Applications!$A$5:$A$600,0)),INDEX(Applications!$K$5:$K$600,MATCH(B1041,Applications!$A$5:$A$600,0))))=D1041,"OK","Not assigned"),"Check ID"))</f>
        <v>OK</v>
      </c>
      <c r="O1041" s="7" t="s">
        <v>1428</v>
      </c>
    </row>
    <row r="1042" customFormat="false" ht="15" hidden="false" customHeight="false" outlineLevel="0" collapsed="false">
      <c r="A1042" s="35" t="s">
        <v>2439</v>
      </c>
      <c r="B1042" s="35" t="s">
        <v>569</v>
      </c>
      <c r="C1042" s="37" t="str">
        <f aca="false">IF(B1042="","",IFERROR(INDEX(Applications!$B$5:$B$600,MATCH(B1042,Applications!$A$5:$A$600,0)),"Application ID not found"))</f>
        <v>Crossroads Community Kitchen</v>
      </c>
      <c r="D1042" s="35" t="s">
        <v>78</v>
      </c>
      <c r="E1042" s="35" t="s">
        <v>80</v>
      </c>
      <c r="F1042" s="36" t="n">
        <v>45954</v>
      </c>
      <c r="G1042" s="35" t="n">
        <v>3</v>
      </c>
      <c r="H1042" s="35" t="n">
        <v>3</v>
      </c>
      <c r="I1042" s="35" t="n">
        <v>3</v>
      </c>
      <c r="J1042" s="35" t="n">
        <v>4</v>
      </c>
      <c r="K1042" s="35" t="n">
        <v>2</v>
      </c>
      <c r="L1042" s="35" t="n">
        <v>3</v>
      </c>
      <c r="M1042" s="50" t="n">
        <f aca="false">IF(COUNT(G1042:L1042)&lt;6,"",ROUND((G1042*Rubric!$D$5+H1042*Rubric!$D$6+I1042*Rubric!$D$7+J1042*Rubric!$D$8+K1042*Rubric!$D$9+L1042*Rubric!$D$10)/5*100,1))</f>
        <v>61</v>
      </c>
      <c r="N1042" s="37" t="str">
        <f aca="false">IF(OR(B1042="",D1042=""),"",IFERROR(IF(IF(E1042="Primary",INDEX(Applications!$I$5:$I$600,MATCH(B1042,Applications!$A$5:$A$600,0)),IF(E1042="Secondary",INDEX(Applications!$J$5:$J$600,MATCH(B1042,Applications!$A$5:$A$600,0)),INDEX(Applications!$K$5:$K$600,MATCH(B1042,Applications!$A$5:$A$600,0))))=D1042,"OK","Not assigned"),"Check ID"))</f>
        <v>OK</v>
      </c>
      <c r="O1042" s="7" t="s">
        <v>1416</v>
      </c>
    </row>
    <row r="1043" customFormat="false" ht="15" hidden="false" customHeight="false" outlineLevel="0" collapsed="false">
      <c r="A1043" s="35" t="s">
        <v>2440</v>
      </c>
      <c r="B1043" s="35" t="s">
        <v>599</v>
      </c>
      <c r="C1043" s="37" t="str">
        <f aca="false">IF(B1043="","",IFERROR(INDEX(Applications!$B$5:$B$600,MATCH(B1043,Applications!$A$5:$A$600,0)),"Application ID not found"))</f>
        <v>Linden Pantry Network</v>
      </c>
      <c r="D1043" s="35" t="s">
        <v>78</v>
      </c>
      <c r="E1043" s="35" t="s">
        <v>83</v>
      </c>
      <c r="F1043" s="36" t="n">
        <v>45954</v>
      </c>
      <c r="G1043" s="35" t="n">
        <v>3</v>
      </c>
      <c r="H1043" s="35" t="n">
        <v>3</v>
      </c>
      <c r="I1043" s="35" t="n">
        <v>4</v>
      </c>
      <c r="J1043" s="35" t="n">
        <v>3</v>
      </c>
      <c r="K1043" s="35" t="n">
        <v>4</v>
      </c>
      <c r="L1043" s="35" t="n">
        <v>4</v>
      </c>
      <c r="M1043" s="50" t="n">
        <f aca="false">IF(COUNT(G1043:L1043)&lt;6,"",ROUND((G1043*Rubric!$D$5+H1043*Rubric!$D$6+I1043*Rubric!$D$7+J1043*Rubric!$D$8+K1043*Rubric!$D$9+L1043*Rubric!$D$10)/5*100,1))</f>
        <v>68</v>
      </c>
      <c r="N1043" s="37" t="str">
        <f aca="false">IF(OR(B1043="",D1043=""),"",IFERROR(IF(IF(E1043="Primary",INDEX(Applications!$I$5:$I$600,MATCH(B1043,Applications!$A$5:$A$600,0)),IF(E1043="Secondary",INDEX(Applications!$J$5:$J$600,MATCH(B1043,Applications!$A$5:$A$600,0)),INDEX(Applications!$K$5:$K$600,MATCH(B1043,Applications!$A$5:$A$600,0))))=D1043,"OK","Not assigned"),"Check ID"))</f>
        <v>OK</v>
      </c>
      <c r="O1043" s="7"/>
    </row>
    <row r="1044" customFormat="false" ht="15" hidden="false" customHeight="false" outlineLevel="0" collapsed="false">
      <c r="A1044" s="35" t="s">
        <v>2441</v>
      </c>
      <c r="B1044" s="35" t="s">
        <v>1031</v>
      </c>
      <c r="C1044" s="37" t="str">
        <f aca="false">IF(B1044="","",IFERROR(INDEX(Applications!$B$5:$B$600,MATCH(B1044,Applications!$A$5:$A$600,0)),"Application ID not found"))</f>
        <v>Valley Bakery Collective</v>
      </c>
      <c r="D1044" s="35" t="s">
        <v>78</v>
      </c>
      <c r="E1044" s="35" t="s">
        <v>83</v>
      </c>
      <c r="F1044" s="36" t="n">
        <v>45954</v>
      </c>
      <c r="G1044" s="35" t="n">
        <v>2</v>
      </c>
      <c r="H1044" s="35" t="n">
        <v>3</v>
      </c>
      <c r="I1044" s="35" t="n">
        <v>4</v>
      </c>
      <c r="J1044" s="35" t="n">
        <v>3</v>
      </c>
      <c r="K1044" s="35" t="n">
        <v>3</v>
      </c>
      <c r="L1044" s="35" t="n">
        <v>3</v>
      </c>
      <c r="M1044" s="50" t="n">
        <f aca="false">IF(COUNT(G1044:L1044)&lt;6,"",ROUND((G1044*Rubric!$D$5+H1044*Rubric!$D$6+I1044*Rubric!$D$7+J1044*Rubric!$D$8+K1044*Rubric!$D$9+L1044*Rubric!$D$10)/5*100,1))</f>
        <v>59</v>
      </c>
      <c r="N1044" s="37" t="str">
        <f aca="false">IF(OR(B1044="",D1044=""),"",IFERROR(IF(IF(E1044="Primary",INDEX(Applications!$I$5:$I$600,MATCH(B1044,Applications!$A$5:$A$600,0)),IF(E1044="Secondary",INDEX(Applications!$J$5:$J$600,MATCH(B1044,Applications!$A$5:$A$600,0)),INDEX(Applications!$K$5:$K$600,MATCH(B1044,Applications!$A$5:$A$600,0))))=D1044,"OK","Not assigned"),"Check ID"))</f>
        <v>OK</v>
      </c>
      <c r="O1044" s="7"/>
    </row>
    <row r="1045" customFormat="false" ht="15" hidden="false" customHeight="false" outlineLevel="0" collapsed="false">
      <c r="A1045" s="35" t="s">
        <v>2442</v>
      </c>
      <c r="B1045" s="35" t="s">
        <v>827</v>
      </c>
      <c r="C1045" s="37" t="str">
        <f aca="false">IF(B1045="","",IFERROR(INDEX(Applications!$B$5:$B$600,MATCH(B1045,Applications!$A$5:$A$600,0)),"Application ID not found"))</f>
        <v>Halifax Market Gardens</v>
      </c>
      <c r="D1045" s="35" t="s">
        <v>78</v>
      </c>
      <c r="E1045" s="35" t="s">
        <v>80</v>
      </c>
      <c r="F1045" s="36" t="n">
        <v>45954</v>
      </c>
      <c r="G1045" s="35" t="n">
        <v>5</v>
      </c>
      <c r="H1045" s="35" t="n">
        <v>5</v>
      </c>
      <c r="I1045" s="35" t="n">
        <v>3</v>
      </c>
      <c r="J1045" s="35" t="n">
        <v>4</v>
      </c>
      <c r="K1045" s="35" t="n">
        <v>4</v>
      </c>
      <c r="L1045" s="35" t="n">
        <v>5</v>
      </c>
      <c r="M1045" s="50" t="n">
        <f aca="false">IF(COUNT(G1045:L1045)&lt;6,"",ROUND((G1045*Rubric!$D$5+H1045*Rubric!$D$6+I1045*Rubric!$D$7+J1045*Rubric!$D$8+K1045*Rubric!$D$9+L1045*Rubric!$D$10)/5*100,1))</f>
        <v>87</v>
      </c>
      <c r="N1045" s="37" t="str">
        <f aca="false">IF(OR(B1045="",D1045=""),"",IFERROR(IF(IF(E1045="Primary",INDEX(Applications!$I$5:$I$600,MATCH(B1045,Applications!$A$5:$A$600,0)),IF(E1045="Secondary",INDEX(Applications!$J$5:$J$600,MATCH(B1045,Applications!$A$5:$A$600,0)),INDEX(Applications!$K$5:$K$600,MATCH(B1045,Applications!$A$5:$A$600,0))))=D1045,"OK","Not assigned"),"Check ID"))</f>
        <v>OK</v>
      </c>
      <c r="O1045" s="7" t="s">
        <v>1437</v>
      </c>
    </row>
    <row r="1046" customFormat="false" ht="15" hidden="false" customHeight="false" outlineLevel="0" collapsed="false">
      <c r="A1046" s="35" t="s">
        <v>2443</v>
      </c>
      <c r="B1046" s="35" t="s">
        <v>673</v>
      </c>
      <c r="C1046" s="37" t="str">
        <f aca="false">IF(B1046="","",IFERROR(INDEX(Applications!$B$5:$B$600,MATCH(B1046,Applications!$A$5:$A$600,0)),"Application ID not found"))</f>
        <v>Ironwood Community Pantry</v>
      </c>
      <c r="D1046" s="35" t="s">
        <v>78</v>
      </c>
      <c r="E1046" s="35" t="s">
        <v>80</v>
      </c>
      <c r="F1046" s="36" t="n">
        <v>45954</v>
      </c>
      <c r="G1046" s="35" t="n">
        <v>4</v>
      </c>
      <c r="H1046" s="35" t="n">
        <v>3</v>
      </c>
      <c r="I1046" s="35" t="n">
        <v>3</v>
      </c>
      <c r="J1046" s="35" t="n">
        <v>3</v>
      </c>
      <c r="K1046" s="35" t="n">
        <v>4</v>
      </c>
      <c r="L1046" s="35" t="n">
        <v>4</v>
      </c>
      <c r="M1046" s="50" t="n">
        <f aca="false">IF(COUNT(G1046:L1046)&lt;6,"",ROUND((G1046*Rubric!$D$5+H1046*Rubric!$D$6+I1046*Rubric!$D$7+J1046*Rubric!$D$8+K1046*Rubric!$D$9+L1046*Rubric!$D$10)/5*100,1))</f>
        <v>69</v>
      </c>
      <c r="N1046" s="37" t="str">
        <f aca="false">IF(OR(B1046="",D1046=""),"",IFERROR(IF(IF(E1046="Primary",INDEX(Applications!$I$5:$I$600,MATCH(B1046,Applications!$A$5:$A$600,0)),IF(E1046="Secondary",INDEX(Applications!$J$5:$J$600,MATCH(B1046,Applications!$A$5:$A$600,0)),INDEX(Applications!$K$5:$K$600,MATCH(B1046,Applications!$A$5:$A$600,0))))=D1046,"OK","Not assigned"),"Check ID"))</f>
        <v>OK</v>
      </c>
      <c r="O1046" s="7"/>
    </row>
    <row r="1047" customFormat="false" ht="15" hidden="false" customHeight="false" outlineLevel="0" collapsed="false">
      <c r="A1047" s="35" t="s">
        <v>2444</v>
      </c>
      <c r="B1047" s="35" t="s">
        <v>1093</v>
      </c>
      <c r="C1047" s="37" t="str">
        <f aca="false">IF(B1047="","",IFERROR(INDEX(Applications!$B$5:$B$600,MATCH(B1047,Applications!$A$5:$A$600,0)),"Application ID not found"))</f>
        <v>Chicago Growers Cooperative</v>
      </c>
      <c r="D1047" s="35" t="s">
        <v>78</v>
      </c>
      <c r="E1047" s="35" t="s">
        <v>83</v>
      </c>
      <c r="F1047" s="36" t="n">
        <v>45954</v>
      </c>
      <c r="G1047" s="35" t="n">
        <v>3</v>
      </c>
      <c r="H1047" s="35" t="n">
        <v>3</v>
      </c>
      <c r="I1047" s="35" t="n">
        <v>3</v>
      </c>
      <c r="J1047" s="35" t="n">
        <v>3</v>
      </c>
      <c r="K1047" s="35" t="n">
        <v>3</v>
      </c>
      <c r="L1047" s="35" t="n">
        <v>3</v>
      </c>
      <c r="M1047" s="50" t="n">
        <f aca="false">IF(COUNT(G1047:L1047)&lt;6,"",ROUND((G1047*Rubric!$D$5+H1047*Rubric!$D$6+I1047*Rubric!$D$7+J1047*Rubric!$D$8+K1047*Rubric!$D$9+L1047*Rubric!$D$10)/5*100,1))</f>
        <v>60</v>
      </c>
      <c r="N1047" s="37" t="str">
        <f aca="false">IF(OR(B1047="",D1047=""),"",IFERROR(IF(IF(E1047="Primary",INDEX(Applications!$I$5:$I$600,MATCH(B1047,Applications!$A$5:$A$600,0)),IF(E1047="Secondary",INDEX(Applications!$J$5:$J$600,MATCH(B1047,Applications!$A$5:$A$600,0)),INDEX(Applications!$K$5:$K$600,MATCH(B1047,Applications!$A$5:$A$600,0))))=D1047,"OK","Not assigned"),"Check ID"))</f>
        <v>OK</v>
      </c>
      <c r="O1047" s="7"/>
    </row>
    <row r="1048" customFormat="false" ht="15" hidden="false" customHeight="false" outlineLevel="0" collapsed="false">
      <c r="A1048" s="35" t="s">
        <v>2445</v>
      </c>
      <c r="B1048" s="35" t="s">
        <v>705</v>
      </c>
      <c r="C1048" s="37" t="str">
        <f aca="false">IF(B1048="","",IFERROR(INDEX(Applications!$B$5:$B$600,MATCH(B1048,Applications!$A$5:$A$600,0)),"Application ID not found"))</f>
        <v>Bridgeview Community Pantry</v>
      </c>
      <c r="D1048" s="35" t="s">
        <v>78</v>
      </c>
      <c r="E1048" s="35" t="s">
        <v>80</v>
      </c>
      <c r="F1048" s="36" t="n">
        <v>45954</v>
      </c>
      <c r="G1048" s="35" t="n">
        <v>3</v>
      </c>
      <c r="H1048" s="35" t="n">
        <v>3</v>
      </c>
      <c r="I1048" s="35" t="n">
        <v>3</v>
      </c>
      <c r="J1048" s="35" t="n">
        <v>3</v>
      </c>
      <c r="K1048" s="35" t="n">
        <v>3</v>
      </c>
      <c r="L1048" s="35" t="n">
        <v>3</v>
      </c>
      <c r="M1048" s="50" t="n">
        <f aca="false">IF(COUNT(G1048:L1048)&lt;6,"",ROUND((G1048*Rubric!$D$5+H1048*Rubric!$D$6+I1048*Rubric!$D$7+J1048*Rubric!$D$8+K1048*Rubric!$D$9+L1048*Rubric!$D$10)/5*100,1))</f>
        <v>60</v>
      </c>
      <c r="N1048" s="37" t="str">
        <f aca="false">IF(OR(B1048="",D1048=""),"",IFERROR(IF(IF(E1048="Primary",INDEX(Applications!$I$5:$I$600,MATCH(B1048,Applications!$A$5:$A$600,0)),IF(E1048="Secondary",INDEX(Applications!$J$5:$J$600,MATCH(B1048,Applications!$A$5:$A$600,0)),INDEX(Applications!$K$5:$K$600,MATCH(B1048,Applications!$A$5:$A$600,0))))=D1048,"OK","Not assigned"),"Check ID"))</f>
        <v>OK</v>
      </c>
      <c r="O1048" s="7"/>
    </row>
    <row r="1049" customFormat="false" ht="15" hidden="false" customHeight="false" outlineLevel="0" collapsed="false">
      <c r="A1049" s="35" t="s">
        <v>2446</v>
      </c>
      <c r="B1049" s="35" t="s">
        <v>361</v>
      </c>
      <c r="C1049" s="37" t="str">
        <f aca="false">IF(B1049="","",IFERROR(INDEX(Applications!$B$5:$B$600,MATCH(B1049,Applications!$A$5:$A$600,0)),"Application ID not found"))</f>
        <v>Cape Town Family Center</v>
      </c>
      <c r="D1049" s="35" t="s">
        <v>78</v>
      </c>
      <c r="E1049" s="35" t="s">
        <v>83</v>
      </c>
      <c r="F1049" s="36" t="n">
        <v>45954</v>
      </c>
      <c r="G1049" s="35" t="n">
        <v>4</v>
      </c>
      <c r="H1049" s="35" t="n">
        <v>3</v>
      </c>
      <c r="I1049" s="35" t="n">
        <v>3</v>
      </c>
      <c r="J1049" s="35" t="n">
        <v>4</v>
      </c>
      <c r="K1049" s="35" t="n">
        <v>2</v>
      </c>
      <c r="L1049" s="35" t="n">
        <v>4</v>
      </c>
      <c r="M1049" s="50" t="n">
        <f aca="false">IF(COUNT(G1049:L1049)&lt;6,"",ROUND((G1049*Rubric!$D$5+H1049*Rubric!$D$6+I1049*Rubric!$D$7+J1049*Rubric!$D$8+K1049*Rubric!$D$9+L1049*Rubric!$D$10)/5*100,1))</f>
        <v>68</v>
      </c>
      <c r="N1049" s="37" t="str">
        <f aca="false">IF(OR(B1049="",D1049=""),"",IFERROR(IF(IF(E1049="Primary",INDEX(Applications!$I$5:$I$600,MATCH(B1049,Applications!$A$5:$A$600,0)),IF(E1049="Secondary",INDEX(Applications!$J$5:$J$600,MATCH(B1049,Applications!$A$5:$A$600,0)),INDEX(Applications!$K$5:$K$600,MATCH(B1049,Applications!$A$5:$A$600,0))))=D1049,"OK","Not assigned"),"Check ID"))</f>
        <v>OK</v>
      </c>
      <c r="O1049" s="7" t="s">
        <v>1418</v>
      </c>
    </row>
    <row r="1050" customFormat="false" ht="15" hidden="false" customHeight="false" outlineLevel="0" collapsed="false">
      <c r="A1050" s="35" t="s">
        <v>2447</v>
      </c>
      <c r="B1050" s="35" t="s">
        <v>250</v>
      </c>
      <c r="C1050" s="37" t="str">
        <f aca="false">IF(B1050="","",IFERROR(INDEX(Applications!$B$5:$B$600,MATCH(B1050,Applications!$A$5:$A$600,0)),"Application ID not found"))</f>
        <v>Dublin Food Ventures</v>
      </c>
      <c r="D1050" s="35" t="s">
        <v>78</v>
      </c>
      <c r="E1050" s="35" t="s">
        <v>80</v>
      </c>
      <c r="F1050" s="36" t="n">
        <v>45954</v>
      </c>
      <c r="G1050" s="35" t="n">
        <v>4</v>
      </c>
      <c r="H1050" s="35" t="n">
        <v>4</v>
      </c>
      <c r="I1050" s="35" t="n">
        <v>5</v>
      </c>
      <c r="J1050" s="35" t="n">
        <v>4</v>
      </c>
      <c r="K1050" s="35" t="n">
        <v>4</v>
      </c>
      <c r="L1050" s="35" t="n">
        <v>5</v>
      </c>
      <c r="M1050" s="50" t="n">
        <f aca="false">IF(COUNT(G1050:L1050)&lt;6,"",ROUND((G1050*Rubric!$D$5+H1050*Rubric!$D$6+I1050*Rubric!$D$7+J1050*Rubric!$D$8+K1050*Rubric!$D$9+L1050*Rubric!$D$10)/5*100,1))</f>
        <v>86</v>
      </c>
      <c r="N1050" s="37" t="str">
        <f aca="false">IF(OR(B1050="",D1050=""),"",IFERROR(IF(IF(E1050="Primary",INDEX(Applications!$I$5:$I$600,MATCH(B1050,Applications!$A$5:$A$600,0)),IF(E1050="Secondary",INDEX(Applications!$J$5:$J$600,MATCH(B1050,Applications!$A$5:$A$600,0)),INDEX(Applications!$K$5:$K$600,MATCH(B1050,Applications!$A$5:$A$600,0))))=D1050,"OK","Not assigned"),"Check ID"))</f>
        <v>OK</v>
      </c>
      <c r="O1050" s="7" t="s">
        <v>1428</v>
      </c>
    </row>
    <row r="1051" customFormat="false" ht="15" hidden="false" customHeight="false" outlineLevel="0" collapsed="false">
      <c r="A1051" s="35" t="s">
        <v>2448</v>
      </c>
      <c r="B1051" s="35" t="s">
        <v>288</v>
      </c>
      <c r="C1051" s="37" t="str">
        <f aca="false">IF(B1051="","",IFERROR(INDEX(Applications!$B$5:$B$600,MATCH(B1051,Applications!$A$5:$A$600,0)),"Application ID not found"))</f>
        <v>Flint Mobile Market</v>
      </c>
      <c r="D1051" s="35" t="s">
        <v>78</v>
      </c>
      <c r="E1051" s="35" t="s">
        <v>80</v>
      </c>
      <c r="F1051" s="36" t="n">
        <v>45954</v>
      </c>
      <c r="G1051" s="35" t="n">
        <v>3</v>
      </c>
      <c r="H1051" s="35" t="n">
        <v>4</v>
      </c>
      <c r="I1051" s="35" t="n">
        <v>4</v>
      </c>
      <c r="J1051" s="35" t="n">
        <v>3</v>
      </c>
      <c r="K1051" s="35" t="n">
        <v>3</v>
      </c>
      <c r="L1051" s="35" t="n">
        <v>3</v>
      </c>
      <c r="M1051" s="50" t="n">
        <f aca="false">IF(COUNT(G1051:L1051)&lt;6,"",ROUND((G1051*Rubric!$D$5+H1051*Rubric!$D$6+I1051*Rubric!$D$7+J1051*Rubric!$D$8+K1051*Rubric!$D$9+L1051*Rubric!$D$10)/5*100,1))</f>
        <v>68</v>
      </c>
      <c r="N1051" s="37" t="str">
        <f aca="false">IF(OR(B1051="",D1051=""),"",IFERROR(IF(IF(E1051="Primary",INDEX(Applications!$I$5:$I$600,MATCH(B1051,Applications!$A$5:$A$600,0)),IF(E1051="Secondary",INDEX(Applications!$J$5:$J$600,MATCH(B1051,Applications!$A$5:$A$600,0)),INDEX(Applications!$K$5:$K$600,MATCH(B1051,Applications!$A$5:$A$600,0))))=D1051,"OK","Not assigned"),"Check ID"))</f>
        <v>OK</v>
      </c>
      <c r="O1051" s="7"/>
    </row>
    <row r="1052" customFormat="false" ht="15" hidden="false" customHeight="false" outlineLevel="0" collapsed="false">
      <c r="A1052" s="35" t="s">
        <v>2449</v>
      </c>
      <c r="B1052" s="35" t="s">
        <v>276</v>
      </c>
      <c r="C1052" s="37" t="str">
        <f aca="false">IF(B1052="","",IFERROR(INDEX(Applications!$B$5:$B$600,MATCH(B1052,Applications!$A$5:$A$600,0)),"Application ID not found"))</f>
        <v>Columbus Youth Food Lab</v>
      </c>
      <c r="D1052" s="35" t="s">
        <v>78</v>
      </c>
      <c r="E1052" s="35" t="s">
        <v>83</v>
      </c>
      <c r="F1052" s="36" t="n">
        <v>45954</v>
      </c>
      <c r="G1052" s="35" t="n">
        <v>3</v>
      </c>
      <c r="H1052" s="35" t="n">
        <v>4</v>
      </c>
      <c r="I1052" s="35" t="n">
        <v>4</v>
      </c>
      <c r="J1052" s="35" t="n">
        <v>4</v>
      </c>
      <c r="K1052" s="35" t="n">
        <v>4</v>
      </c>
      <c r="L1052" s="35" t="n">
        <v>4</v>
      </c>
      <c r="M1052" s="50" t="n">
        <f aca="false">IF(COUNT(G1052:L1052)&lt;6,"",ROUND((G1052*Rubric!$D$5+H1052*Rubric!$D$6+I1052*Rubric!$D$7+J1052*Rubric!$D$8+K1052*Rubric!$D$9+L1052*Rubric!$D$10)/5*100,1))</f>
        <v>75</v>
      </c>
      <c r="N1052" s="37" t="str">
        <f aca="false">IF(OR(B1052="",D1052=""),"",IFERROR(IF(IF(E1052="Primary",INDEX(Applications!$I$5:$I$600,MATCH(B1052,Applications!$A$5:$A$600,0)),IF(E1052="Secondary",INDEX(Applications!$J$5:$J$600,MATCH(B1052,Applications!$A$5:$A$600,0)),INDEX(Applications!$K$5:$K$600,MATCH(B1052,Applications!$A$5:$A$600,0))))=D1052,"OK","Not assigned"),"Check ID"))</f>
        <v>OK</v>
      </c>
      <c r="O1052" s="7"/>
    </row>
    <row r="1053" customFormat="false" ht="15" hidden="false" customHeight="false" outlineLevel="0" collapsed="false">
      <c r="A1053" s="35" t="s">
        <v>2450</v>
      </c>
      <c r="B1053" s="35" t="s">
        <v>561</v>
      </c>
      <c r="C1053" s="37" t="str">
        <f aca="false">IF(B1053="","",IFERROR(INDEX(Applications!$B$5:$B$600,MATCH(B1053,Applications!$A$5:$A$600,0)),"Application ID not found"))</f>
        <v>Guadalajara Meals Project</v>
      </c>
      <c r="D1053" s="35" t="s">
        <v>78</v>
      </c>
      <c r="E1053" s="35" t="s">
        <v>83</v>
      </c>
      <c r="F1053" s="36" t="n">
        <v>45954</v>
      </c>
      <c r="G1053" s="35" t="n">
        <v>3</v>
      </c>
      <c r="H1053" s="35" t="n">
        <v>4</v>
      </c>
      <c r="I1053" s="35" t="n">
        <v>2</v>
      </c>
      <c r="J1053" s="35" t="n">
        <v>3</v>
      </c>
      <c r="K1053" s="35" t="n">
        <v>3</v>
      </c>
      <c r="L1053" s="35" t="n">
        <v>3</v>
      </c>
      <c r="M1053" s="50" t="n">
        <f aca="false">IF(COUNT(G1053:L1053)&lt;6,"",ROUND((G1053*Rubric!$D$5+H1053*Rubric!$D$6+I1053*Rubric!$D$7+J1053*Rubric!$D$8+K1053*Rubric!$D$9+L1053*Rubric!$D$10)/5*100,1))</f>
        <v>60</v>
      </c>
      <c r="N1053" s="37" t="str">
        <f aca="false">IF(OR(B1053="",D1053=""),"",IFERROR(IF(IF(E1053="Primary",INDEX(Applications!$I$5:$I$600,MATCH(B1053,Applications!$A$5:$A$600,0)),IF(E1053="Secondary",INDEX(Applications!$J$5:$J$600,MATCH(B1053,Applications!$A$5:$A$600,0)),INDEX(Applications!$K$5:$K$600,MATCH(B1053,Applications!$A$5:$A$600,0))))=D1053,"OK","Not assigned"),"Check ID"))</f>
        <v>OK</v>
      </c>
      <c r="O1053" s="7"/>
    </row>
    <row r="1054" customFormat="false" ht="15" hidden="false" customHeight="false" outlineLevel="0" collapsed="false">
      <c r="A1054" s="35" t="s">
        <v>2451</v>
      </c>
      <c r="B1054" s="35" t="s">
        <v>1365</v>
      </c>
      <c r="C1054" s="37" t="str">
        <f aca="false">IF(B1054="","",IFERROR(INDEX(Applications!$B$5:$B$600,MATCH(B1054,Applications!$A$5:$A$600,0)),"Application ID not found"))</f>
        <v>Maple Street Food Bank</v>
      </c>
      <c r="D1054" s="35" t="s">
        <v>78</v>
      </c>
      <c r="E1054" s="35" t="s">
        <v>83</v>
      </c>
      <c r="F1054" s="36" t="n">
        <v>45954</v>
      </c>
      <c r="G1054" s="35" t="n">
        <v>4</v>
      </c>
      <c r="H1054" s="35" t="n">
        <v>4</v>
      </c>
      <c r="I1054" s="35" t="n">
        <v>3</v>
      </c>
      <c r="J1054" s="35" t="n">
        <v>4</v>
      </c>
      <c r="K1054" s="35" t="n">
        <v>4</v>
      </c>
      <c r="L1054" s="35" t="n">
        <v>4</v>
      </c>
      <c r="M1054" s="50" t="n">
        <f aca="false">IF(COUNT(G1054:L1054)&lt;6,"",ROUND((G1054*Rubric!$D$5+H1054*Rubric!$D$6+I1054*Rubric!$D$7+J1054*Rubric!$D$8+K1054*Rubric!$D$9+L1054*Rubric!$D$10)/5*100,1))</f>
        <v>76</v>
      </c>
      <c r="N1054" s="37" t="str">
        <f aca="false">IF(OR(B1054="",D1054=""),"",IFERROR(IF(IF(E1054="Primary",INDEX(Applications!$I$5:$I$600,MATCH(B1054,Applications!$A$5:$A$600,0)),IF(E1054="Secondary",INDEX(Applications!$J$5:$J$600,MATCH(B1054,Applications!$A$5:$A$600,0)),INDEX(Applications!$K$5:$K$600,MATCH(B1054,Applications!$A$5:$A$600,0))))=D1054,"OK","Not assigned"),"Check ID"))</f>
        <v>OK</v>
      </c>
      <c r="O1054" s="7"/>
    </row>
    <row r="1055" customFormat="false" ht="15" hidden="false" customHeight="false" outlineLevel="0" collapsed="false">
      <c r="A1055" s="35" t="s">
        <v>2452</v>
      </c>
      <c r="B1055" s="35" t="s">
        <v>1069</v>
      </c>
      <c r="C1055" s="37" t="str">
        <f aca="false">IF(B1055="","",IFERROR(INDEX(Applications!$B$5:$B$600,MATCH(B1055,Applications!$A$5:$A$600,0)),"Application ID not found"))</f>
        <v>Kestrel Kitchen Project</v>
      </c>
      <c r="D1055" s="35" t="s">
        <v>78</v>
      </c>
      <c r="E1055" s="35" t="s">
        <v>86</v>
      </c>
      <c r="F1055" s="36" t="n">
        <v>45954</v>
      </c>
      <c r="G1055" s="35" t="n">
        <v>3</v>
      </c>
      <c r="H1055" s="35" t="n">
        <v>3</v>
      </c>
      <c r="I1055" s="35" t="n">
        <v>3</v>
      </c>
      <c r="J1055" s="35" t="n">
        <v>3</v>
      </c>
      <c r="K1055" s="35" t="n">
        <v>3</v>
      </c>
      <c r="L1055" s="35" t="n">
        <v>3</v>
      </c>
      <c r="M1055" s="50" t="n">
        <f aca="false">IF(COUNT(G1055:L1055)&lt;6,"",ROUND((G1055*Rubric!$D$5+H1055*Rubric!$D$6+I1055*Rubric!$D$7+J1055*Rubric!$D$8+K1055*Rubric!$D$9+L1055*Rubric!$D$10)/5*100,1))</f>
        <v>60</v>
      </c>
      <c r="N1055" s="37" t="str">
        <f aca="false">IF(OR(B1055="",D1055=""),"",IFERROR(IF(IF(E1055="Primary",INDEX(Applications!$I$5:$I$600,MATCH(B1055,Applications!$A$5:$A$600,0)),IF(E1055="Secondary",INDEX(Applications!$J$5:$J$600,MATCH(B1055,Applications!$A$5:$A$600,0)),INDEX(Applications!$K$5:$K$600,MATCH(B1055,Applications!$A$5:$A$600,0))))=D1055,"OK","Not assigned"),"Check ID"))</f>
        <v>OK</v>
      </c>
      <c r="O1055" s="7"/>
    </row>
    <row r="1056" customFormat="false" ht="15" hidden="false" customHeight="false" outlineLevel="0" collapsed="false">
      <c r="A1056" s="35" t="s">
        <v>2453</v>
      </c>
      <c r="B1056" s="35" t="s">
        <v>1125</v>
      </c>
      <c r="C1056" s="37" t="str">
        <f aca="false">IF(B1056="","",IFERROR(INDEX(Applications!$B$5:$B$600,MATCH(B1056,Applications!$A$5:$A$600,0)),"Application ID not found"))</f>
        <v>Harbor Food Shelf</v>
      </c>
      <c r="D1056" s="35" t="s">
        <v>82</v>
      </c>
      <c r="E1056" s="35" t="s">
        <v>83</v>
      </c>
      <c r="F1056" s="36" t="n">
        <v>45954</v>
      </c>
      <c r="G1056" s="35" t="n">
        <v>4</v>
      </c>
      <c r="H1056" s="35" t="n">
        <v>4</v>
      </c>
      <c r="I1056" s="35" t="n">
        <v>4</v>
      </c>
      <c r="J1056" s="35" t="n">
        <v>5</v>
      </c>
      <c r="K1056" s="35" t="n">
        <v>3</v>
      </c>
      <c r="L1056" s="35" t="n">
        <v>5</v>
      </c>
      <c r="M1056" s="50" t="n">
        <f aca="false">IF(COUNT(G1056:L1056)&lt;6,"",ROUND((G1056*Rubric!$D$5+H1056*Rubric!$D$6+I1056*Rubric!$D$7+J1056*Rubric!$D$8+K1056*Rubric!$D$9+L1056*Rubric!$D$10)/5*100,1))</f>
        <v>83</v>
      </c>
      <c r="N1056" s="37" t="str">
        <f aca="false">IF(OR(B1056="",D1056=""),"",IFERROR(IF(IF(E1056="Primary",INDEX(Applications!$I$5:$I$600,MATCH(B1056,Applications!$A$5:$A$600,0)),IF(E1056="Secondary",INDEX(Applications!$J$5:$J$600,MATCH(B1056,Applications!$A$5:$A$600,0)),INDEX(Applications!$K$5:$K$600,MATCH(B1056,Applications!$A$5:$A$600,0))))=D1056,"OK","Not assigned"),"Check ID"))</f>
        <v>OK</v>
      </c>
      <c r="O1056" s="7"/>
    </row>
    <row r="1057" customFormat="false" ht="15" hidden="false" customHeight="false" outlineLevel="0" collapsed="false">
      <c r="A1057" s="35" t="s">
        <v>2454</v>
      </c>
      <c r="B1057" s="35" t="s">
        <v>747</v>
      </c>
      <c r="C1057" s="37" t="str">
        <f aca="false">IF(B1057="","",IFERROR(INDEX(Applications!$B$5:$B$600,MATCH(B1057,Applications!$A$5:$A$600,0)),"Application ID not found"))</f>
        <v>Durham Seed Library</v>
      </c>
      <c r="D1057" s="35" t="s">
        <v>82</v>
      </c>
      <c r="E1057" s="35" t="s">
        <v>83</v>
      </c>
      <c r="F1057" s="36" t="n">
        <v>45954</v>
      </c>
      <c r="G1057" s="35" t="n">
        <v>5</v>
      </c>
      <c r="H1057" s="35" t="n">
        <v>5</v>
      </c>
      <c r="I1057" s="35" t="n">
        <v>5</v>
      </c>
      <c r="J1057" s="35" t="n">
        <v>5</v>
      </c>
      <c r="K1057" s="35" t="n">
        <v>5</v>
      </c>
      <c r="L1057" s="35" t="n">
        <v>5</v>
      </c>
      <c r="M1057" s="50" t="n">
        <f aca="false">IF(COUNT(G1057:L1057)&lt;6,"",ROUND((G1057*Rubric!$D$5+H1057*Rubric!$D$6+I1057*Rubric!$D$7+J1057*Rubric!$D$8+K1057*Rubric!$D$9+L1057*Rubric!$D$10)/5*100,1))</f>
        <v>100</v>
      </c>
      <c r="N1057" s="37" t="str">
        <f aca="false">IF(OR(B1057="",D1057=""),"",IFERROR(IF(IF(E1057="Primary",INDEX(Applications!$I$5:$I$600,MATCH(B1057,Applications!$A$5:$A$600,0)),IF(E1057="Secondary",INDEX(Applications!$J$5:$J$600,MATCH(B1057,Applications!$A$5:$A$600,0)),INDEX(Applications!$K$5:$K$600,MATCH(B1057,Applications!$A$5:$A$600,0))))=D1057,"OK","Not assigned"),"Check ID"))</f>
        <v>OK</v>
      </c>
      <c r="O1057" s="7"/>
    </row>
    <row r="1058" customFormat="false" ht="15" hidden="false" customHeight="false" outlineLevel="0" collapsed="false">
      <c r="A1058" s="35" t="s">
        <v>2455</v>
      </c>
      <c r="B1058" s="35" t="s">
        <v>1121</v>
      </c>
      <c r="C1058" s="37" t="str">
        <f aca="false">IF(B1058="","",IFERROR(INDEX(Applications!$B$5:$B$600,MATCH(B1058,Applications!$A$5:$A$600,0)),"Application ID not found"))</f>
        <v>Memphis Schools Nutrition Fund</v>
      </c>
      <c r="D1058" s="35" t="s">
        <v>82</v>
      </c>
      <c r="E1058" s="35" t="s">
        <v>80</v>
      </c>
      <c r="F1058" s="36" t="n">
        <v>45954</v>
      </c>
      <c r="G1058" s="35" t="n">
        <v>3</v>
      </c>
      <c r="H1058" s="35" t="n">
        <v>2</v>
      </c>
      <c r="I1058" s="35" t="n">
        <v>2</v>
      </c>
      <c r="J1058" s="35" t="n">
        <v>3</v>
      </c>
      <c r="K1058" s="35" t="n">
        <v>4</v>
      </c>
      <c r="L1058" s="35" t="n">
        <v>4</v>
      </c>
      <c r="M1058" s="50" t="n">
        <f aca="false">IF(COUNT(G1058:L1058)&lt;6,"",ROUND((G1058*Rubric!$D$5+H1058*Rubric!$D$6+I1058*Rubric!$D$7+J1058*Rubric!$D$8+K1058*Rubric!$D$9+L1058*Rubric!$D$10)/5*100,1))</f>
        <v>56</v>
      </c>
      <c r="N1058" s="37" t="str">
        <f aca="false">IF(OR(B1058="",D1058=""),"",IFERROR(IF(IF(E1058="Primary",INDEX(Applications!$I$5:$I$600,MATCH(B1058,Applications!$A$5:$A$600,0)),IF(E1058="Secondary",INDEX(Applications!$J$5:$J$600,MATCH(B1058,Applications!$A$5:$A$600,0)),INDEX(Applications!$K$5:$K$600,MATCH(B1058,Applications!$A$5:$A$600,0))))=D1058,"OK","Not assigned"),"Check ID"))</f>
        <v>OK</v>
      </c>
      <c r="O1058" s="7" t="s">
        <v>1402</v>
      </c>
    </row>
    <row r="1059" customFormat="false" ht="15" hidden="false" customHeight="false" outlineLevel="0" collapsed="false">
      <c r="A1059" s="35" t="s">
        <v>2456</v>
      </c>
      <c r="B1059" s="35" t="s">
        <v>755</v>
      </c>
      <c r="C1059" s="37" t="str">
        <f aca="false">IF(B1059="","",IFERROR(INDEX(Applications!$B$5:$B$600,MATCH(B1059,Applications!$A$5:$A$600,0)),"Application ID not found"))</f>
        <v>Madison Community Kitchen</v>
      </c>
      <c r="D1059" s="35" t="s">
        <v>82</v>
      </c>
      <c r="E1059" s="35" t="s">
        <v>83</v>
      </c>
      <c r="F1059" s="36" t="n">
        <v>45954</v>
      </c>
      <c r="G1059" s="35" t="n">
        <v>3</v>
      </c>
      <c r="H1059" s="35" t="n">
        <v>2</v>
      </c>
      <c r="I1059" s="35" t="n">
        <v>3</v>
      </c>
      <c r="J1059" s="35" t="n">
        <v>2</v>
      </c>
      <c r="K1059" s="35" t="n">
        <v>2</v>
      </c>
      <c r="L1059" s="35" t="n">
        <v>3</v>
      </c>
      <c r="M1059" s="50" t="n">
        <f aca="false">IF(COUNT(G1059:L1059)&lt;6,"",ROUND((G1059*Rubric!$D$5+H1059*Rubric!$D$6+I1059*Rubric!$D$7+J1059*Rubric!$D$8+K1059*Rubric!$D$9+L1059*Rubric!$D$10)/5*100,1))</f>
        <v>51</v>
      </c>
      <c r="N1059" s="37" t="str">
        <f aca="false">IF(OR(B1059="",D1059=""),"",IFERROR(IF(IF(E1059="Primary",INDEX(Applications!$I$5:$I$600,MATCH(B1059,Applications!$A$5:$A$600,0)),IF(E1059="Secondary",INDEX(Applications!$J$5:$J$600,MATCH(B1059,Applications!$A$5:$A$600,0)),INDEX(Applications!$K$5:$K$600,MATCH(B1059,Applications!$A$5:$A$600,0))))=D1059,"OK","Not assigned"),"Check ID"))</f>
        <v>OK</v>
      </c>
      <c r="O1059" s="7"/>
    </row>
    <row r="1060" customFormat="false" ht="15" hidden="false" customHeight="false" outlineLevel="0" collapsed="false">
      <c r="A1060" s="35" t="s">
        <v>2457</v>
      </c>
      <c r="B1060" s="35" t="s">
        <v>1195</v>
      </c>
      <c r="C1060" s="37" t="str">
        <f aca="false">IF(B1060="","",IFERROR(INDEX(Applications!$B$5:$B$600,MATCH(B1060,Applications!$A$5:$A$600,0)),"Application ID not found"))</f>
        <v>Atlanta Farm Collective</v>
      </c>
      <c r="D1060" s="35" t="s">
        <v>82</v>
      </c>
      <c r="E1060" s="35" t="s">
        <v>80</v>
      </c>
      <c r="F1060" s="36" t="n">
        <v>45954</v>
      </c>
      <c r="G1060" s="35" t="n">
        <v>3</v>
      </c>
      <c r="H1060" s="35" t="n">
        <v>4</v>
      </c>
      <c r="I1060" s="35" t="n">
        <v>4</v>
      </c>
      <c r="J1060" s="35" t="n">
        <v>3</v>
      </c>
      <c r="K1060" s="35" t="n">
        <v>4</v>
      </c>
      <c r="L1060" s="35" t="n">
        <v>3</v>
      </c>
      <c r="M1060" s="50" t="n">
        <f aca="false">IF(COUNT(G1060:L1060)&lt;6,"",ROUND((G1060*Rubric!$D$5+H1060*Rubric!$D$6+I1060*Rubric!$D$7+J1060*Rubric!$D$8+K1060*Rubric!$D$9+L1060*Rubric!$D$10)/5*100,1))</f>
        <v>70</v>
      </c>
      <c r="N1060" s="37" t="str">
        <f aca="false">IF(OR(B1060="",D1060=""),"",IFERROR(IF(IF(E1060="Primary",INDEX(Applications!$I$5:$I$600,MATCH(B1060,Applications!$A$5:$A$600,0)),IF(E1060="Secondary",INDEX(Applications!$J$5:$J$600,MATCH(B1060,Applications!$A$5:$A$600,0)),INDEX(Applications!$K$5:$K$600,MATCH(B1060,Applications!$A$5:$A$600,0))))=D1060,"OK","Not assigned"),"Check ID"))</f>
        <v>OK</v>
      </c>
      <c r="O1060" s="7" t="s">
        <v>1416</v>
      </c>
    </row>
    <row r="1061" customFormat="false" ht="15" hidden="false" customHeight="false" outlineLevel="0" collapsed="false">
      <c r="A1061" s="35" t="s">
        <v>2458</v>
      </c>
      <c r="B1061" s="35" t="s">
        <v>1177</v>
      </c>
      <c r="C1061" s="37" t="str">
        <f aca="false">IF(B1061="","",IFERROR(INDEX(Applications!$B$5:$B$600,MATCH(B1061,Applications!$A$5:$A$600,0)),"Application ID not found"))</f>
        <v>Greenway Food Ventures</v>
      </c>
      <c r="D1061" s="35" t="s">
        <v>82</v>
      </c>
      <c r="E1061" s="35" t="s">
        <v>80</v>
      </c>
      <c r="F1061" s="36" t="n">
        <v>45954</v>
      </c>
      <c r="G1061" s="35" t="n">
        <v>3</v>
      </c>
      <c r="H1061" s="35" t="n">
        <v>3</v>
      </c>
      <c r="I1061" s="35" t="n">
        <v>3</v>
      </c>
      <c r="J1061" s="35" t="n">
        <v>3</v>
      </c>
      <c r="K1061" s="35" t="n">
        <v>3</v>
      </c>
      <c r="L1061" s="35" t="n">
        <v>3</v>
      </c>
      <c r="M1061" s="50" t="n">
        <f aca="false">IF(COUNT(G1061:L1061)&lt;6,"",ROUND((G1061*Rubric!$D$5+H1061*Rubric!$D$6+I1061*Rubric!$D$7+J1061*Rubric!$D$8+K1061*Rubric!$D$9+L1061*Rubric!$D$10)/5*100,1))</f>
        <v>60</v>
      </c>
      <c r="N1061" s="37" t="str">
        <f aca="false">IF(OR(B1061="",D1061=""),"",IFERROR(IF(IF(E1061="Primary",INDEX(Applications!$I$5:$I$600,MATCH(B1061,Applications!$A$5:$A$600,0)),IF(E1061="Secondary",INDEX(Applications!$J$5:$J$600,MATCH(B1061,Applications!$A$5:$A$600,0)),INDEX(Applications!$K$5:$K$600,MATCH(B1061,Applications!$A$5:$A$600,0))))=D1061,"OK","Not assigned"),"Check ID"))</f>
        <v>OK</v>
      </c>
      <c r="O1061" s="7"/>
    </row>
    <row r="1062" customFormat="false" ht="15" hidden="false" customHeight="false" outlineLevel="0" collapsed="false">
      <c r="A1062" s="35" t="s">
        <v>2459</v>
      </c>
      <c r="B1062" s="35" t="s">
        <v>210</v>
      </c>
      <c r="C1062" s="37" t="str">
        <f aca="false">IF(B1062="","",IFERROR(INDEX(Applications!$B$5:$B$600,MATCH(B1062,Applications!$A$5:$A$600,0)),"Application ID not found"))</f>
        <v>Fresno Mobile Market</v>
      </c>
      <c r="D1062" s="35" t="s">
        <v>82</v>
      </c>
      <c r="E1062" s="35" t="s">
        <v>83</v>
      </c>
      <c r="F1062" s="36" t="n">
        <v>45954</v>
      </c>
      <c r="G1062" s="35" t="n">
        <v>3</v>
      </c>
      <c r="H1062" s="35" t="n">
        <v>3</v>
      </c>
      <c r="I1062" s="35" t="n">
        <v>3</v>
      </c>
      <c r="J1062" s="35" t="n">
        <v>3</v>
      </c>
      <c r="K1062" s="35" t="n">
        <v>3</v>
      </c>
      <c r="L1062" s="35" t="n">
        <v>2</v>
      </c>
      <c r="M1062" s="50" t="n">
        <f aca="false">IF(COUNT(G1062:L1062)&lt;6,"",ROUND((G1062*Rubric!$D$5+H1062*Rubric!$D$6+I1062*Rubric!$D$7+J1062*Rubric!$D$8+K1062*Rubric!$D$9+L1062*Rubric!$D$10)/5*100,1))</f>
        <v>58</v>
      </c>
      <c r="N1062" s="37" t="str">
        <f aca="false">IF(OR(B1062="",D1062=""),"",IFERROR(IF(IF(E1062="Primary",INDEX(Applications!$I$5:$I$600,MATCH(B1062,Applications!$A$5:$A$600,0)),IF(E1062="Secondary",INDEX(Applications!$J$5:$J$600,MATCH(B1062,Applications!$A$5:$A$600,0)),INDEX(Applications!$K$5:$K$600,MATCH(B1062,Applications!$A$5:$A$600,0))))=D1062,"OK","Not assigned"),"Check ID"))</f>
        <v>OK</v>
      </c>
      <c r="O1062" s="7"/>
    </row>
    <row r="1063" customFormat="false" ht="15" hidden="false" customHeight="false" outlineLevel="0" collapsed="false">
      <c r="A1063" s="35" t="s">
        <v>2460</v>
      </c>
      <c r="B1063" s="35" t="s">
        <v>1369</v>
      </c>
      <c r="C1063" s="37" t="str">
        <f aca="false">IF(B1063="","",IFERROR(INDEX(Applications!$B$5:$B$600,MATCH(B1063,Applications!$A$5:$A$600,0)),"Application ID not found"))</f>
        <v>Des Moines Meals Project</v>
      </c>
      <c r="D1063" s="35" t="s">
        <v>82</v>
      </c>
      <c r="E1063" s="35" t="s">
        <v>80</v>
      </c>
      <c r="F1063" s="36" t="n">
        <v>45954</v>
      </c>
      <c r="G1063" s="35" t="n">
        <v>3</v>
      </c>
      <c r="H1063" s="35" t="n">
        <v>3</v>
      </c>
      <c r="I1063" s="35" t="n">
        <v>3</v>
      </c>
      <c r="J1063" s="35" t="n">
        <v>3</v>
      </c>
      <c r="K1063" s="35" t="n">
        <v>3</v>
      </c>
      <c r="L1063" s="35" t="n">
        <v>4</v>
      </c>
      <c r="M1063" s="50" t="n">
        <f aca="false">IF(COUNT(G1063:L1063)&lt;6,"",ROUND((G1063*Rubric!$D$5+H1063*Rubric!$D$6+I1063*Rubric!$D$7+J1063*Rubric!$D$8+K1063*Rubric!$D$9+L1063*Rubric!$D$10)/5*100,1))</f>
        <v>62</v>
      </c>
      <c r="N1063" s="37" t="str">
        <f aca="false">IF(OR(B1063="",D1063=""),"",IFERROR(IF(IF(E1063="Primary",INDEX(Applications!$I$5:$I$600,MATCH(B1063,Applications!$A$5:$A$600,0)),IF(E1063="Secondary",INDEX(Applications!$J$5:$J$600,MATCH(B1063,Applications!$A$5:$A$600,0)),INDEX(Applications!$K$5:$K$600,MATCH(B1063,Applications!$A$5:$A$600,0))))=D1063,"OK","Not assigned"),"Check ID"))</f>
        <v>OK</v>
      </c>
      <c r="O1063" s="7"/>
    </row>
    <row r="1064" customFormat="false" ht="15" hidden="false" customHeight="false" outlineLevel="0" collapsed="false">
      <c r="A1064" s="35" t="s">
        <v>2461</v>
      </c>
      <c r="B1064" s="35" t="s">
        <v>1373</v>
      </c>
      <c r="C1064" s="37" t="str">
        <f aca="false">IF(B1064="","",IFERROR(INDEX(Applications!$B$5:$B$600,MATCH(B1064,Applications!$A$5:$A$600,0)),"Application ID not found"))</f>
        <v>Denver Youth Food Lab</v>
      </c>
      <c r="D1064" s="35" t="s">
        <v>82</v>
      </c>
      <c r="E1064" s="35" t="s">
        <v>80</v>
      </c>
      <c r="F1064" s="36" t="n">
        <v>45954</v>
      </c>
      <c r="G1064" s="35" t="n">
        <v>2</v>
      </c>
      <c r="H1064" s="35" t="n">
        <v>1</v>
      </c>
      <c r="I1064" s="35" t="n">
        <v>2</v>
      </c>
      <c r="J1064" s="35" t="n">
        <v>1</v>
      </c>
      <c r="K1064" s="35" t="n">
        <v>2</v>
      </c>
      <c r="L1064" s="35" t="n">
        <v>2</v>
      </c>
      <c r="M1064" s="50" t="n">
        <f aca="false">IF(COUNT(G1064:L1064)&lt;6,"",ROUND((G1064*Rubric!$D$5+H1064*Rubric!$D$6+I1064*Rubric!$D$7+J1064*Rubric!$D$8+K1064*Rubric!$D$9+L1064*Rubric!$D$10)/5*100,1))</f>
        <v>33</v>
      </c>
      <c r="N1064" s="37" t="str">
        <f aca="false">IF(OR(B1064="",D1064=""),"",IFERROR(IF(IF(E1064="Primary",INDEX(Applications!$I$5:$I$600,MATCH(B1064,Applications!$A$5:$A$600,0)),IF(E1064="Secondary",INDEX(Applications!$J$5:$J$600,MATCH(B1064,Applications!$A$5:$A$600,0)),INDEX(Applications!$K$5:$K$600,MATCH(B1064,Applications!$A$5:$A$600,0))))=D1064,"OK","Not assigned"),"Check ID"))</f>
        <v>OK</v>
      </c>
      <c r="O1064" s="7"/>
    </row>
    <row r="1065" customFormat="false" ht="15" hidden="false" customHeight="false" outlineLevel="0" collapsed="false">
      <c r="A1065" s="35" t="s">
        <v>2462</v>
      </c>
      <c r="B1065" s="35" t="s">
        <v>290</v>
      </c>
      <c r="C1065" s="37" t="str">
        <f aca="false">IF(B1065="","",IFERROR(INDEX(Applications!$B$5:$B$600,MATCH(B1065,Applications!$A$5:$A$600,0)),"Application ID not found"))</f>
        <v>Dublin Family Center</v>
      </c>
      <c r="D1065" s="35" t="s">
        <v>82</v>
      </c>
      <c r="E1065" s="35" t="s">
        <v>83</v>
      </c>
      <c r="F1065" s="36" t="n">
        <v>45954</v>
      </c>
      <c r="G1065" s="35" t="n">
        <v>3</v>
      </c>
      <c r="H1065" s="35" t="n">
        <v>2</v>
      </c>
      <c r="I1065" s="35" t="n">
        <v>2</v>
      </c>
      <c r="J1065" s="35" t="n">
        <v>2</v>
      </c>
      <c r="K1065" s="35" t="n">
        <v>3</v>
      </c>
      <c r="L1065" s="35" t="n">
        <v>3</v>
      </c>
      <c r="M1065" s="50" t="n">
        <f aca="false">IF(COUNT(G1065:L1065)&lt;6,"",ROUND((G1065*Rubric!$D$5+H1065*Rubric!$D$6+I1065*Rubric!$D$7+J1065*Rubric!$D$8+K1065*Rubric!$D$9+L1065*Rubric!$D$10)/5*100,1))</f>
        <v>49</v>
      </c>
      <c r="N1065" s="37" t="str">
        <f aca="false">IF(OR(B1065="",D1065=""),"",IFERROR(IF(IF(E1065="Primary",INDEX(Applications!$I$5:$I$600,MATCH(B1065,Applications!$A$5:$A$600,0)),IF(E1065="Secondary",INDEX(Applications!$J$5:$J$600,MATCH(B1065,Applications!$A$5:$A$600,0)),INDEX(Applications!$K$5:$K$600,MATCH(B1065,Applications!$A$5:$A$600,0))))=D1065,"OK","Not assigned"),"Check ID"))</f>
        <v>OK</v>
      </c>
      <c r="O1065" s="7"/>
    </row>
    <row r="1066" customFormat="false" ht="15" hidden="false" customHeight="false" outlineLevel="0" collapsed="false">
      <c r="A1066" s="35" t="s">
        <v>2463</v>
      </c>
      <c r="B1066" s="35" t="s">
        <v>891</v>
      </c>
      <c r="C1066" s="37" t="str">
        <f aca="false">IF(B1066="","",IFERROR(INDEX(Applications!$B$5:$B$600,MATCH(B1066,Applications!$A$5:$A$600,0)),"Application ID not found"))</f>
        <v>Commonground Culinary Works</v>
      </c>
      <c r="D1066" s="35" t="s">
        <v>82</v>
      </c>
      <c r="E1066" s="35" t="s">
        <v>80</v>
      </c>
      <c r="F1066" s="36" t="n">
        <v>45954</v>
      </c>
      <c r="G1066" s="35" t="n">
        <v>3</v>
      </c>
      <c r="H1066" s="35" t="n">
        <v>2</v>
      </c>
      <c r="I1066" s="35" t="n">
        <v>2</v>
      </c>
      <c r="J1066" s="35" t="n">
        <v>2</v>
      </c>
      <c r="K1066" s="35" t="n">
        <v>2</v>
      </c>
      <c r="L1066" s="35" t="n">
        <v>2</v>
      </c>
      <c r="M1066" s="50" t="n">
        <f aca="false">IF(COUNT(G1066:L1066)&lt;6,"",ROUND((G1066*Rubric!$D$5+H1066*Rubric!$D$6+I1066*Rubric!$D$7+J1066*Rubric!$D$8+K1066*Rubric!$D$9+L1066*Rubric!$D$10)/5*100,1))</f>
        <v>45</v>
      </c>
      <c r="N1066" s="37" t="str">
        <f aca="false">IF(OR(B1066="",D1066=""),"",IFERROR(IF(IF(E1066="Primary",INDEX(Applications!$I$5:$I$600,MATCH(B1066,Applications!$A$5:$A$600,0)),IF(E1066="Secondary",INDEX(Applications!$J$5:$J$600,MATCH(B1066,Applications!$A$5:$A$600,0)),INDEX(Applications!$K$5:$K$600,MATCH(B1066,Applications!$A$5:$A$600,0))))=D1066,"OK","Not assigned"),"Check ID"))</f>
        <v>OK</v>
      </c>
      <c r="O1066" s="7"/>
    </row>
    <row r="1067" customFormat="false" ht="15" hidden="false" customHeight="false" outlineLevel="0" collapsed="false">
      <c r="A1067" s="35" t="s">
        <v>2464</v>
      </c>
      <c r="B1067" s="35" t="s">
        <v>895</v>
      </c>
      <c r="C1067" s="37" t="str">
        <f aca="false">IF(B1067="","",IFERROR(INDEX(Applications!$B$5:$B$600,MATCH(B1067,Applications!$A$5:$A$600,0)),"Application ID not found"))</f>
        <v>Lima Cafe Training Program</v>
      </c>
      <c r="D1067" s="35" t="s">
        <v>82</v>
      </c>
      <c r="E1067" s="35" t="s">
        <v>83</v>
      </c>
      <c r="F1067" s="36" t="n">
        <v>45954</v>
      </c>
      <c r="G1067" s="35" t="n">
        <v>5</v>
      </c>
      <c r="H1067" s="35" t="n">
        <v>5</v>
      </c>
      <c r="I1067" s="35" t="n">
        <v>4</v>
      </c>
      <c r="J1067" s="35" t="n">
        <v>4</v>
      </c>
      <c r="K1067" s="35" t="n">
        <v>4</v>
      </c>
      <c r="L1067" s="35" t="n">
        <v>5</v>
      </c>
      <c r="M1067" s="50" t="n">
        <f aca="false">IF(COUNT(G1067:L1067)&lt;6,"",ROUND((G1067*Rubric!$D$5+H1067*Rubric!$D$6+I1067*Rubric!$D$7+J1067*Rubric!$D$8+K1067*Rubric!$D$9+L1067*Rubric!$D$10)/5*100,1))</f>
        <v>91</v>
      </c>
      <c r="N1067" s="37" t="str">
        <f aca="false">IF(OR(B1067="",D1067=""),"",IFERROR(IF(IF(E1067="Primary",INDEX(Applications!$I$5:$I$600,MATCH(B1067,Applications!$A$5:$A$600,0)),IF(E1067="Secondary",INDEX(Applications!$J$5:$J$600,MATCH(B1067,Applications!$A$5:$A$600,0)),INDEX(Applications!$K$5:$K$600,MATCH(B1067,Applications!$A$5:$A$600,0))))=D1067,"OK","Not assigned"),"Check ID"))</f>
        <v>OK</v>
      </c>
      <c r="O1067" s="7"/>
    </row>
    <row r="1068" customFormat="false" ht="15" hidden="false" customHeight="false" outlineLevel="0" collapsed="false">
      <c r="A1068" s="35" t="s">
        <v>2465</v>
      </c>
      <c r="B1068" s="35" t="s">
        <v>1343</v>
      </c>
      <c r="C1068" s="37" t="str">
        <f aca="false">IF(B1068="","",IFERROR(INDEX(Applications!$B$5:$B$600,MATCH(B1068,Applications!$A$5:$A$600,0)),"Application ID not found"))</f>
        <v>Union Square Food Bank</v>
      </c>
      <c r="D1068" s="35" t="s">
        <v>82</v>
      </c>
      <c r="E1068" s="35" t="s">
        <v>80</v>
      </c>
      <c r="F1068" s="36" t="n">
        <v>45954</v>
      </c>
      <c r="G1068" s="35" t="n">
        <v>4</v>
      </c>
      <c r="H1068" s="35" t="n">
        <v>3</v>
      </c>
      <c r="I1068" s="35" t="n">
        <v>3</v>
      </c>
      <c r="J1068" s="35" t="n">
        <v>4</v>
      </c>
      <c r="K1068" s="35" t="n">
        <v>3</v>
      </c>
      <c r="L1068" s="35" t="n">
        <v>2</v>
      </c>
      <c r="M1068" s="50" t="n">
        <f aca="false">IF(COUNT(G1068:L1068)&lt;6,"",ROUND((G1068*Rubric!$D$5+H1068*Rubric!$D$6+I1068*Rubric!$D$7+J1068*Rubric!$D$8+K1068*Rubric!$D$9+L1068*Rubric!$D$10)/5*100,1))</f>
        <v>66</v>
      </c>
      <c r="N1068" s="37" t="str">
        <f aca="false">IF(OR(B1068="",D1068=""),"",IFERROR(IF(IF(E1068="Primary",INDEX(Applications!$I$5:$I$600,MATCH(B1068,Applications!$A$5:$A$600,0)),IF(E1068="Secondary",INDEX(Applications!$J$5:$J$600,MATCH(B1068,Applications!$A$5:$A$600,0)),INDEX(Applications!$K$5:$K$600,MATCH(B1068,Applications!$A$5:$A$600,0))))=D1068,"OK","Not assigned"),"Check ID"))</f>
        <v>OK</v>
      </c>
      <c r="O1068" s="7" t="s">
        <v>1493</v>
      </c>
    </row>
    <row r="1069" customFormat="false" ht="15" hidden="false" customHeight="false" outlineLevel="0" collapsed="false">
      <c r="A1069" s="35" t="s">
        <v>2466</v>
      </c>
      <c r="B1069" s="35" t="s">
        <v>347</v>
      </c>
      <c r="C1069" s="37" t="str">
        <f aca="false">IF(B1069="","",IFERROR(INDEX(Applications!$B$5:$B$600,MATCH(B1069,Applications!$A$5:$A$600,0)),"Application ID not found"))</f>
        <v>Open Door Food Bank</v>
      </c>
      <c r="D1069" s="35" t="s">
        <v>82</v>
      </c>
      <c r="E1069" s="35" t="s">
        <v>86</v>
      </c>
      <c r="F1069" s="36" t="n">
        <v>45954</v>
      </c>
      <c r="G1069" s="35" t="n">
        <v>3</v>
      </c>
      <c r="H1069" s="35" t="n">
        <v>4</v>
      </c>
      <c r="I1069" s="35" t="n">
        <v>3</v>
      </c>
      <c r="J1069" s="35" t="n">
        <v>3</v>
      </c>
      <c r="K1069" s="35" t="n">
        <v>2</v>
      </c>
      <c r="L1069" s="35" t="n">
        <v>3</v>
      </c>
      <c r="M1069" s="50" t="n">
        <f aca="false">IF(COUNT(G1069:L1069)&lt;6,"",ROUND((G1069*Rubric!$D$5+H1069*Rubric!$D$6+I1069*Rubric!$D$7+J1069*Rubric!$D$8+K1069*Rubric!$D$9+L1069*Rubric!$D$10)/5*100,1))</f>
        <v>62</v>
      </c>
      <c r="N1069" s="37" t="str">
        <f aca="false">IF(OR(B1069="",D1069=""),"",IFERROR(IF(IF(E1069="Primary",INDEX(Applications!$I$5:$I$600,MATCH(B1069,Applications!$A$5:$A$600,0)),IF(E1069="Secondary",INDEX(Applications!$J$5:$J$600,MATCH(B1069,Applications!$A$5:$A$600,0)),INDEX(Applications!$K$5:$K$600,MATCH(B1069,Applications!$A$5:$A$600,0))))=D1069,"OK","Not assigned"),"Check ID"))</f>
        <v>OK</v>
      </c>
      <c r="O1069" s="7" t="s">
        <v>1418</v>
      </c>
    </row>
    <row r="1070" customFormat="false" ht="15" hidden="false" customHeight="false" outlineLevel="0" collapsed="false">
      <c r="A1070" s="35" t="s">
        <v>2467</v>
      </c>
      <c r="B1070" s="35" t="s">
        <v>993</v>
      </c>
      <c r="C1070" s="37" t="str">
        <f aca="false">IF(B1070="","",IFERROR(INDEX(Applications!$B$5:$B$600,MATCH(B1070,Applications!$A$5:$A$600,0)),"Application ID not found"))</f>
        <v>Sheffield Food Shelf</v>
      </c>
      <c r="D1070" s="35" t="s">
        <v>82</v>
      </c>
      <c r="E1070" s="35" t="s">
        <v>86</v>
      </c>
      <c r="F1070" s="36" t="n">
        <v>45954</v>
      </c>
      <c r="G1070" s="35" t="n">
        <v>3</v>
      </c>
      <c r="H1070" s="35" t="n">
        <v>3</v>
      </c>
      <c r="I1070" s="35" t="n">
        <v>2</v>
      </c>
      <c r="J1070" s="35" t="n">
        <v>3</v>
      </c>
      <c r="K1070" s="35" t="n">
        <v>2</v>
      </c>
      <c r="L1070" s="35" t="n">
        <v>3</v>
      </c>
      <c r="M1070" s="50" t="n">
        <f aca="false">IF(COUNT(G1070:L1070)&lt;6,"",ROUND((G1070*Rubric!$D$5+H1070*Rubric!$D$6+I1070*Rubric!$D$7+J1070*Rubric!$D$8+K1070*Rubric!$D$9+L1070*Rubric!$D$10)/5*100,1))</f>
        <v>54</v>
      </c>
      <c r="N1070" s="37" t="str">
        <f aca="false">IF(OR(B1070="",D1070=""),"",IFERROR(IF(IF(E1070="Primary",INDEX(Applications!$I$5:$I$600,MATCH(B1070,Applications!$A$5:$A$600,0)),IF(E1070="Secondary",INDEX(Applications!$J$5:$J$600,MATCH(B1070,Applications!$A$5:$A$600,0)),INDEX(Applications!$K$5:$K$600,MATCH(B1070,Applications!$A$5:$A$600,0))))=D1070,"OK","Not assigned"),"Check ID"))</f>
        <v>OK</v>
      </c>
      <c r="O1070" s="7" t="s">
        <v>1437</v>
      </c>
    </row>
    <row r="1071" customFormat="false" ht="15" hidden="false" customHeight="false" outlineLevel="0" collapsed="false">
      <c r="A1071" s="35" t="s">
        <v>2468</v>
      </c>
      <c r="B1071" s="35" t="s">
        <v>981</v>
      </c>
      <c r="C1071" s="37" t="str">
        <f aca="false">IF(B1071="","",IFERROR(INDEX(Applications!$B$5:$B$600,MATCH(B1071,Applications!$A$5:$A$600,0)),"Application ID not found"))</f>
        <v>Prairie Community Pantry</v>
      </c>
      <c r="D1071" s="35" t="s">
        <v>88</v>
      </c>
      <c r="E1071" s="35" t="s">
        <v>80</v>
      </c>
      <c r="F1071" s="36" t="n">
        <v>45954</v>
      </c>
      <c r="G1071" s="35" t="n">
        <v>4</v>
      </c>
      <c r="H1071" s="35" t="n">
        <v>3</v>
      </c>
      <c r="I1071" s="35" t="n">
        <v>3</v>
      </c>
      <c r="J1071" s="35" t="n">
        <v>3</v>
      </c>
      <c r="K1071" s="35" t="n">
        <v>3</v>
      </c>
      <c r="L1071" s="35" t="n">
        <v>3</v>
      </c>
      <c r="M1071" s="50" t="n">
        <f aca="false">IF(COUNT(G1071:L1071)&lt;6,"",ROUND((G1071*Rubric!$D$5+H1071*Rubric!$D$6+I1071*Rubric!$D$7+J1071*Rubric!$D$8+K1071*Rubric!$D$9+L1071*Rubric!$D$10)/5*100,1))</f>
        <v>65</v>
      </c>
      <c r="N1071" s="37" t="str">
        <f aca="false">IF(OR(B1071="",D1071=""),"",IFERROR(IF(IF(E1071="Primary",INDEX(Applications!$I$5:$I$600,MATCH(B1071,Applications!$A$5:$A$600,0)),IF(E1071="Secondary",INDEX(Applications!$J$5:$J$600,MATCH(B1071,Applications!$A$5:$A$600,0)),INDEX(Applications!$K$5:$K$600,MATCH(B1071,Applications!$A$5:$A$600,0))))=D1071,"OK","Not assigned"),"Check ID"))</f>
        <v>OK</v>
      </c>
      <c r="O1071" s="7"/>
    </row>
    <row r="1072" customFormat="false" ht="15" hidden="false" customHeight="false" outlineLevel="0" collapsed="false">
      <c r="A1072" s="35" t="s">
        <v>2469</v>
      </c>
      <c r="B1072" s="35" t="s">
        <v>1359</v>
      </c>
      <c r="C1072" s="37" t="str">
        <f aca="false">IF(B1072="","",IFERROR(INDEX(Applications!$B$5:$B$600,MATCH(B1072,Applications!$A$5:$A$600,0)),"Application ID not found"))</f>
        <v>Parkside Farm Collective</v>
      </c>
      <c r="D1072" s="35" t="s">
        <v>88</v>
      </c>
      <c r="E1072" s="35" t="s">
        <v>83</v>
      </c>
      <c r="F1072" s="36" t="n">
        <v>45954</v>
      </c>
      <c r="G1072" s="35" t="n">
        <v>3</v>
      </c>
      <c r="H1072" s="35" t="n">
        <v>3</v>
      </c>
      <c r="I1072" s="35" t="n">
        <v>3</v>
      </c>
      <c r="J1072" s="35" t="n">
        <v>3</v>
      </c>
      <c r="K1072" s="35" t="n">
        <v>3</v>
      </c>
      <c r="L1072" s="35" t="n">
        <v>2</v>
      </c>
      <c r="M1072" s="50" t="n">
        <f aca="false">IF(COUNT(G1072:L1072)&lt;6,"",ROUND((G1072*Rubric!$D$5+H1072*Rubric!$D$6+I1072*Rubric!$D$7+J1072*Rubric!$D$8+K1072*Rubric!$D$9+L1072*Rubric!$D$10)/5*100,1))</f>
        <v>58</v>
      </c>
      <c r="N1072" s="37" t="str">
        <f aca="false">IF(OR(B1072="",D1072=""),"",IFERROR(IF(IF(E1072="Primary",INDEX(Applications!$I$5:$I$600,MATCH(B1072,Applications!$A$5:$A$600,0)),IF(E1072="Secondary",INDEX(Applications!$J$5:$J$600,MATCH(B1072,Applications!$A$5:$A$600,0)),INDEX(Applications!$K$5:$K$600,MATCH(B1072,Applications!$A$5:$A$600,0))))=D1072,"OK","Not assigned"),"Check ID"))</f>
        <v>OK</v>
      </c>
      <c r="O1072" s="7"/>
    </row>
    <row r="1073" customFormat="false" ht="15" hidden="false" customHeight="false" outlineLevel="0" collapsed="false">
      <c r="A1073" s="35" t="s">
        <v>2470</v>
      </c>
      <c r="B1073" s="35" t="s">
        <v>639</v>
      </c>
      <c r="C1073" s="37" t="str">
        <f aca="false">IF(B1073="","",IFERROR(INDEX(Applications!$B$5:$B$600,MATCH(B1073,Applications!$A$5:$A$600,0)),"Application ID not found"))</f>
        <v>Willow Run Market Gardens</v>
      </c>
      <c r="D1073" s="35" t="s">
        <v>88</v>
      </c>
      <c r="E1073" s="35" t="s">
        <v>80</v>
      </c>
      <c r="F1073" s="36" t="n">
        <v>45954</v>
      </c>
      <c r="G1073" s="35" t="n">
        <v>3</v>
      </c>
      <c r="H1073" s="35" t="n">
        <v>3</v>
      </c>
      <c r="I1073" s="35" t="n">
        <v>3</v>
      </c>
      <c r="J1073" s="35" t="n">
        <v>3</v>
      </c>
      <c r="K1073" s="35" t="n">
        <v>4</v>
      </c>
      <c r="L1073" s="35" t="n">
        <v>4</v>
      </c>
      <c r="M1073" s="50" t="n">
        <f aca="false">IF(COUNT(G1073:L1073)&lt;6,"",ROUND((G1073*Rubric!$D$5+H1073*Rubric!$D$6+I1073*Rubric!$D$7+J1073*Rubric!$D$8+K1073*Rubric!$D$9+L1073*Rubric!$D$10)/5*100,1))</f>
        <v>64</v>
      </c>
      <c r="N1073" s="37" t="str">
        <f aca="false">IF(OR(B1073="",D1073=""),"",IFERROR(IF(IF(E1073="Primary",INDEX(Applications!$I$5:$I$600,MATCH(B1073,Applications!$A$5:$A$600,0)),IF(E1073="Secondary",INDEX(Applications!$J$5:$J$600,MATCH(B1073,Applications!$A$5:$A$600,0)),INDEX(Applications!$K$5:$K$600,MATCH(B1073,Applications!$A$5:$A$600,0))))=D1073,"OK","Not assigned"),"Check ID"))</f>
        <v>OK</v>
      </c>
      <c r="O1073" s="7"/>
    </row>
    <row r="1074" customFormat="false" ht="15" hidden="false" customHeight="false" outlineLevel="0" collapsed="false">
      <c r="A1074" s="35" t="s">
        <v>2471</v>
      </c>
      <c r="B1074" s="35" t="s">
        <v>206</v>
      </c>
      <c r="C1074" s="37" t="str">
        <f aca="false">IF(B1074="","",IFERROR(INDEX(Applications!$B$5:$B$600,MATCH(B1074,Applications!$A$5:$A$600,0)),"Application ID not found"))</f>
        <v>Glasgow Meals Project</v>
      </c>
      <c r="D1074" s="35" t="s">
        <v>88</v>
      </c>
      <c r="E1074" s="35" t="s">
        <v>83</v>
      </c>
      <c r="F1074" s="36" t="n">
        <v>45954</v>
      </c>
      <c r="G1074" s="35" t="n">
        <v>4</v>
      </c>
      <c r="H1074" s="35" t="n">
        <v>4</v>
      </c>
      <c r="I1074" s="35" t="n">
        <v>4</v>
      </c>
      <c r="J1074" s="35" t="n">
        <v>4</v>
      </c>
      <c r="K1074" s="35" t="n">
        <v>4</v>
      </c>
      <c r="L1074" s="35" t="n">
        <v>3</v>
      </c>
      <c r="M1074" s="50" t="n">
        <f aca="false">IF(COUNT(G1074:L1074)&lt;6,"",ROUND((G1074*Rubric!$D$5+H1074*Rubric!$D$6+I1074*Rubric!$D$7+J1074*Rubric!$D$8+K1074*Rubric!$D$9+L1074*Rubric!$D$10)/5*100,1))</f>
        <v>78</v>
      </c>
      <c r="N1074" s="37" t="str">
        <f aca="false">IF(OR(B1074="",D1074=""),"",IFERROR(IF(IF(E1074="Primary",INDEX(Applications!$I$5:$I$600,MATCH(B1074,Applications!$A$5:$A$600,0)),IF(E1074="Secondary",INDEX(Applications!$J$5:$J$600,MATCH(B1074,Applications!$A$5:$A$600,0)),INDEX(Applications!$K$5:$K$600,MATCH(B1074,Applications!$A$5:$A$600,0))))=D1074,"OK","Not assigned"),"Check ID"))</f>
        <v>OK</v>
      </c>
      <c r="O1074" s="7"/>
    </row>
    <row r="1075" customFormat="false" ht="15" hidden="false" customHeight="false" outlineLevel="0" collapsed="false">
      <c r="A1075" s="35" t="s">
        <v>2472</v>
      </c>
      <c r="B1075" s="35" t="s">
        <v>671</v>
      </c>
      <c r="C1075" s="37" t="str">
        <f aca="false">IF(B1075="","",IFERROR(INDEX(Applications!$B$5:$B$600,MATCH(B1075,Applications!$A$5:$A$600,0)),"Application ID not found"))</f>
        <v>Peoria Community Kitchen</v>
      </c>
      <c r="D1075" s="35" t="s">
        <v>88</v>
      </c>
      <c r="E1075" s="35" t="s">
        <v>83</v>
      </c>
      <c r="F1075" s="36" t="n">
        <v>45954</v>
      </c>
      <c r="G1075" s="35" t="n">
        <v>3</v>
      </c>
      <c r="H1075" s="35" t="n">
        <v>3</v>
      </c>
      <c r="I1075" s="35" t="n">
        <v>4</v>
      </c>
      <c r="J1075" s="35" t="n">
        <v>4</v>
      </c>
      <c r="K1075" s="35" t="n">
        <v>4</v>
      </c>
      <c r="L1075" s="35" t="n">
        <v>4</v>
      </c>
      <c r="M1075" s="50" t="n">
        <f aca="false">IF(COUNT(G1075:L1075)&lt;6,"",ROUND((G1075*Rubric!$D$5+H1075*Rubric!$D$6+I1075*Rubric!$D$7+J1075*Rubric!$D$8+K1075*Rubric!$D$9+L1075*Rubric!$D$10)/5*100,1))</f>
        <v>71</v>
      </c>
      <c r="N1075" s="37" t="str">
        <f aca="false">IF(OR(B1075="",D1075=""),"",IFERROR(IF(IF(E1075="Primary",INDEX(Applications!$I$5:$I$600,MATCH(B1075,Applications!$A$5:$A$600,0)),IF(E1075="Secondary",INDEX(Applications!$J$5:$J$600,MATCH(B1075,Applications!$A$5:$A$600,0)),INDEX(Applications!$K$5:$K$600,MATCH(B1075,Applications!$A$5:$A$600,0))))=D1075,"OK","Not assigned"),"Check ID"))</f>
        <v>OK</v>
      </c>
      <c r="O1075" s="7"/>
    </row>
    <row r="1076" customFormat="false" ht="15" hidden="false" customHeight="false" outlineLevel="0" collapsed="false">
      <c r="A1076" s="35" t="s">
        <v>2473</v>
      </c>
      <c r="B1076" s="35" t="s">
        <v>286</v>
      </c>
      <c r="C1076" s="37" t="str">
        <f aca="false">IF(B1076="","",IFERROR(INDEX(Applications!$B$5:$B$600,MATCH(B1076,Applications!$A$5:$A$600,0)),"Application ID not found"))</f>
        <v>Toronto Market Gardens</v>
      </c>
      <c r="D1076" s="35" t="s">
        <v>88</v>
      </c>
      <c r="E1076" s="35" t="s">
        <v>80</v>
      </c>
      <c r="F1076" s="36" t="n">
        <v>45954</v>
      </c>
      <c r="G1076" s="35" t="n">
        <v>3</v>
      </c>
      <c r="H1076" s="35" t="n">
        <v>3</v>
      </c>
      <c r="I1076" s="35" t="n">
        <v>4</v>
      </c>
      <c r="J1076" s="35" t="n">
        <v>3</v>
      </c>
      <c r="K1076" s="35" t="n">
        <v>3</v>
      </c>
      <c r="L1076" s="35" t="n">
        <v>3</v>
      </c>
      <c r="M1076" s="50" t="n">
        <f aca="false">IF(COUNT(G1076:L1076)&lt;6,"",ROUND((G1076*Rubric!$D$5+H1076*Rubric!$D$6+I1076*Rubric!$D$7+J1076*Rubric!$D$8+K1076*Rubric!$D$9+L1076*Rubric!$D$10)/5*100,1))</f>
        <v>64</v>
      </c>
      <c r="N1076" s="37" t="str">
        <f aca="false">IF(OR(B1076="",D1076=""),"",IFERROR(IF(IF(E1076="Primary",INDEX(Applications!$I$5:$I$600,MATCH(B1076,Applications!$A$5:$A$600,0)),IF(E1076="Secondary",INDEX(Applications!$J$5:$J$600,MATCH(B1076,Applications!$A$5:$A$600,0)),INDEX(Applications!$K$5:$K$600,MATCH(B1076,Applications!$A$5:$A$600,0))))=D1076,"OK","Not assigned"),"Check ID"))</f>
        <v>OK</v>
      </c>
      <c r="O1076" s="7"/>
    </row>
    <row r="1077" customFormat="false" ht="15" hidden="false" customHeight="false" outlineLevel="0" collapsed="false">
      <c r="A1077" s="35" t="s">
        <v>2474</v>
      </c>
      <c r="B1077" s="35" t="s">
        <v>863</v>
      </c>
      <c r="C1077" s="37" t="str">
        <f aca="false">IF(B1077="","",IFERROR(INDEX(Applications!$B$5:$B$600,MATCH(B1077,Applications!$A$5:$A$600,0)),"Application ID not found"))</f>
        <v>Commonground Growers Cooperative</v>
      </c>
      <c r="D1077" s="35" t="s">
        <v>88</v>
      </c>
      <c r="E1077" s="35" t="s">
        <v>80</v>
      </c>
      <c r="F1077" s="36" t="n">
        <v>45954</v>
      </c>
      <c r="G1077" s="35" t="n">
        <v>4</v>
      </c>
      <c r="H1077" s="35" t="n">
        <v>3</v>
      </c>
      <c r="I1077" s="35" t="n">
        <v>3</v>
      </c>
      <c r="J1077" s="35" t="n">
        <v>3</v>
      </c>
      <c r="K1077" s="35" t="n">
        <v>3</v>
      </c>
      <c r="L1077" s="35" t="n">
        <v>4</v>
      </c>
      <c r="M1077" s="50" t="n">
        <f aca="false">IF(COUNT(G1077:L1077)&lt;6,"",ROUND((G1077*Rubric!$D$5+H1077*Rubric!$D$6+I1077*Rubric!$D$7+J1077*Rubric!$D$8+K1077*Rubric!$D$9+L1077*Rubric!$D$10)/5*100,1))</f>
        <v>67</v>
      </c>
      <c r="N1077" s="37" t="str">
        <f aca="false">IF(OR(B1077="",D1077=""),"",IFERROR(IF(IF(E1077="Primary",INDEX(Applications!$I$5:$I$600,MATCH(B1077,Applications!$A$5:$A$600,0)),IF(E1077="Secondary",INDEX(Applications!$J$5:$J$600,MATCH(B1077,Applications!$A$5:$A$600,0)),INDEX(Applications!$K$5:$K$600,MATCH(B1077,Applications!$A$5:$A$600,0))))=D1077,"OK","Not assigned"),"Check ID"))</f>
        <v>OK</v>
      </c>
      <c r="O1077" s="7"/>
    </row>
    <row r="1078" customFormat="false" ht="15" hidden="false" customHeight="false" outlineLevel="0" collapsed="false">
      <c r="A1078" s="35" t="s">
        <v>2475</v>
      </c>
      <c r="B1078" s="35" t="s">
        <v>715</v>
      </c>
      <c r="C1078" s="37" t="str">
        <f aca="false">IF(B1078="","",IFERROR(INDEX(Applications!$B$5:$B$600,MATCH(B1078,Applications!$A$5:$A$600,0)),"Application ID not found"))</f>
        <v>Copper Hill Culinary Works</v>
      </c>
      <c r="D1078" s="35" t="s">
        <v>88</v>
      </c>
      <c r="E1078" s="35" t="s">
        <v>83</v>
      </c>
      <c r="F1078" s="36" t="n">
        <v>45954</v>
      </c>
      <c r="G1078" s="35" t="n">
        <v>3</v>
      </c>
      <c r="H1078" s="35" t="n">
        <v>3</v>
      </c>
      <c r="I1078" s="35" t="n">
        <v>3</v>
      </c>
      <c r="J1078" s="35" t="n">
        <v>3</v>
      </c>
      <c r="K1078" s="35" t="n">
        <v>3</v>
      </c>
      <c r="L1078" s="35" t="n">
        <v>3</v>
      </c>
      <c r="M1078" s="50" t="n">
        <f aca="false">IF(COUNT(G1078:L1078)&lt;6,"",ROUND((G1078*Rubric!$D$5+H1078*Rubric!$D$6+I1078*Rubric!$D$7+J1078*Rubric!$D$8+K1078*Rubric!$D$9+L1078*Rubric!$D$10)/5*100,1))</f>
        <v>60</v>
      </c>
      <c r="N1078" s="37" t="str">
        <f aca="false">IF(OR(B1078="",D1078=""),"",IFERROR(IF(IF(E1078="Primary",INDEX(Applications!$I$5:$I$600,MATCH(B1078,Applications!$A$5:$A$600,0)),IF(E1078="Secondary",INDEX(Applications!$J$5:$J$600,MATCH(B1078,Applications!$A$5:$A$600,0)),INDEX(Applications!$K$5:$K$600,MATCH(B1078,Applications!$A$5:$A$600,0))))=D1078,"OK","Not assigned"),"Check ID"))</f>
        <v>OK</v>
      </c>
      <c r="O1078" s="7"/>
    </row>
    <row r="1079" customFormat="false" ht="15" hidden="false" customHeight="false" outlineLevel="0" collapsed="false">
      <c r="A1079" s="35" t="s">
        <v>2476</v>
      </c>
      <c r="B1079" s="35" t="s">
        <v>478</v>
      </c>
      <c r="C1079" s="37" t="str">
        <f aca="false">IF(B1079="","",IFERROR(INDEX(Applications!$B$5:$B$600,MATCH(B1079,Applications!$A$5:$A$600,0)),"Application ID not found"))</f>
        <v>Oak Hollow Family Center</v>
      </c>
      <c r="D1079" s="35" t="s">
        <v>88</v>
      </c>
      <c r="E1079" s="35" t="s">
        <v>80</v>
      </c>
      <c r="F1079" s="36" t="n">
        <v>45954</v>
      </c>
      <c r="G1079" s="35" t="n">
        <v>4</v>
      </c>
      <c r="H1079" s="35" t="n">
        <v>5</v>
      </c>
      <c r="I1079" s="35" t="n">
        <v>3</v>
      </c>
      <c r="J1079" s="35" t="n">
        <v>3</v>
      </c>
      <c r="K1079" s="35" t="n">
        <v>3</v>
      </c>
      <c r="L1079" s="35" t="n">
        <v>4</v>
      </c>
      <c r="M1079" s="50" t="n">
        <f aca="false">IF(COUNT(G1079:L1079)&lt;6,"",ROUND((G1079*Rubric!$D$5+H1079*Rubric!$D$6+I1079*Rubric!$D$7+J1079*Rubric!$D$8+K1079*Rubric!$D$9+L1079*Rubric!$D$10)/5*100,1))</f>
        <v>75</v>
      </c>
      <c r="N1079" s="37" t="str">
        <f aca="false">IF(OR(B1079="",D1079=""),"",IFERROR(IF(IF(E1079="Primary",INDEX(Applications!$I$5:$I$600,MATCH(B1079,Applications!$A$5:$A$600,0)),IF(E1079="Secondary",INDEX(Applications!$J$5:$J$600,MATCH(B1079,Applications!$A$5:$A$600,0)),INDEX(Applications!$K$5:$K$600,MATCH(B1079,Applications!$A$5:$A$600,0))))=D1079,"OK","Not assigned"),"Check ID"))</f>
        <v>OK</v>
      </c>
      <c r="O1079" s="7" t="s">
        <v>1592</v>
      </c>
    </row>
    <row r="1080" customFormat="false" ht="15" hidden="false" customHeight="false" outlineLevel="0" collapsed="false">
      <c r="A1080" s="35" t="s">
        <v>2477</v>
      </c>
      <c r="B1080" s="35" t="s">
        <v>1017</v>
      </c>
      <c r="C1080" s="37" t="str">
        <f aca="false">IF(B1080="","",IFERROR(INDEX(Applications!$B$5:$B$600,MATCH(B1080,Applications!$A$5:$A$600,0)),"Application ID not found"))</f>
        <v>Copper Hill Youth Food Lab</v>
      </c>
      <c r="D1080" s="35" t="s">
        <v>88</v>
      </c>
      <c r="E1080" s="35" t="s">
        <v>83</v>
      </c>
      <c r="F1080" s="36" t="n">
        <v>45954</v>
      </c>
      <c r="G1080" s="35" t="n">
        <v>4</v>
      </c>
      <c r="H1080" s="35" t="n">
        <v>4</v>
      </c>
      <c r="I1080" s="35" t="n">
        <v>4</v>
      </c>
      <c r="J1080" s="35" t="n">
        <v>4</v>
      </c>
      <c r="K1080" s="35" t="n">
        <v>5</v>
      </c>
      <c r="L1080" s="35" t="n">
        <v>4</v>
      </c>
      <c r="M1080" s="50" t="n">
        <f aca="false">IF(COUNT(G1080:L1080)&lt;6,"",ROUND((G1080*Rubric!$D$5+H1080*Rubric!$D$6+I1080*Rubric!$D$7+J1080*Rubric!$D$8+K1080*Rubric!$D$9+L1080*Rubric!$D$10)/5*100,1))</f>
        <v>82</v>
      </c>
      <c r="N1080" s="37" t="str">
        <f aca="false">IF(OR(B1080="",D1080=""),"",IFERROR(IF(IF(E1080="Primary",INDEX(Applications!$I$5:$I$600,MATCH(B1080,Applications!$A$5:$A$600,0)),IF(E1080="Secondary",INDEX(Applications!$J$5:$J$600,MATCH(B1080,Applications!$A$5:$A$600,0)),INDEX(Applications!$K$5:$K$600,MATCH(B1080,Applications!$A$5:$A$600,0))))=D1080,"OK","Not assigned"),"Check ID"))</f>
        <v>OK</v>
      </c>
      <c r="O1080" s="7"/>
    </row>
    <row r="1081" customFormat="false" ht="15" hidden="false" customHeight="false" outlineLevel="0" collapsed="false">
      <c r="A1081" s="35" t="s">
        <v>2478</v>
      </c>
      <c r="B1081" s="35" t="s">
        <v>1307</v>
      </c>
      <c r="C1081" s="37" t="str">
        <f aca="false">IF(B1081="","",IFERROR(INDEX(Applications!$B$5:$B$600,MATCH(B1081,Applications!$A$5:$A$600,0)),"Application ID not found"))</f>
        <v>Monterrey Kitchen Project</v>
      </c>
      <c r="D1081" s="35" t="s">
        <v>88</v>
      </c>
      <c r="E1081" s="35" t="s">
        <v>80</v>
      </c>
      <c r="F1081" s="36" t="n">
        <v>45954</v>
      </c>
      <c r="G1081" s="35" t="n">
        <v>1</v>
      </c>
      <c r="H1081" s="35" t="n">
        <v>2</v>
      </c>
      <c r="I1081" s="35" t="n">
        <v>1</v>
      </c>
      <c r="J1081" s="35" t="n">
        <v>2</v>
      </c>
      <c r="K1081" s="35" t="n">
        <v>2</v>
      </c>
      <c r="L1081" s="35" t="n">
        <v>3</v>
      </c>
      <c r="M1081" s="50" t="n">
        <f aca="false">IF(COUNT(G1081:L1081)&lt;6,"",ROUND((G1081*Rubric!$D$5+H1081*Rubric!$D$6+I1081*Rubric!$D$7+J1081*Rubric!$D$8+K1081*Rubric!$D$9+L1081*Rubric!$D$10)/5*100,1))</f>
        <v>33</v>
      </c>
      <c r="N1081" s="37" t="str">
        <f aca="false">IF(OR(B1081="",D1081=""),"",IFERROR(IF(IF(E1081="Primary",INDEX(Applications!$I$5:$I$600,MATCH(B1081,Applications!$A$5:$A$600,0)),IF(E1081="Secondary",INDEX(Applications!$J$5:$J$600,MATCH(B1081,Applications!$A$5:$A$600,0)),INDEX(Applications!$K$5:$K$600,MATCH(B1081,Applications!$A$5:$A$600,0))))=D1081,"OK","Not assigned"),"Check ID"))</f>
        <v>OK</v>
      </c>
      <c r="O1081" s="7"/>
    </row>
    <row r="1082" customFormat="false" ht="15" hidden="false" customHeight="false" outlineLevel="0" collapsed="false">
      <c r="A1082" s="35" t="s">
        <v>2479</v>
      </c>
      <c r="B1082" s="35" t="s">
        <v>851</v>
      </c>
      <c r="C1082" s="37" t="str">
        <f aca="false">IF(B1082="","",IFERROR(INDEX(Applications!$B$5:$B$600,MATCH(B1082,Applications!$A$5:$A$600,0)),"Application ID not found"))</f>
        <v>Medellín Seed Library</v>
      </c>
      <c r="D1082" s="35" t="s">
        <v>88</v>
      </c>
      <c r="E1082" s="35" t="s">
        <v>83</v>
      </c>
      <c r="F1082" s="36" t="n">
        <v>45954</v>
      </c>
      <c r="G1082" s="35" t="n">
        <v>3</v>
      </c>
      <c r="H1082" s="35" t="n">
        <v>3</v>
      </c>
      <c r="I1082" s="35" t="n">
        <v>3</v>
      </c>
      <c r="J1082" s="35" t="n">
        <v>4</v>
      </c>
      <c r="K1082" s="35" t="n">
        <v>3</v>
      </c>
      <c r="L1082" s="35" t="n">
        <v>3</v>
      </c>
      <c r="M1082" s="50" t="n">
        <f aca="false">IF(COUNT(G1082:L1082)&lt;6,"",ROUND((G1082*Rubric!$D$5+H1082*Rubric!$D$6+I1082*Rubric!$D$7+J1082*Rubric!$D$8+K1082*Rubric!$D$9+L1082*Rubric!$D$10)/5*100,1))</f>
        <v>63</v>
      </c>
      <c r="N1082" s="37" t="str">
        <f aca="false">IF(OR(B1082="",D1082=""),"",IFERROR(IF(IF(E1082="Primary",INDEX(Applications!$I$5:$I$600,MATCH(B1082,Applications!$A$5:$A$600,0)),IF(E1082="Secondary",INDEX(Applications!$J$5:$J$600,MATCH(B1082,Applications!$A$5:$A$600,0)),INDEX(Applications!$K$5:$K$600,MATCH(B1082,Applications!$A$5:$A$600,0))))=D1082,"OK","Not assigned"),"Check ID"))</f>
        <v>OK</v>
      </c>
      <c r="O1082" s="7" t="s">
        <v>1398</v>
      </c>
    </row>
    <row r="1083" customFormat="false" ht="15" hidden="false" customHeight="false" outlineLevel="0" collapsed="false">
      <c r="A1083" s="35" t="s">
        <v>2480</v>
      </c>
      <c r="B1083" s="35" t="s">
        <v>575</v>
      </c>
      <c r="C1083" s="37" t="str">
        <f aca="false">IF(B1083="","",IFERROR(INDEX(Applications!$B$5:$B$600,MATCH(B1083,Applications!$A$5:$A$600,0)),"Application ID not found"))</f>
        <v>Canal Street Farm Collective</v>
      </c>
      <c r="D1083" s="35" t="s">
        <v>88</v>
      </c>
      <c r="E1083" s="35" t="s">
        <v>83</v>
      </c>
      <c r="F1083" s="36" t="n">
        <v>45954</v>
      </c>
      <c r="G1083" s="35" t="n">
        <v>4</v>
      </c>
      <c r="H1083" s="35" t="n">
        <v>3</v>
      </c>
      <c r="I1083" s="35" t="n">
        <v>3</v>
      </c>
      <c r="J1083" s="35" t="n">
        <v>3</v>
      </c>
      <c r="K1083" s="35" t="n">
        <v>3</v>
      </c>
      <c r="L1083" s="35" t="n">
        <v>3</v>
      </c>
      <c r="M1083" s="50" t="n">
        <f aca="false">IF(COUNT(G1083:L1083)&lt;6,"",ROUND((G1083*Rubric!$D$5+H1083*Rubric!$D$6+I1083*Rubric!$D$7+J1083*Rubric!$D$8+K1083*Rubric!$D$9+L1083*Rubric!$D$10)/5*100,1))</f>
        <v>65</v>
      </c>
      <c r="N1083" s="37" t="str">
        <f aca="false">IF(OR(B1083="",D1083=""),"",IFERROR(IF(IF(E1083="Primary",INDEX(Applications!$I$5:$I$600,MATCH(B1083,Applications!$A$5:$A$600,0)),IF(E1083="Secondary",INDEX(Applications!$J$5:$J$600,MATCH(B1083,Applications!$A$5:$A$600,0)),INDEX(Applications!$K$5:$K$600,MATCH(B1083,Applications!$A$5:$A$600,0))))=D1083,"OK","Not assigned"),"Check ID"))</f>
        <v>OK</v>
      </c>
      <c r="O1083" s="7"/>
    </row>
    <row r="1084" customFormat="false" ht="15" hidden="false" customHeight="false" outlineLevel="0" collapsed="false">
      <c r="A1084" s="35" t="s">
        <v>2481</v>
      </c>
      <c r="B1084" s="35" t="s">
        <v>339</v>
      </c>
      <c r="C1084" s="37" t="str">
        <f aca="false">IF(B1084="","",IFERROR(INDEX(Applications!$B$5:$B$600,MATCH(B1084,Applications!$A$5:$A$600,0)),"Application ID not found"))</f>
        <v>Glasgow Bakery Collective</v>
      </c>
      <c r="D1084" s="35" t="s">
        <v>88</v>
      </c>
      <c r="E1084" s="35" t="s">
        <v>83</v>
      </c>
      <c r="F1084" s="36" t="n">
        <v>45954</v>
      </c>
      <c r="G1084" s="35" t="n">
        <v>3</v>
      </c>
      <c r="H1084" s="35" t="n">
        <v>3</v>
      </c>
      <c r="I1084" s="35" t="n">
        <v>3</v>
      </c>
      <c r="J1084" s="35" t="n">
        <v>3</v>
      </c>
      <c r="K1084" s="35" t="n">
        <v>2</v>
      </c>
      <c r="L1084" s="35" t="n">
        <v>4</v>
      </c>
      <c r="M1084" s="50" t="n">
        <f aca="false">IF(COUNT(G1084:L1084)&lt;6,"",ROUND((G1084*Rubric!$D$5+H1084*Rubric!$D$6+I1084*Rubric!$D$7+J1084*Rubric!$D$8+K1084*Rubric!$D$9+L1084*Rubric!$D$10)/5*100,1))</f>
        <v>60</v>
      </c>
      <c r="N1084" s="37" t="str">
        <f aca="false">IF(OR(B1084="",D1084=""),"",IFERROR(IF(IF(E1084="Primary",INDEX(Applications!$I$5:$I$600,MATCH(B1084,Applications!$A$5:$A$600,0)),IF(E1084="Secondary",INDEX(Applications!$J$5:$J$600,MATCH(B1084,Applications!$A$5:$A$600,0)),INDEX(Applications!$K$5:$K$600,MATCH(B1084,Applications!$A$5:$A$600,0))))=D1084,"OK","Not assigned"),"Check ID"))</f>
        <v>OK</v>
      </c>
      <c r="O1084" s="7"/>
    </row>
    <row r="1085" customFormat="false" ht="15" hidden="false" customHeight="false" outlineLevel="0" collapsed="false">
      <c r="A1085" s="35" t="s">
        <v>2482</v>
      </c>
      <c r="B1085" s="35" t="s">
        <v>1009</v>
      </c>
      <c r="C1085" s="37" t="str">
        <f aca="false">IF(B1085="","",IFERROR(INDEX(Applications!$B$5:$B$600,MATCH(B1085,Applications!$A$5:$A$600,0)),"Application ID not found"))</f>
        <v>Bluestem Farm School</v>
      </c>
      <c r="D1085" s="35" t="s">
        <v>88</v>
      </c>
      <c r="E1085" s="35" t="s">
        <v>83</v>
      </c>
      <c r="F1085" s="36" t="n">
        <v>45954</v>
      </c>
      <c r="G1085" s="35" t="n">
        <v>2</v>
      </c>
      <c r="H1085" s="35" t="n">
        <v>2</v>
      </c>
      <c r="I1085" s="35" t="n">
        <v>3</v>
      </c>
      <c r="J1085" s="35" t="n">
        <v>2</v>
      </c>
      <c r="K1085" s="35" t="n">
        <v>2</v>
      </c>
      <c r="L1085" s="35" t="n">
        <v>1</v>
      </c>
      <c r="M1085" s="50" t="n">
        <f aca="false">IF(COUNT(G1085:L1085)&lt;6,"",ROUND((G1085*Rubric!$D$5+H1085*Rubric!$D$6+I1085*Rubric!$D$7+J1085*Rubric!$D$8+K1085*Rubric!$D$9+L1085*Rubric!$D$10)/5*100,1))</f>
        <v>42</v>
      </c>
      <c r="N1085" s="37" t="str">
        <f aca="false">IF(OR(B1085="",D1085=""),"",IFERROR(IF(IF(E1085="Primary",INDEX(Applications!$I$5:$I$600,MATCH(B1085,Applications!$A$5:$A$600,0)),IF(E1085="Secondary",INDEX(Applications!$J$5:$J$600,MATCH(B1085,Applications!$A$5:$A$600,0)),INDEX(Applications!$K$5:$K$600,MATCH(B1085,Applications!$A$5:$A$600,0))))=D1085,"OK","Not assigned"),"Check ID"))</f>
        <v>OK</v>
      </c>
      <c r="O1085" s="7" t="s">
        <v>1493</v>
      </c>
    </row>
    <row r="1086" customFormat="false" ht="15" hidden="false" customHeight="false" outlineLevel="0" collapsed="false">
      <c r="A1086" s="35" t="s">
        <v>2483</v>
      </c>
      <c r="B1086" s="35" t="s">
        <v>290</v>
      </c>
      <c r="C1086" s="37" t="str">
        <f aca="false">IF(B1086="","",IFERROR(INDEX(Applications!$B$5:$B$600,MATCH(B1086,Applications!$A$5:$A$600,0)),"Application ID not found"))</f>
        <v>Dublin Family Center</v>
      </c>
      <c r="D1086" s="35" t="s">
        <v>88</v>
      </c>
      <c r="E1086" s="35" t="s">
        <v>86</v>
      </c>
      <c r="F1086" s="36" t="n">
        <v>45954</v>
      </c>
      <c r="G1086" s="35" t="n">
        <v>3</v>
      </c>
      <c r="H1086" s="35" t="n">
        <v>2</v>
      </c>
      <c r="I1086" s="35" t="n">
        <v>3</v>
      </c>
      <c r="J1086" s="35" t="n">
        <v>3</v>
      </c>
      <c r="K1086" s="35" t="n">
        <v>3</v>
      </c>
      <c r="L1086" s="35" t="n">
        <v>2</v>
      </c>
      <c r="M1086" s="50" t="n">
        <f aca="false">IF(COUNT(G1086:L1086)&lt;6,"",ROUND((G1086*Rubric!$D$5+H1086*Rubric!$D$6+I1086*Rubric!$D$7+J1086*Rubric!$D$8+K1086*Rubric!$D$9+L1086*Rubric!$D$10)/5*100,1))</f>
        <v>54</v>
      </c>
      <c r="N1086" s="37" t="str">
        <f aca="false">IF(OR(B1086="",D1086=""),"",IFERROR(IF(IF(E1086="Primary",INDEX(Applications!$I$5:$I$600,MATCH(B1086,Applications!$A$5:$A$600,0)),IF(E1086="Secondary",INDEX(Applications!$J$5:$J$600,MATCH(B1086,Applications!$A$5:$A$600,0)),INDEX(Applications!$K$5:$K$600,MATCH(B1086,Applications!$A$5:$A$600,0))))=D1086,"OK","Not assigned"),"Check ID"))</f>
        <v>OK</v>
      </c>
      <c r="O1086" s="7"/>
    </row>
    <row r="1087" customFormat="false" ht="15" hidden="false" customHeight="false" outlineLevel="0" collapsed="false">
      <c r="A1087" s="35" t="s">
        <v>2484</v>
      </c>
      <c r="B1087" s="35" t="s">
        <v>845</v>
      </c>
      <c r="C1087" s="37" t="str">
        <f aca="false">IF(B1087="","",IFERROR(INDEX(Applications!$B$5:$B$600,MATCH(B1087,Applications!$A$5:$A$600,0)),"Application ID not found"))</f>
        <v>Canal Street Food Ventures</v>
      </c>
      <c r="D1087" s="35" t="s">
        <v>88</v>
      </c>
      <c r="E1087" s="35" t="s">
        <v>86</v>
      </c>
      <c r="F1087" s="36" t="n">
        <v>45954</v>
      </c>
      <c r="G1087" s="35" t="n">
        <v>3</v>
      </c>
      <c r="H1087" s="35" t="n">
        <v>4</v>
      </c>
      <c r="I1087" s="35" t="n">
        <v>4</v>
      </c>
      <c r="J1087" s="35" t="n">
        <v>3</v>
      </c>
      <c r="K1087" s="35" t="n">
        <v>3</v>
      </c>
      <c r="L1087" s="35" t="n">
        <v>3</v>
      </c>
      <c r="M1087" s="50" t="n">
        <f aca="false">IF(COUNT(G1087:L1087)&lt;6,"",ROUND((G1087*Rubric!$D$5+H1087*Rubric!$D$6+I1087*Rubric!$D$7+J1087*Rubric!$D$8+K1087*Rubric!$D$9+L1087*Rubric!$D$10)/5*100,1))</f>
        <v>68</v>
      </c>
      <c r="N1087" s="37" t="str">
        <f aca="false">IF(OR(B1087="",D1087=""),"",IFERROR(IF(IF(E1087="Primary",INDEX(Applications!$I$5:$I$600,MATCH(B1087,Applications!$A$5:$A$600,0)),IF(E1087="Secondary",INDEX(Applications!$J$5:$J$600,MATCH(B1087,Applications!$A$5:$A$600,0)),INDEX(Applications!$K$5:$K$600,MATCH(B1087,Applications!$A$5:$A$600,0))))=D1087,"OK","Not assigned"),"Check ID"))</f>
        <v>OK</v>
      </c>
      <c r="O1087" s="7"/>
    </row>
    <row r="1088" customFormat="false" ht="15" hidden="false" customHeight="false" outlineLevel="0" collapsed="false">
      <c r="A1088" s="35" t="s">
        <v>2485</v>
      </c>
      <c r="B1088" s="35" t="s">
        <v>1201</v>
      </c>
      <c r="C1088" s="37" t="str">
        <f aca="false">IF(B1088="","",IFERROR(INDEX(Applications!$B$5:$B$600,MATCH(B1088,Applications!$A$5:$A$600,0)),"Application ID not found"))</f>
        <v>Bluestem Cafe Training Program</v>
      </c>
      <c r="D1088" s="35" t="s">
        <v>91</v>
      </c>
      <c r="E1088" s="35" t="s">
        <v>80</v>
      </c>
      <c r="F1088" s="36" t="n">
        <v>45954</v>
      </c>
      <c r="G1088" s="35" t="n">
        <v>3</v>
      </c>
      <c r="H1088" s="35" t="n">
        <v>3</v>
      </c>
      <c r="I1088" s="35" t="n">
        <v>3</v>
      </c>
      <c r="J1088" s="35" t="n">
        <v>3</v>
      </c>
      <c r="K1088" s="35" t="n">
        <v>4</v>
      </c>
      <c r="L1088" s="35" t="n">
        <v>4</v>
      </c>
      <c r="M1088" s="50" t="n">
        <f aca="false">IF(COUNT(G1088:L1088)&lt;6,"",ROUND((G1088*Rubric!$D$5+H1088*Rubric!$D$6+I1088*Rubric!$D$7+J1088*Rubric!$D$8+K1088*Rubric!$D$9+L1088*Rubric!$D$10)/5*100,1))</f>
        <v>64</v>
      </c>
      <c r="N1088" s="37" t="str">
        <f aca="false">IF(OR(B1088="",D1088=""),"",IFERROR(IF(IF(E1088="Primary",INDEX(Applications!$I$5:$I$600,MATCH(B1088,Applications!$A$5:$A$600,0)),IF(E1088="Secondary",INDEX(Applications!$J$5:$J$600,MATCH(B1088,Applications!$A$5:$A$600,0)),INDEX(Applications!$K$5:$K$600,MATCH(B1088,Applications!$A$5:$A$600,0))))=D1088,"OK","Not assigned"),"Check ID"))</f>
        <v>OK</v>
      </c>
      <c r="O1088" s="7"/>
    </row>
    <row r="1089" customFormat="false" ht="15" hidden="false" customHeight="false" outlineLevel="0" collapsed="false">
      <c r="A1089" s="35" t="s">
        <v>2486</v>
      </c>
      <c r="B1089" s="35" t="s">
        <v>500</v>
      </c>
      <c r="C1089" s="37" t="str">
        <f aca="false">IF(B1089="","",IFERROR(INDEX(Applications!$B$5:$B$600,MATCH(B1089,Applications!$A$5:$A$600,0)),"Application ID not found"))</f>
        <v>Thistle Meals Project</v>
      </c>
      <c r="D1089" s="35" t="s">
        <v>91</v>
      </c>
      <c r="E1089" s="35" t="s">
        <v>83</v>
      </c>
      <c r="F1089" s="36" t="n">
        <v>45954</v>
      </c>
      <c r="G1089" s="35" t="n">
        <v>3</v>
      </c>
      <c r="H1089" s="35" t="n">
        <v>4</v>
      </c>
      <c r="I1089" s="35" t="n">
        <v>4</v>
      </c>
      <c r="J1089" s="35" t="n">
        <v>4</v>
      </c>
      <c r="K1089" s="35" t="n">
        <v>4</v>
      </c>
      <c r="L1089" s="35" t="n">
        <v>4</v>
      </c>
      <c r="M1089" s="50" t="n">
        <f aca="false">IF(COUNT(G1089:L1089)&lt;6,"",ROUND((G1089*Rubric!$D$5+H1089*Rubric!$D$6+I1089*Rubric!$D$7+J1089*Rubric!$D$8+K1089*Rubric!$D$9+L1089*Rubric!$D$10)/5*100,1))</f>
        <v>75</v>
      </c>
      <c r="N1089" s="37" t="str">
        <f aca="false">IF(OR(B1089="",D1089=""),"",IFERROR(IF(IF(E1089="Primary",INDEX(Applications!$I$5:$I$600,MATCH(B1089,Applications!$A$5:$A$600,0)),IF(E1089="Secondary",INDEX(Applications!$J$5:$J$600,MATCH(B1089,Applications!$A$5:$A$600,0)),INDEX(Applications!$K$5:$K$600,MATCH(B1089,Applications!$A$5:$A$600,0))))=D1089,"OK","Not assigned"),"Check ID"))</f>
        <v>OK</v>
      </c>
      <c r="O1089" s="7" t="s">
        <v>1428</v>
      </c>
    </row>
    <row r="1090" customFormat="false" ht="15" hidden="false" customHeight="false" outlineLevel="0" collapsed="false">
      <c r="A1090" s="35" t="s">
        <v>2487</v>
      </c>
      <c r="B1090" s="35" t="s">
        <v>765</v>
      </c>
      <c r="C1090" s="37" t="str">
        <f aca="false">IF(B1090="","",IFERROR(INDEX(Applications!$B$5:$B$600,MATCH(B1090,Applications!$A$5:$A$600,0)),"Application ID not found"))</f>
        <v>Parkside Bakery Collective</v>
      </c>
      <c r="D1090" s="35" t="s">
        <v>91</v>
      </c>
      <c r="E1090" s="35" t="s">
        <v>80</v>
      </c>
      <c r="F1090" s="36" t="n">
        <v>45954</v>
      </c>
      <c r="G1090" s="35" t="n">
        <v>2</v>
      </c>
      <c r="H1090" s="35" t="n">
        <v>3</v>
      </c>
      <c r="I1090" s="35" t="n">
        <v>3</v>
      </c>
      <c r="J1090" s="35" t="n">
        <v>3</v>
      </c>
      <c r="K1090" s="35" t="n">
        <v>3</v>
      </c>
      <c r="L1090" s="35" t="n">
        <v>2</v>
      </c>
      <c r="M1090" s="50" t="n">
        <f aca="false">IF(COUNT(G1090:L1090)&lt;6,"",ROUND((G1090*Rubric!$D$5+H1090*Rubric!$D$6+I1090*Rubric!$D$7+J1090*Rubric!$D$8+K1090*Rubric!$D$9+L1090*Rubric!$D$10)/5*100,1))</f>
        <v>53</v>
      </c>
      <c r="N1090" s="37" t="str">
        <f aca="false">IF(OR(B1090="",D1090=""),"",IFERROR(IF(IF(E1090="Primary",INDEX(Applications!$I$5:$I$600,MATCH(B1090,Applications!$A$5:$A$600,0)),IF(E1090="Secondary",INDEX(Applications!$J$5:$J$600,MATCH(B1090,Applications!$A$5:$A$600,0)),INDEX(Applications!$K$5:$K$600,MATCH(B1090,Applications!$A$5:$A$600,0))))=D1090,"OK","Not assigned"),"Check ID"))</f>
        <v>OK</v>
      </c>
      <c r="O1090" s="7"/>
    </row>
    <row r="1091" customFormat="false" ht="15" hidden="false" customHeight="false" outlineLevel="0" collapsed="false">
      <c r="A1091" s="35" t="s">
        <v>2488</v>
      </c>
      <c r="B1091" s="35" t="s">
        <v>474</v>
      </c>
      <c r="C1091" s="37" t="str">
        <f aca="false">IF(B1091="","",IFERROR(INDEX(Applications!$B$5:$B$600,MATCH(B1091,Applications!$A$5:$A$600,0)),"Application ID not found"))</f>
        <v>Union Square Pantry Network</v>
      </c>
      <c r="D1091" s="35" t="s">
        <v>91</v>
      </c>
      <c r="E1091" s="35" t="s">
        <v>83</v>
      </c>
      <c r="F1091" s="36" t="n">
        <v>45954</v>
      </c>
      <c r="G1091" s="35" t="n">
        <v>3</v>
      </c>
      <c r="H1091" s="35" t="n">
        <v>3</v>
      </c>
      <c r="I1091" s="35" t="n">
        <v>3</v>
      </c>
      <c r="J1091" s="35" t="n">
        <v>3</v>
      </c>
      <c r="K1091" s="35" t="n">
        <v>4</v>
      </c>
      <c r="L1091" s="35" t="n">
        <v>4</v>
      </c>
      <c r="M1091" s="50" t="n">
        <f aca="false">IF(COUNT(G1091:L1091)&lt;6,"",ROUND((G1091*Rubric!$D$5+H1091*Rubric!$D$6+I1091*Rubric!$D$7+J1091*Rubric!$D$8+K1091*Rubric!$D$9+L1091*Rubric!$D$10)/5*100,1))</f>
        <v>64</v>
      </c>
      <c r="N1091" s="37" t="str">
        <f aca="false">IF(OR(B1091="",D1091=""),"",IFERROR(IF(IF(E1091="Primary",INDEX(Applications!$I$5:$I$600,MATCH(B1091,Applications!$A$5:$A$600,0)),IF(E1091="Secondary",INDEX(Applications!$J$5:$J$600,MATCH(B1091,Applications!$A$5:$A$600,0)),INDEX(Applications!$K$5:$K$600,MATCH(B1091,Applications!$A$5:$A$600,0))))=D1091,"OK","Not assigned"),"Check ID"))</f>
        <v>OK</v>
      </c>
      <c r="O1091" s="7"/>
    </row>
    <row r="1092" customFormat="false" ht="15" hidden="false" customHeight="false" outlineLevel="0" collapsed="false">
      <c r="A1092" s="35" t="s">
        <v>2489</v>
      </c>
      <c r="B1092" s="35" t="s">
        <v>270</v>
      </c>
      <c r="C1092" s="37" t="str">
        <f aca="false">IF(B1092="","",IFERROR(INDEX(Applications!$B$5:$B$600,MATCH(B1092,Applications!$A$5:$A$600,0)),"Application ID not found"))</f>
        <v>Marigold Family Center</v>
      </c>
      <c r="D1092" s="35" t="s">
        <v>91</v>
      </c>
      <c r="E1092" s="35" t="s">
        <v>80</v>
      </c>
      <c r="F1092" s="36" t="n">
        <v>45954</v>
      </c>
      <c r="G1092" s="35" t="n">
        <v>4</v>
      </c>
      <c r="H1092" s="35" t="n">
        <v>3</v>
      </c>
      <c r="I1092" s="35" t="n">
        <v>3</v>
      </c>
      <c r="J1092" s="35" t="n">
        <v>4</v>
      </c>
      <c r="K1092" s="35" t="n">
        <v>3</v>
      </c>
      <c r="L1092" s="35" t="n">
        <v>3</v>
      </c>
      <c r="M1092" s="50" t="n">
        <f aca="false">IF(COUNT(G1092:L1092)&lt;6,"",ROUND((G1092*Rubric!$D$5+H1092*Rubric!$D$6+I1092*Rubric!$D$7+J1092*Rubric!$D$8+K1092*Rubric!$D$9+L1092*Rubric!$D$10)/5*100,1))</f>
        <v>68</v>
      </c>
      <c r="N1092" s="37" t="str">
        <f aca="false">IF(OR(B1092="",D1092=""),"",IFERROR(IF(IF(E1092="Primary",INDEX(Applications!$I$5:$I$600,MATCH(B1092,Applications!$A$5:$A$600,0)),IF(E1092="Secondary",INDEX(Applications!$J$5:$J$600,MATCH(B1092,Applications!$A$5:$A$600,0)),INDEX(Applications!$K$5:$K$600,MATCH(B1092,Applications!$A$5:$A$600,0))))=D1092,"OK","Not assigned"),"Check ID"))</f>
        <v>OK</v>
      </c>
      <c r="O1092" s="7"/>
    </row>
    <row r="1093" customFormat="false" ht="15" hidden="false" customHeight="false" outlineLevel="0" collapsed="false">
      <c r="A1093" s="35" t="s">
        <v>2490</v>
      </c>
      <c r="B1093" s="35" t="s">
        <v>406</v>
      </c>
      <c r="C1093" s="37" t="str">
        <f aca="false">IF(B1093="","",IFERROR(INDEX(Applications!$B$5:$B$600,MATCH(B1093,Applications!$A$5:$A$600,0)),"Application ID not found"))</f>
        <v>Dayton Community Kitchen</v>
      </c>
      <c r="D1093" s="35" t="s">
        <v>91</v>
      </c>
      <c r="E1093" s="35" t="s">
        <v>80</v>
      </c>
      <c r="F1093" s="36" t="n">
        <v>45954</v>
      </c>
      <c r="G1093" s="35" t="n">
        <v>4</v>
      </c>
      <c r="H1093" s="35" t="n">
        <v>4</v>
      </c>
      <c r="I1093" s="35" t="n">
        <v>4</v>
      </c>
      <c r="J1093" s="35" t="n">
        <v>4</v>
      </c>
      <c r="K1093" s="35" t="n">
        <v>3</v>
      </c>
      <c r="L1093" s="35" t="n">
        <v>4</v>
      </c>
      <c r="M1093" s="50" t="n">
        <f aca="false">IF(COUNT(G1093:L1093)&lt;6,"",ROUND((G1093*Rubric!$D$5+H1093*Rubric!$D$6+I1093*Rubric!$D$7+J1093*Rubric!$D$8+K1093*Rubric!$D$9+L1093*Rubric!$D$10)/5*100,1))</f>
        <v>78</v>
      </c>
      <c r="N1093" s="37" t="str">
        <f aca="false">IF(OR(B1093="",D1093=""),"",IFERROR(IF(IF(E1093="Primary",INDEX(Applications!$I$5:$I$600,MATCH(B1093,Applications!$A$5:$A$600,0)),IF(E1093="Secondary",INDEX(Applications!$J$5:$J$600,MATCH(B1093,Applications!$A$5:$A$600,0)),INDEX(Applications!$K$5:$K$600,MATCH(B1093,Applications!$A$5:$A$600,0))))=D1093,"OK","Not assigned"),"Check ID"))</f>
        <v>OK</v>
      </c>
      <c r="O1093" s="7" t="s">
        <v>1426</v>
      </c>
    </row>
    <row r="1094" customFormat="false" ht="15" hidden="false" customHeight="false" outlineLevel="0" collapsed="false">
      <c r="A1094" s="35" t="s">
        <v>2491</v>
      </c>
      <c r="B1094" s="35" t="s">
        <v>1109</v>
      </c>
      <c r="C1094" s="37" t="str">
        <f aca="false">IF(B1094="","",IFERROR(INDEX(Applications!$B$5:$B$600,MATCH(B1094,Applications!$A$5:$A$600,0)),"Application ID not found"))</f>
        <v>Peoria Mobile Market</v>
      </c>
      <c r="D1094" s="35" t="s">
        <v>91</v>
      </c>
      <c r="E1094" s="35" t="s">
        <v>80</v>
      </c>
      <c r="F1094" s="36" t="n">
        <v>45954</v>
      </c>
      <c r="G1094" s="35" t="n">
        <v>4</v>
      </c>
      <c r="H1094" s="35" t="n">
        <v>4</v>
      </c>
      <c r="I1094" s="35" t="n">
        <v>3</v>
      </c>
      <c r="J1094" s="35" t="n">
        <v>4</v>
      </c>
      <c r="K1094" s="35" t="n">
        <v>4</v>
      </c>
      <c r="L1094" s="35" t="n">
        <v>3</v>
      </c>
      <c r="M1094" s="50" t="n">
        <f aca="false">IF(COUNT(G1094:L1094)&lt;6,"",ROUND((G1094*Rubric!$D$5+H1094*Rubric!$D$6+I1094*Rubric!$D$7+J1094*Rubric!$D$8+K1094*Rubric!$D$9+L1094*Rubric!$D$10)/5*100,1))</f>
        <v>74</v>
      </c>
      <c r="N1094" s="37" t="str">
        <f aca="false">IF(OR(B1094="",D1094=""),"",IFERROR(IF(IF(E1094="Primary",INDEX(Applications!$I$5:$I$600,MATCH(B1094,Applications!$A$5:$A$600,0)),IF(E1094="Secondary",INDEX(Applications!$J$5:$J$600,MATCH(B1094,Applications!$A$5:$A$600,0)),INDEX(Applications!$K$5:$K$600,MATCH(B1094,Applications!$A$5:$A$600,0))))=D1094,"OK","Not assigned"),"Check ID"))</f>
        <v>OK</v>
      </c>
      <c r="O1094" s="7"/>
    </row>
    <row r="1095" customFormat="false" ht="15" hidden="false" customHeight="false" outlineLevel="0" collapsed="false">
      <c r="A1095" s="35" t="s">
        <v>2492</v>
      </c>
      <c r="B1095" s="35" t="s">
        <v>1265</v>
      </c>
      <c r="C1095" s="37" t="str">
        <f aca="false">IF(B1095="","",IFERROR(INDEX(Applications!$B$5:$B$600,MATCH(B1095,Applications!$A$5:$A$600,0)),"Application ID not found"))</f>
        <v>Milwaukee Community Kitchen</v>
      </c>
      <c r="D1095" s="35" t="s">
        <v>94</v>
      </c>
      <c r="E1095" s="35" t="s">
        <v>83</v>
      </c>
      <c r="F1095" s="36" t="n">
        <v>45954</v>
      </c>
      <c r="G1095" s="35" t="n">
        <v>2</v>
      </c>
      <c r="H1095" s="35" t="n">
        <v>3</v>
      </c>
      <c r="I1095" s="35" t="n">
        <v>3</v>
      </c>
      <c r="J1095" s="35" t="n">
        <v>3</v>
      </c>
      <c r="K1095" s="35" t="n">
        <v>3</v>
      </c>
      <c r="L1095" s="35" t="n">
        <v>3</v>
      </c>
      <c r="M1095" s="50" t="n">
        <f aca="false">IF(COUNT(G1095:L1095)&lt;6,"",ROUND((G1095*Rubric!$D$5+H1095*Rubric!$D$6+I1095*Rubric!$D$7+J1095*Rubric!$D$8+K1095*Rubric!$D$9+L1095*Rubric!$D$10)/5*100,1))</f>
        <v>55</v>
      </c>
      <c r="N1095" s="37" t="str">
        <f aca="false">IF(OR(B1095="",D1095=""),"",IFERROR(IF(IF(E1095="Primary",INDEX(Applications!$I$5:$I$600,MATCH(B1095,Applications!$A$5:$A$600,0)),IF(E1095="Secondary",INDEX(Applications!$J$5:$J$600,MATCH(B1095,Applications!$A$5:$A$600,0)),INDEX(Applications!$K$5:$K$600,MATCH(B1095,Applications!$A$5:$A$600,0))))=D1095,"OK","Not assigned"),"Check ID"))</f>
        <v>OK</v>
      </c>
      <c r="O1095" s="7"/>
    </row>
    <row r="1096" customFormat="false" ht="15" hidden="false" customHeight="false" outlineLevel="0" collapsed="false">
      <c r="A1096" s="35" t="s">
        <v>2493</v>
      </c>
      <c r="B1096" s="35" t="s">
        <v>665</v>
      </c>
      <c r="C1096" s="37" t="str">
        <f aca="false">IF(B1096="","",IFERROR(INDEX(Applications!$B$5:$B$600,MATCH(B1096,Applications!$A$5:$A$600,0)),"Application ID not found"))</f>
        <v>Kestrel Pantry Network</v>
      </c>
      <c r="D1096" s="35" t="s">
        <v>94</v>
      </c>
      <c r="E1096" s="35" t="s">
        <v>80</v>
      </c>
      <c r="F1096" s="36" t="n">
        <v>45954</v>
      </c>
      <c r="G1096" s="35" t="n">
        <v>4</v>
      </c>
      <c r="H1096" s="35" t="n">
        <v>4</v>
      </c>
      <c r="I1096" s="35" t="n">
        <v>4</v>
      </c>
      <c r="J1096" s="35" t="n">
        <v>4</v>
      </c>
      <c r="K1096" s="35" t="n">
        <v>4</v>
      </c>
      <c r="L1096" s="35" t="n">
        <v>4</v>
      </c>
      <c r="M1096" s="50" t="n">
        <f aca="false">IF(COUNT(G1096:L1096)&lt;6,"",ROUND((G1096*Rubric!$D$5+H1096*Rubric!$D$6+I1096*Rubric!$D$7+J1096*Rubric!$D$8+K1096*Rubric!$D$9+L1096*Rubric!$D$10)/5*100,1))</f>
        <v>80</v>
      </c>
      <c r="N1096" s="37" t="str">
        <f aca="false">IF(OR(B1096="",D1096=""),"",IFERROR(IF(IF(E1096="Primary",INDEX(Applications!$I$5:$I$600,MATCH(B1096,Applications!$A$5:$A$600,0)),IF(E1096="Secondary",INDEX(Applications!$J$5:$J$600,MATCH(B1096,Applications!$A$5:$A$600,0)),INDEX(Applications!$K$5:$K$600,MATCH(B1096,Applications!$A$5:$A$600,0))))=D1096,"OK","Not assigned"),"Check ID"))</f>
        <v>OK</v>
      </c>
      <c r="O1096" s="7"/>
    </row>
    <row r="1097" customFormat="false" ht="15" hidden="false" customHeight="false" outlineLevel="0" collapsed="false">
      <c r="A1097" s="35" t="s">
        <v>2494</v>
      </c>
      <c r="B1097" s="35" t="s">
        <v>468</v>
      </c>
      <c r="C1097" s="37" t="str">
        <f aca="false">IF(B1097="","",IFERROR(INDEX(Applications!$B$5:$B$600,MATCH(B1097,Applications!$A$5:$A$600,0)),"Application ID not found"))</f>
        <v>Toronto Schools Nutrition Fund</v>
      </c>
      <c r="D1097" s="35" t="s">
        <v>94</v>
      </c>
      <c r="E1097" s="35" t="s">
        <v>83</v>
      </c>
      <c r="F1097" s="36" t="n">
        <v>45954</v>
      </c>
      <c r="G1097" s="35" t="n">
        <v>3</v>
      </c>
      <c r="H1097" s="35" t="n">
        <v>4</v>
      </c>
      <c r="I1097" s="35" t="n">
        <v>4</v>
      </c>
      <c r="J1097" s="35" t="n">
        <v>3</v>
      </c>
      <c r="K1097" s="35" t="n">
        <v>3</v>
      </c>
      <c r="L1097" s="35" t="n">
        <v>3</v>
      </c>
      <c r="M1097" s="50" t="n">
        <f aca="false">IF(COUNT(G1097:L1097)&lt;6,"",ROUND((G1097*Rubric!$D$5+H1097*Rubric!$D$6+I1097*Rubric!$D$7+J1097*Rubric!$D$8+K1097*Rubric!$D$9+L1097*Rubric!$D$10)/5*100,1))</f>
        <v>68</v>
      </c>
      <c r="N1097" s="37" t="str">
        <f aca="false">IF(OR(B1097="",D1097=""),"",IFERROR(IF(IF(E1097="Primary",INDEX(Applications!$I$5:$I$600,MATCH(B1097,Applications!$A$5:$A$600,0)),IF(E1097="Secondary",INDEX(Applications!$J$5:$J$600,MATCH(B1097,Applications!$A$5:$A$600,0)),INDEX(Applications!$K$5:$K$600,MATCH(B1097,Applications!$A$5:$A$600,0))))=D1097,"OK","Not assigned"),"Check ID"))</f>
        <v>OK</v>
      </c>
      <c r="O1097" s="7"/>
    </row>
    <row r="1098" customFormat="false" ht="15" hidden="false" customHeight="false" outlineLevel="0" collapsed="false">
      <c r="A1098" s="35" t="s">
        <v>2495</v>
      </c>
      <c r="B1098" s="35" t="s">
        <v>448</v>
      </c>
      <c r="C1098" s="37" t="str">
        <f aca="false">IF(B1098="","",IFERROR(INDEX(Applications!$B$5:$B$600,MATCH(B1098,Applications!$A$5:$A$600,0)),"Application ID not found"))</f>
        <v>Glasgow Community Pantry</v>
      </c>
      <c r="D1098" s="35" t="s">
        <v>94</v>
      </c>
      <c r="E1098" s="35" t="s">
        <v>83</v>
      </c>
      <c r="F1098" s="36" t="n">
        <v>45954</v>
      </c>
      <c r="G1098" s="35" t="n">
        <v>3</v>
      </c>
      <c r="H1098" s="35" t="n">
        <v>3</v>
      </c>
      <c r="I1098" s="35" t="n">
        <v>3</v>
      </c>
      <c r="J1098" s="35" t="n">
        <v>4</v>
      </c>
      <c r="K1098" s="35" t="n">
        <v>4</v>
      </c>
      <c r="L1098" s="35" t="n">
        <v>4</v>
      </c>
      <c r="M1098" s="50" t="n">
        <f aca="false">IF(COUNT(G1098:L1098)&lt;6,"",ROUND((G1098*Rubric!$D$5+H1098*Rubric!$D$6+I1098*Rubric!$D$7+J1098*Rubric!$D$8+K1098*Rubric!$D$9+L1098*Rubric!$D$10)/5*100,1))</f>
        <v>67</v>
      </c>
      <c r="N1098" s="37" t="str">
        <f aca="false">IF(OR(B1098="",D1098=""),"",IFERROR(IF(IF(E1098="Primary",INDEX(Applications!$I$5:$I$600,MATCH(B1098,Applications!$A$5:$A$600,0)),IF(E1098="Secondary",INDEX(Applications!$J$5:$J$600,MATCH(B1098,Applications!$A$5:$A$600,0)),INDEX(Applications!$K$5:$K$600,MATCH(B1098,Applications!$A$5:$A$600,0))))=D1098,"OK","Not assigned"),"Check ID"))</f>
        <v>OK</v>
      </c>
      <c r="O1098" s="7"/>
    </row>
    <row r="1099" customFormat="false" ht="15" hidden="false" customHeight="false" outlineLevel="0" collapsed="false">
      <c r="A1099" s="35" t="s">
        <v>2496</v>
      </c>
      <c r="B1099" s="35" t="s">
        <v>456</v>
      </c>
      <c r="C1099" s="37" t="str">
        <f aca="false">IF(B1099="","",IFERROR(INDEX(Applications!$B$5:$B$600,MATCH(B1099,Applications!$A$5:$A$600,0)),"Application ID not found"))</f>
        <v>Bridgeview Food Shelf</v>
      </c>
      <c r="D1099" s="35" t="s">
        <v>94</v>
      </c>
      <c r="E1099" s="35" t="s">
        <v>83</v>
      </c>
      <c r="F1099" s="36" t="n">
        <v>45954</v>
      </c>
      <c r="G1099" s="35" t="n">
        <v>2</v>
      </c>
      <c r="H1099" s="35" t="n">
        <v>2</v>
      </c>
      <c r="I1099" s="35" t="n">
        <v>2</v>
      </c>
      <c r="J1099" s="35" t="n">
        <v>2</v>
      </c>
      <c r="K1099" s="35" t="n">
        <v>2</v>
      </c>
      <c r="L1099" s="35" t="n">
        <v>2</v>
      </c>
      <c r="M1099" s="50" t="n">
        <f aca="false">IF(COUNT(G1099:L1099)&lt;6,"",ROUND((G1099*Rubric!$D$5+H1099*Rubric!$D$6+I1099*Rubric!$D$7+J1099*Rubric!$D$8+K1099*Rubric!$D$9+L1099*Rubric!$D$10)/5*100,1))</f>
        <v>40</v>
      </c>
      <c r="N1099" s="37" t="str">
        <f aca="false">IF(OR(B1099="",D1099=""),"",IFERROR(IF(IF(E1099="Primary",INDEX(Applications!$I$5:$I$600,MATCH(B1099,Applications!$A$5:$A$600,0)),IF(E1099="Secondary",INDEX(Applications!$J$5:$J$600,MATCH(B1099,Applications!$A$5:$A$600,0)),INDEX(Applications!$K$5:$K$600,MATCH(B1099,Applications!$A$5:$A$600,0))))=D1099,"OK","Not assigned"),"Check ID"))</f>
        <v>OK</v>
      </c>
      <c r="O1099" s="7"/>
    </row>
    <row r="1100" customFormat="false" ht="15" hidden="false" customHeight="false" outlineLevel="0" collapsed="false">
      <c r="A1100" s="35" t="s">
        <v>2497</v>
      </c>
      <c r="B1100" s="35" t="s">
        <v>1013</v>
      </c>
      <c r="C1100" s="37" t="str">
        <f aca="false">IF(B1100="","",IFERROR(INDEX(Applications!$B$5:$B$600,MATCH(B1100,Applications!$A$5:$A$600,0)),"Application ID not found"))</f>
        <v>Open Door Kitchen Project</v>
      </c>
      <c r="D1100" s="35" t="s">
        <v>94</v>
      </c>
      <c r="E1100" s="35" t="s">
        <v>80</v>
      </c>
      <c r="F1100" s="36" t="n">
        <v>45954</v>
      </c>
      <c r="G1100" s="35" t="n">
        <v>3</v>
      </c>
      <c r="H1100" s="35" t="n">
        <v>3</v>
      </c>
      <c r="I1100" s="35" t="n">
        <v>3</v>
      </c>
      <c r="J1100" s="35" t="n">
        <v>4</v>
      </c>
      <c r="K1100" s="35" t="n">
        <v>4</v>
      </c>
      <c r="L1100" s="35" t="n">
        <v>4</v>
      </c>
      <c r="M1100" s="50" t="n">
        <f aca="false">IF(COUNT(G1100:L1100)&lt;6,"",ROUND((G1100*Rubric!$D$5+H1100*Rubric!$D$6+I1100*Rubric!$D$7+J1100*Rubric!$D$8+K1100*Rubric!$D$9+L1100*Rubric!$D$10)/5*100,1))</f>
        <v>67</v>
      </c>
      <c r="N1100" s="37" t="str">
        <f aca="false">IF(OR(B1100="",D1100=""),"",IFERROR(IF(IF(E1100="Primary",INDEX(Applications!$I$5:$I$600,MATCH(B1100,Applications!$A$5:$A$600,0)),IF(E1100="Secondary",INDEX(Applications!$J$5:$J$600,MATCH(B1100,Applications!$A$5:$A$600,0)),INDEX(Applications!$K$5:$K$600,MATCH(B1100,Applications!$A$5:$A$600,0))))=D1100,"OK","Not assigned"),"Check ID"))</f>
        <v>OK</v>
      </c>
      <c r="O1100" s="7"/>
    </row>
    <row r="1101" customFormat="false" ht="15" hidden="false" customHeight="false" outlineLevel="0" collapsed="false">
      <c r="A1101" s="35" t="s">
        <v>2498</v>
      </c>
      <c r="B1101" s="35" t="s">
        <v>1041</v>
      </c>
      <c r="C1101" s="37" t="str">
        <f aca="false">IF(B1101="","",IFERROR(INDEX(Applications!$B$5:$B$600,MATCH(B1101,Applications!$A$5:$A$600,0)),"Application ID not found"))</f>
        <v>Cologne Farm Collective</v>
      </c>
      <c r="D1101" s="35" t="s">
        <v>94</v>
      </c>
      <c r="E1101" s="35" t="s">
        <v>80</v>
      </c>
      <c r="F1101" s="36" t="n">
        <v>45954</v>
      </c>
      <c r="G1101" s="35" t="n">
        <v>2</v>
      </c>
      <c r="H1101" s="35" t="n">
        <v>3</v>
      </c>
      <c r="I1101" s="35" t="n">
        <v>3</v>
      </c>
      <c r="J1101" s="35" t="n">
        <v>2</v>
      </c>
      <c r="K1101" s="35" t="n">
        <v>3</v>
      </c>
      <c r="L1101" s="35" t="n">
        <v>1</v>
      </c>
      <c r="M1101" s="50" t="n">
        <f aca="false">IF(COUNT(G1101:L1101)&lt;6,"",ROUND((G1101*Rubric!$D$5+H1101*Rubric!$D$6+I1101*Rubric!$D$7+J1101*Rubric!$D$8+K1101*Rubric!$D$9+L1101*Rubric!$D$10)/5*100,1))</f>
        <v>48</v>
      </c>
      <c r="N1101" s="37" t="str">
        <f aca="false">IF(OR(B1101="",D1101=""),"",IFERROR(IF(IF(E1101="Primary",INDEX(Applications!$I$5:$I$600,MATCH(B1101,Applications!$A$5:$A$600,0)),IF(E1101="Secondary",INDEX(Applications!$J$5:$J$600,MATCH(B1101,Applications!$A$5:$A$600,0)),INDEX(Applications!$K$5:$K$600,MATCH(B1101,Applications!$A$5:$A$600,0))))=D1101,"OK","Not assigned"),"Check ID"))</f>
        <v>OK</v>
      </c>
      <c r="O1101" s="7"/>
    </row>
    <row r="1102" customFormat="false" ht="15" hidden="false" customHeight="false" outlineLevel="0" collapsed="false">
      <c r="A1102" s="35" t="s">
        <v>2499</v>
      </c>
      <c r="B1102" s="35" t="s">
        <v>691</v>
      </c>
      <c r="C1102" s="37" t="str">
        <f aca="false">IF(B1102="","",IFERROR(INDEX(Applications!$B$5:$B$600,MATCH(B1102,Applications!$A$5:$A$600,0)),"Application ID not found"))</f>
        <v>Linden Meals Project</v>
      </c>
      <c r="D1102" s="35" t="s">
        <v>94</v>
      </c>
      <c r="E1102" s="35" t="s">
        <v>83</v>
      </c>
      <c r="F1102" s="36" t="n">
        <v>45954</v>
      </c>
      <c r="G1102" s="35" t="n">
        <v>3</v>
      </c>
      <c r="H1102" s="35" t="n">
        <v>4</v>
      </c>
      <c r="I1102" s="35" t="n">
        <v>4</v>
      </c>
      <c r="J1102" s="35" t="n">
        <v>4</v>
      </c>
      <c r="K1102" s="35" t="n">
        <v>4</v>
      </c>
      <c r="L1102" s="35" t="n">
        <v>4</v>
      </c>
      <c r="M1102" s="50" t="n">
        <f aca="false">IF(COUNT(G1102:L1102)&lt;6,"",ROUND((G1102*Rubric!$D$5+H1102*Rubric!$D$6+I1102*Rubric!$D$7+J1102*Rubric!$D$8+K1102*Rubric!$D$9+L1102*Rubric!$D$10)/5*100,1))</f>
        <v>75</v>
      </c>
      <c r="N1102" s="37" t="str">
        <f aca="false">IF(OR(B1102="",D1102=""),"",IFERROR(IF(IF(E1102="Primary",INDEX(Applications!$I$5:$I$600,MATCH(B1102,Applications!$A$5:$A$600,0)),IF(E1102="Secondary",INDEX(Applications!$J$5:$J$600,MATCH(B1102,Applications!$A$5:$A$600,0)),INDEX(Applications!$K$5:$K$600,MATCH(B1102,Applications!$A$5:$A$600,0))))=D1102,"OK","Not assigned"),"Check ID"))</f>
        <v>OK</v>
      </c>
      <c r="O1102" s="7"/>
    </row>
    <row r="1103" customFormat="false" ht="15" hidden="false" customHeight="false" outlineLevel="0" collapsed="false">
      <c r="A1103" s="35" t="s">
        <v>2500</v>
      </c>
      <c r="B1103" s="35" t="s">
        <v>1235</v>
      </c>
      <c r="C1103" s="37" t="str">
        <f aca="false">IF(B1103="","",IFERROR(INDEX(Applications!$B$5:$B$600,MATCH(B1103,Applications!$A$5:$A$600,0)),"Application ID not found"))</f>
        <v>Lakeshore Cafe Training Program</v>
      </c>
      <c r="D1103" s="35" t="s">
        <v>94</v>
      </c>
      <c r="E1103" s="35" t="s">
        <v>80</v>
      </c>
      <c r="F1103" s="36" t="n">
        <v>45954</v>
      </c>
      <c r="G1103" s="35" t="n">
        <v>3</v>
      </c>
      <c r="H1103" s="35" t="n">
        <v>4</v>
      </c>
      <c r="I1103" s="35" t="n">
        <v>4</v>
      </c>
      <c r="J1103" s="35" t="n">
        <v>3</v>
      </c>
      <c r="K1103" s="35" t="n">
        <v>3</v>
      </c>
      <c r="L1103" s="35" t="n">
        <v>3</v>
      </c>
      <c r="M1103" s="50" t="n">
        <f aca="false">IF(COUNT(G1103:L1103)&lt;6,"",ROUND((G1103*Rubric!$D$5+H1103*Rubric!$D$6+I1103*Rubric!$D$7+J1103*Rubric!$D$8+K1103*Rubric!$D$9+L1103*Rubric!$D$10)/5*100,1))</f>
        <v>68</v>
      </c>
      <c r="N1103" s="37" t="str">
        <f aca="false">IF(OR(B1103="",D1103=""),"",IFERROR(IF(IF(E1103="Primary",INDEX(Applications!$I$5:$I$600,MATCH(B1103,Applications!$A$5:$A$600,0)),IF(E1103="Secondary",INDEX(Applications!$J$5:$J$600,MATCH(B1103,Applications!$A$5:$A$600,0)),INDEX(Applications!$K$5:$K$600,MATCH(B1103,Applications!$A$5:$A$600,0))))=D1103,"OK","Not assigned"),"Check ID"))</f>
        <v>OK</v>
      </c>
      <c r="O1103" s="7"/>
    </row>
    <row r="1104" customFormat="false" ht="15" hidden="false" customHeight="false" outlineLevel="0" collapsed="false">
      <c r="A1104" s="35" t="s">
        <v>2501</v>
      </c>
      <c r="B1104" s="35" t="s">
        <v>186</v>
      </c>
      <c r="C1104" s="37" t="str">
        <f aca="false">IF(B1104="","",IFERROR(INDEX(Applications!$B$5:$B$600,MATCH(B1104,Applications!$A$5:$A$600,0)),"Application ID not found"))</f>
        <v>Copper Hill Kitchen Project</v>
      </c>
      <c r="D1104" s="35" t="s">
        <v>94</v>
      </c>
      <c r="E1104" s="35" t="s">
        <v>83</v>
      </c>
      <c r="F1104" s="36" t="n">
        <v>45954</v>
      </c>
      <c r="G1104" s="35" t="n">
        <v>3</v>
      </c>
      <c r="H1104" s="35" t="n">
        <v>4</v>
      </c>
      <c r="I1104" s="35" t="n">
        <v>3</v>
      </c>
      <c r="J1104" s="35" t="n">
        <v>4</v>
      </c>
      <c r="K1104" s="35" t="n">
        <v>4</v>
      </c>
      <c r="L1104" s="35" t="n">
        <v>3</v>
      </c>
      <c r="M1104" s="50" t="n">
        <f aca="false">IF(COUNT(G1104:L1104)&lt;6,"",ROUND((G1104*Rubric!$D$5+H1104*Rubric!$D$6+I1104*Rubric!$D$7+J1104*Rubric!$D$8+K1104*Rubric!$D$9+L1104*Rubric!$D$10)/5*100,1))</f>
        <v>69</v>
      </c>
      <c r="N1104" s="37" t="str">
        <f aca="false">IF(OR(B1104="",D1104=""),"",IFERROR(IF(IF(E1104="Primary",INDEX(Applications!$I$5:$I$600,MATCH(B1104,Applications!$A$5:$A$600,0)),IF(E1104="Secondary",INDEX(Applications!$J$5:$J$600,MATCH(B1104,Applications!$A$5:$A$600,0)),INDEX(Applications!$K$5:$K$600,MATCH(B1104,Applications!$A$5:$A$600,0))))=D1104,"OK","Not assigned"),"Check ID"))</f>
        <v>OK</v>
      </c>
      <c r="O1104" s="7"/>
    </row>
    <row r="1105" customFormat="false" ht="15" hidden="false" customHeight="false" outlineLevel="0" collapsed="false">
      <c r="A1105" s="35" t="s">
        <v>2502</v>
      </c>
      <c r="B1105" s="35" t="s">
        <v>210</v>
      </c>
      <c r="C1105" s="37" t="str">
        <f aca="false">IF(B1105="","",IFERROR(INDEX(Applications!$B$5:$B$600,MATCH(B1105,Applications!$A$5:$A$600,0)),"Application ID not found"))</f>
        <v>Fresno Mobile Market</v>
      </c>
      <c r="D1105" s="35" t="s">
        <v>94</v>
      </c>
      <c r="E1105" s="35" t="s">
        <v>80</v>
      </c>
      <c r="F1105" s="36" t="n">
        <v>45954</v>
      </c>
      <c r="G1105" s="35" t="n">
        <v>3</v>
      </c>
      <c r="H1105" s="35" t="n">
        <v>3</v>
      </c>
      <c r="I1105" s="35" t="n">
        <v>3</v>
      </c>
      <c r="J1105" s="35" t="n">
        <v>3</v>
      </c>
      <c r="K1105" s="35" t="n">
        <v>3</v>
      </c>
      <c r="L1105" s="35" t="n">
        <v>3</v>
      </c>
      <c r="M1105" s="50" t="n">
        <f aca="false">IF(COUNT(G1105:L1105)&lt;6,"",ROUND((G1105*Rubric!$D$5+H1105*Rubric!$D$6+I1105*Rubric!$D$7+J1105*Rubric!$D$8+K1105*Rubric!$D$9+L1105*Rubric!$D$10)/5*100,1))</f>
        <v>60</v>
      </c>
      <c r="N1105" s="37" t="str">
        <f aca="false">IF(OR(B1105="",D1105=""),"",IFERROR(IF(IF(E1105="Primary",INDEX(Applications!$I$5:$I$600,MATCH(B1105,Applications!$A$5:$A$600,0)),IF(E1105="Secondary",INDEX(Applications!$J$5:$J$600,MATCH(B1105,Applications!$A$5:$A$600,0)),INDEX(Applications!$K$5:$K$600,MATCH(B1105,Applications!$A$5:$A$600,0))))=D1105,"OK","Not assigned"),"Check ID"))</f>
        <v>OK</v>
      </c>
      <c r="O1105" s="7" t="s">
        <v>1418</v>
      </c>
    </row>
    <row r="1106" customFormat="false" ht="15" hidden="false" customHeight="false" outlineLevel="0" collapsed="false">
      <c r="A1106" s="35" t="s">
        <v>2503</v>
      </c>
      <c r="B1106" s="35" t="s">
        <v>977</v>
      </c>
      <c r="C1106" s="37" t="str">
        <f aca="false">IF(B1106="","",IFERROR(INDEX(Applications!$B$5:$B$600,MATCH(B1106,Applications!$A$5:$A$600,0)),"Application ID not found"))</f>
        <v>Akron Food Shelf</v>
      </c>
      <c r="D1106" s="35" t="s">
        <v>94</v>
      </c>
      <c r="E1106" s="35" t="s">
        <v>80</v>
      </c>
      <c r="F1106" s="36" t="n">
        <v>45954</v>
      </c>
      <c r="G1106" s="35" t="n">
        <v>3</v>
      </c>
      <c r="H1106" s="35" t="n">
        <v>3</v>
      </c>
      <c r="I1106" s="35" t="n">
        <v>3</v>
      </c>
      <c r="J1106" s="35" t="n">
        <v>4</v>
      </c>
      <c r="K1106" s="35" t="n">
        <v>2</v>
      </c>
      <c r="L1106" s="35" t="n">
        <v>3</v>
      </c>
      <c r="M1106" s="50" t="n">
        <f aca="false">IF(COUNT(G1106:L1106)&lt;6,"",ROUND((G1106*Rubric!$D$5+H1106*Rubric!$D$6+I1106*Rubric!$D$7+J1106*Rubric!$D$8+K1106*Rubric!$D$9+L1106*Rubric!$D$10)/5*100,1))</f>
        <v>61</v>
      </c>
      <c r="N1106" s="37" t="str">
        <f aca="false">IF(OR(B1106="",D1106=""),"",IFERROR(IF(IF(E1106="Primary",INDEX(Applications!$I$5:$I$600,MATCH(B1106,Applications!$A$5:$A$600,0)),IF(E1106="Secondary",INDEX(Applications!$J$5:$J$600,MATCH(B1106,Applications!$A$5:$A$600,0)),INDEX(Applications!$K$5:$K$600,MATCH(B1106,Applications!$A$5:$A$600,0))))=D1106,"OK","Not assigned"),"Check ID"))</f>
        <v>OK</v>
      </c>
      <c r="O1106" s="7"/>
    </row>
    <row r="1107" customFormat="false" ht="15" hidden="false" customHeight="false" outlineLevel="0" collapsed="false">
      <c r="A1107" s="35" t="s">
        <v>2504</v>
      </c>
      <c r="B1107" s="35" t="s">
        <v>707</v>
      </c>
      <c r="C1107" s="37" t="str">
        <f aca="false">IF(B1107="","",IFERROR(INDEX(Applications!$B$5:$B$600,MATCH(B1107,Applications!$A$5:$A$600,0)),"Application ID not found"))</f>
        <v>Utrecht Meals Project</v>
      </c>
      <c r="D1107" s="35" t="s">
        <v>94</v>
      </c>
      <c r="E1107" s="35" t="s">
        <v>83</v>
      </c>
      <c r="F1107" s="36" t="n">
        <v>45954</v>
      </c>
      <c r="G1107" s="35" t="n">
        <v>4</v>
      </c>
      <c r="H1107" s="35" t="n">
        <v>4</v>
      </c>
      <c r="I1107" s="35" t="n">
        <v>4</v>
      </c>
      <c r="J1107" s="35" t="n">
        <v>3</v>
      </c>
      <c r="K1107" s="35" t="n">
        <v>4</v>
      </c>
      <c r="L1107" s="35" t="n">
        <v>3</v>
      </c>
      <c r="M1107" s="50" t="n">
        <f aca="false">IF(COUNT(G1107:L1107)&lt;6,"",ROUND((G1107*Rubric!$D$5+H1107*Rubric!$D$6+I1107*Rubric!$D$7+J1107*Rubric!$D$8+K1107*Rubric!$D$9+L1107*Rubric!$D$10)/5*100,1))</f>
        <v>75</v>
      </c>
      <c r="N1107" s="37" t="str">
        <f aca="false">IF(OR(B1107="",D1107=""),"",IFERROR(IF(IF(E1107="Primary",INDEX(Applications!$I$5:$I$600,MATCH(B1107,Applications!$A$5:$A$600,0)),IF(E1107="Secondary",INDEX(Applications!$J$5:$J$600,MATCH(B1107,Applications!$A$5:$A$600,0)),INDEX(Applications!$K$5:$K$600,MATCH(B1107,Applications!$A$5:$A$600,0))))=D1107,"OK","Not assigned"),"Check ID"))</f>
        <v>OK</v>
      </c>
      <c r="O1107" s="7"/>
    </row>
    <row r="1108" customFormat="false" ht="15" hidden="false" customHeight="false" outlineLevel="0" collapsed="false">
      <c r="A1108" s="35" t="s">
        <v>2505</v>
      </c>
      <c r="B1108" s="35" t="s">
        <v>1261</v>
      </c>
      <c r="C1108" s="37" t="str">
        <f aca="false">IF(B1108="","",IFERROR(INDEX(Applications!$B$5:$B$600,MATCH(B1108,Applications!$A$5:$A$600,0)),"Application ID not found"))</f>
        <v>Valley Mobile Market</v>
      </c>
      <c r="D1108" s="35" t="s">
        <v>85</v>
      </c>
      <c r="E1108" s="35" t="s">
        <v>80</v>
      </c>
      <c r="F1108" s="36" t="n">
        <v>45954</v>
      </c>
      <c r="G1108" s="35" t="n">
        <v>3</v>
      </c>
      <c r="H1108" s="35" t="n">
        <v>3</v>
      </c>
      <c r="I1108" s="35" t="n">
        <v>3</v>
      </c>
      <c r="J1108" s="35" t="n">
        <v>3</v>
      </c>
      <c r="K1108" s="35" t="n">
        <v>4</v>
      </c>
      <c r="L1108" s="35" t="n">
        <v>3</v>
      </c>
      <c r="M1108" s="50" t="n">
        <f aca="false">IF(COUNT(G1108:L1108)&lt;6,"",ROUND((G1108*Rubric!$D$5+H1108*Rubric!$D$6+I1108*Rubric!$D$7+J1108*Rubric!$D$8+K1108*Rubric!$D$9+L1108*Rubric!$D$10)/5*100,1))</f>
        <v>62</v>
      </c>
      <c r="N1108" s="37" t="str">
        <f aca="false">IF(OR(B1108="",D1108=""),"",IFERROR(IF(IF(E1108="Primary",INDEX(Applications!$I$5:$I$600,MATCH(B1108,Applications!$A$5:$A$600,0)),IF(E1108="Secondary",INDEX(Applications!$J$5:$J$600,MATCH(B1108,Applications!$A$5:$A$600,0)),INDEX(Applications!$K$5:$K$600,MATCH(B1108,Applications!$A$5:$A$600,0))))=D1108,"OK","Not assigned"),"Check ID"))</f>
        <v>OK</v>
      </c>
      <c r="O1108" s="7"/>
    </row>
    <row r="1109" customFormat="false" ht="15" hidden="false" customHeight="false" outlineLevel="0" collapsed="false">
      <c r="A1109" s="35" t="s">
        <v>2506</v>
      </c>
      <c r="B1109" s="35" t="s">
        <v>178</v>
      </c>
      <c r="C1109" s="37" t="str">
        <f aca="false">IF(B1109="","",IFERROR(INDEX(Applications!$B$5:$B$600,MATCH(B1109,Applications!$A$5:$A$600,0)),"Application ID not found"))</f>
        <v>Bristol Family Center</v>
      </c>
      <c r="D1109" s="35" t="s">
        <v>85</v>
      </c>
      <c r="E1109" s="35" t="s">
        <v>83</v>
      </c>
      <c r="F1109" s="36" t="n">
        <v>45954</v>
      </c>
      <c r="G1109" s="35" t="n">
        <v>4</v>
      </c>
      <c r="H1109" s="35" t="n">
        <v>3</v>
      </c>
      <c r="I1109" s="35" t="n">
        <v>3</v>
      </c>
      <c r="J1109" s="35" t="n">
        <v>4</v>
      </c>
      <c r="K1109" s="35" t="n">
        <v>3</v>
      </c>
      <c r="L1109" s="35" t="n">
        <v>4</v>
      </c>
      <c r="M1109" s="50" t="n">
        <f aca="false">IF(COUNT(G1109:L1109)&lt;6,"",ROUND((G1109*Rubric!$D$5+H1109*Rubric!$D$6+I1109*Rubric!$D$7+J1109*Rubric!$D$8+K1109*Rubric!$D$9+L1109*Rubric!$D$10)/5*100,1))</f>
        <v>70</v>
      </c>
      <c r="N1109" s="37" t="str">
        <f aca="false">IF(OR(B1109="",D1109=""),"",IFERROR(IF(IF(E1109="Primary",INDEX(Applications!$I$5:$I$600,MATCH(B1109,Applications!$A$5:$A$600,0)),IF(E1109="Secondary",INDEX(Applications!$J$5:$J$600,MATCH(B1109,Applications!$A$5:$A$600,0)),INDEX(Applications!$K$5:$K$600,MATCH(B1109,Applications!$A$5:$A$600,0))))=D1109,"OK","Not assigned"),"Check ID"))</f>
        <v>OK</v>
      </c>
      <c r="O1109" s="7" t="s">
        <v>1418</v>
      </c>
    </row>
    <row r="1110" customFormat="false" ht="15" hidden="false" customHeight="false" outlineLevel="0" collapsed="false">
      <c r="A1110" s="35" t="s">
        <v>2507</v>
      </c>
      <c r="B1110" s="35" t="s">
        <v>384</v>
      </c>
      <c r="C1110" s="37" t="str">
        <f aca="false">IF(B1110="","",IFERROR(INDEX(Applications!$B$5:$B$600,MATCH(B1110,Applications!$A$5:$A$600,0)),"Application ID not found"))</f>
        <v>Jaipur Pantry Network</v>
      </c>
      <c r="D1110" s="35" t="s">
        <v>85</v>
      </c>
      <c r="E1110" s="35" t="s">
        <v>80</v>
      </c>
      <c r="F1110" s="36" t="n">
        <v>45954</v>
      </c>
      <c r="G1110" s="35" t="n">
        <v>4</v>
      </c>
      <c r="H1110" s="35" t="n">
        <v>4</v>
      </c>
      <c r="I1110" s="35" t="n">
        <v>4</v>
      </c>
      <c r="J1110" s="35" t="n">
        <v>3</v>
      </c>
      <c r="K1110" s="35" t="n">
        <v>4</v>
      </c>
      <c r="L1110" s="35" t="n">
        <v>3</v>
      </c>
      <c r="M1110" s="50" t="n">
        <f aca="false">IF(COUNT(G1110:L1110)&lt;6,"",ROUND((G1110*Rubric!$D$5+H1110*Rubric!$D$6+I1110*Rubric!$D$7+J1110*Rubric!$D$8+K1110*Rubric!$D$9+L1110*Rubric!$D$10)/5*100,1))</f>
        <v>75</v>
      </c>
      <c r="N1110" s="37" t="str">
        <f aca="false">IF(OR(B1110="",D1110=""),"",IFERROR(IF(IF(E1110="Primary",INDEX(Applications!$I$5:$I$600,MATCH(B1110,Applications!$A$5:$A$600,0)),IF(E1110="Secondary",INDEX(Applications!$J$5:$J$600,MATCH(B1110,Applications!$A$5:$A$600,0)),INDEX(Applications!$K$5:$K$600,MATCH(B1110,Applications!$A$5:$A$600,0))))=D1110,"OK","Not assigned"),"Check ID"))</f>
        <v>OK</v>
      </c>
      <c r="O1110" s="7"/>
    </row>
    <row r="1111" customFormat="false" ht="15" hidden="false" customHeight="false" outlineLevel="0" collapsed="false">
      <c r="A1111" s="35" t="s">
        <v>2508</v>
      </c>
      <c r="B1111" s="35" t="s">
        <v>905</v>
      </c>
      <c r="C1111" s="37" t="str">
        <f aca="false">IF(B1111="","",IFERROR(INDEX(Applications!$B$5:$B$600,MATCH(B1111,Applications!$A$5:$A$600,0)),"Application ID not found"))</f>
        <v>Sheffield Farm School</v>
      </c>
      <c r="D1111" s="35" t="s">
        <v>85</v>
      </c>
      <c r="E1111" s="35" t="s">
        <v>80</v>
      </c>
      <c r="F1111" s="36" t="n">
        <v>45954</v>
      </c>
      <c r="G1111" s="35" t="n">
        <v>4</v>
      </c>
      <c r="H1111" s="35" t="n">
        <v>5</v>
      </c>
      <c r="I1111" s="35" t="n">
        <v>5</v>
      </c>
      <c r="J1111" s="35" t="n">
        <v>5</v>
      </c>
      <c r="K1111" s="35" t="n">
        <v>4</v>
      </c>
      <c r="L1111" s="35" t="n">
        <v>5</v>
      </c>
      <c r="M1111" s="50" t="n">
        <f aca="false">IF(COUNT(G1111:L1111)&lt;6,"",ROUND((G1111*Rubric!$D$5+H1111*Rubric!$D$6+I1111*Rubric!$D$7+J1111*Rubric!$D$8+K1111*Rubric!$D$9+L1111*Rubric!$D$10)/5*100,1))</f>
        <v>93</v>
      </c>
      <c r="N1111" s="37" t="str">
        <f aca="false">IF(OR(B1111="",D1111=""),"",IFERROR(IF(IF(E1111="Primary",INDEX(Applications!$I$5:$I$600,MATCH(B1111,Applications!$A$5:$A$600,0)),IF(E1111="Secondary",INDEX(Applications!$J$5:$J$600,MATCH(B1111,Applications!$A$5:$A$600,0)),INDEX(Applications!$K$5:$K$600,MATCH(B1111,Applications!$A$5:$A$600,0))))=D1111,"OK","Not assigned"),"Check ID"))</f>
        <v>OK</v>
      </c>
      <c r="O1111" s="7"/>
    </row>
    <row r="1112" customFormat="false" ht="15" hidden="false" customHeight="false" outlineLevel="0" collapsed="false">
      <c r="A1112" s="35" t="s">
        <v>2509</v>
      </c>
      <c r="B1112" s="35" t="s">
        <v>749</v>
      </c>
      <c r="C1112" s="37" t="str">
        <f aca="false">IF(B1112="","",IFERROR(INDEX(Applications!$B$5:$B$600,MATCH(B1112,Applications!$A$5:$A$600,0)),"Application ID not found"))</f>
        <v>Willow Run Bakery Collective</v>
      </c>
      <c r="D1112" s="35" t="s">
        <v>85</v>
      </c>
      <c r="E1112" s="35" t="s">
        <v>83</v>
      </c>
      <c r="F1112" s="36" t="n">
        <v>45954</v>
      </c>
      <c r="G1112" s="35" t="n">
        <v>3</v>
      </c>
      <c r="H1112" s="35" t="n">
        <v>3</v>
      </c>
      <c r="I1112" s="35" t="n">
        <v>3</v>
      </c>
      <c r="J1112" s="35" t="n">
        <v>3</v>
      </c>
      <c r="K1112" s="35" t="n">
        <v>2</v>
      </c>
      <c r="L1112" s="35" t="n">
        <v>3</v>
      </c>
      <c r="M1112" s="50" t="n">
        <f aca="false">IF(COUNT(G1112:L1112)&lt;6,"",ROUND((G1112*Rubric!$D$5+H1112*Rubric!$D$6+I1112*Rubric!$D$7+J1112*Rubric!$D$8+K1112*Rubric!$D$9+L1112*Rubric!$D$10)/5*100,1))</f>
        <v>58</v>
      </c>
      <c r="N1112" s="37" t="str">
        <f aca="false">IF(OR(B1112="",D1112=""),"",IFERROR(IF(IF(E1112="Primary",INDEX(Applications!$I$5:$I$600,MATCH(B1112,Applications!$A$5:$A$600,0)),IF(E1112="Secondary",INDEX(Applications!$J$5:$J$600,MATCH(B1112,Applications!$A$5:$A$600,0)),INDEX(Applications!$K$5:$K$600,MATCH(B1112,Applications!$A$5:$A$600,0))))=D1112,"OK","Not assigned"),"Check ID"))</f>
        <v>OK</v>
      </c>
      <c r="O1112" s="7"/>
    </row>
    <row r="1113" customFormat="false" ht="15" hidden="false" customHeight="false" outlineLevel="0" collapsed="false">
      <c r="A1113" s="35" t="s">
        <v>2510</v>
      </c>
      <c r="B1113" s="35" t="s">
        <v>931</v>
      </c>
      <c r="C1113" s="37" t="str">
        <f aca="false">IF(B1113="","",IFERROR(INDEX(Applications!$B$5:$B$600,MATCH(B1113,Applications!$A$5:$A$600,0)),"Application ID not found"))</f>
        <v>Des Moines Bakery Collective</v>
      </c>
      <c r="D1113" s="35" t="s">
        <v>85</v>
      </c>
      <c r="E1113" s="35" t="s">
        <v>83</v>
      </c>
      <c r="F1113" s="36" t="n">
        <v>45954</v>
      </c>
      <c r="G1113" s="35" t="n">
        <v>4</v>
      </c>
      <c r="H1113" s="35" t="n">
        <v>4</v>
      </c>
      <c r="I1113" s="35" t="n">
        <v>4</v>
      </c>
      <c r="J1113" s="35" t="n">
        <v>3</v>
      </c>
      <c r="K1113" s="35" t="n">
        <v>3</v>
      </c>
      <c r="L1113" s="35" t="n">
        <v>4</v>
      </c>
      <c r="M1113" s="50" t="n">
        <f aca="false">IF(COUNT(G1113:L1113)&lt;6,"",ROUND((G1113*Rubric!$D$5+H1113*Rubric!$D$6+I1113*Rubric!$D$7+J1113*Rubric!$D$8+K1113*Rubric!$D$9+L1113*Rubric!$D$10)/5*100,1))</f>
        <v>75</v>
      </c>
      <c r="N1113" s="37" t="str">
        <f aca="false">IF(OR(B1113="",D1113=""),"",IFERROR(IF(IF(E1113="Primary",INDEX(Applications!$I$5:$I$600,MATCH(B1113,Applications!$A$5:$A$600,0)),IF(E1113="Secondary",INDEX(Applications!$J$5:$J$600,MATCH(B1113,Applications!$A$5:$A$600,0)),INDEX(Applications!$K$5:$K$600,MATCH(B1113,Applications!$A$5:$A$600,0))))=D1113,"OK","Not assigned"),"Check ID"))</f>
        <v>OK</v>
      </c>
      <c r="O1113" s="7"/>
    </row>
    <row r="1114" customFormat="false" ht="15" hidden="false" customHeight="false" outlineLevel="0" collapsed="false">
      <c r="A1114" s="35" t="s">
        <v>2511</v>
      </c>
      <c r="B1114" s="35" t="s">
        <v>1249</v>
      </c>
      <c r="C1114" s="37" t="str">
        <f aca="false">IF(B1114="","",IFERROR(INDEX(Applications!$B$5:$B$600,MATCH(B1114,Applications!$A$5:$A$600,0)),"Application ID not found"))</f>
        <v>Arequipa Community Pantry</v>
      </c>
      <c r="D1114" s="35" t="s">
        <v>85</v>
      </c>
      <c r="E1114" s="35" t="s">
        <v>80</v>
      </c>
      <c r="F1114" s="36" t="n">
        <v>45954</v>
      </c>
      <c r="G1114" s="35" t="n">
        <v>2</v>
      </c>
      <c r="H1114" s="35" t="n">
        <v>2</v>
      </c>
      <c r="I1114" s="35" t="n">
        <v>2</v>
      </c>
      <c r="J1114" s="35" t="n">
        <v>2</v>
      </c>
      <c r="K1114" s="35" t="n">
        <v>2</v>
      </c>
      <c r="L1114" s="35" t="n">
        <v>2</v>
      </c>
      <c r="M1114" s="50" t="n">
        <f aca="false">IF(COUNT(G1114:L1114)&lt;6,"",ROUND((G1114*Rubric!$D$5+H1114*Rubric!$D$6+I1114*Rubric!$D$7+J1114*Rubric!$D$8+K1114*Rubric!$D$9+L1114*Rubric!$D$10)/5*100,1))</f>
        <v>40</v>
      </c>
      <c r="N1114" s="37" t="str">
        <f aca="false">IF(OR(B1114="",D1114=""),"",IFERROR(IF(IF(E1114="Primary",INDEX(Applications!$I$5:$I$600,MATCH(B1114,Applications!$A$5:$A$600,0)),IF(E1114="Secondary",INDEX(Applications!$J$5:$J$600,MATCH(B1114,Applications!$A$5:$A$600,0)),INDEX(Applications!$K$5:$K$600,MATCH(B1114,Applications!$A$5:$A$600,0))))=D1114,"OK","Not assigned"),"Check ID"))</f>
        <v>OK</v>
      </c>
      <c r="O1114" s="7"/>
    </row>
    <row r="1115" customFormat="false" ht="15" hidden="false" customHeight="false" outlineLevel="0" collapsed="false">
      <c r="A1115" s="35" t="s">
        <v>2512</v>
      </c>
      <c r="B1115" s="35" t="s">
        <v>849</v>
      </c>
      <c r="C1115" s="37" t="str">
        <f aca="false">IF(B1115="","",IFERROR(INDEX(Applications!$B$5:$B$600,MATCH(B1115,Applications!$A$5:$A$600,0)),"Application ID not found"))</f>
        <v>Bridgeview Farm School</v>
      </c>
      <c r="D1115" s="35" t="s">
        <v>85</v>
      </c>
      <c r="E1115" s="35" t="s">
        <v>80</v>
      </c>
      <c r="F1115" s="36" t="n">
        <v>45954</v>
      </c>
      <c r="G1115" s="35" t="n">
        <v>3</v>
      </c>
      <c r="H1115" s="35" t="n">
        <v>3</v>
      </c>
      <c r="I1115" s="35" t="n">
        <v>3</v>
      </c>
      <c r="J1115" s="35" t="n">
        <v>3</v>
      </c>
      <c r="K1115" s="35" t="n">
        <v>3</v>
      </c>
      <c r="L1115" s="35" t="n">
        <v>3</v>
      </c>
      <c r="M1115" s="50" t="n">
        <f aca="false">IF(COUNT(G1115:L1115)&lt;6,"",ROUND((G1115*Rubric!$D$5+H1115*Rubric!$D$6+I1115*Rubric!$D$7+J1115*Rubric!$D$8+K1115*Rubric!$D$9+L1115*Rubric!$D$10)/5*100,1))</f>
        <v>60</v>
      </c>
      <c r="N1115" s="37" t="str">
        <f aca="false">IF(OR(B1115="",D1115=""),"",IFERROR(IF(IF(E1115="Primary",INDEX(Applications!$I$5:$I$600,MATCH(B1115,Applications!$A$5:$A$600,0)),IF(E1115="Secondary",INDEX(Applications!$J$5:$J$600,MATCH(B1115,Applications!$A$5:$A$600,0)),INDEX(Applications!$K$5:$K$600,MATCH(B1115,Applications!$A$5:$A$600,0))))=D1115,"OK","Not assigned"),"Check ID"))</f>
        <v>OK</v>
      </c>
      <c r="O1115" s="7" t="s">
        <v>1402</v>
      </c>
    </row>
    <row r="1116" customFormat="false" ht="15" hidden="false" customHeight="false" outlineLevel="0" collapsed="false">
      <c r="A1116" s="35" t="s">
        <v>2513</v>
      </c>
      <c r="B1116" s="35" t="s">
        <v>388</v>
      </c>
      <c r="C1116" s="37" t="str">
        <f aca="false">IF(B1116="","",IFERROR(INDEX(Applications!$B$5:$B$600,MATCH(B1116,Applications!$A$5:$A$600,0)),"Application ID not found"))</f>
        <v>Southfield Bakery Collective</v>
      </c>
      <c r="D1116" s="35" t="s">
        <v>85</v>
      </c>
      <c r="E1116" s="35" t="s">
        <v>80</v>
      </c>
      <c r="F1116" s="36" t="n">
        <v>45954</v>
      </c>
      <c r="G1116" s="35" t="n">
        <v>3</v>
      </c>
      <c r="H1116" s="35" t="n">
        <v>4</v>
      </c>
      <c r="I1116" s="35" t="n">
        <v>4</v>
      </c>
      <c r="J1116" s="35" t="n">
        <v>4</v>
      </c>
      <c r="K1116" s="35" t="n">
        <v>4</v>
      </c>
      <c r="L1116" s="35" t="n">
        <v>4</v>
      </c>
      <c r="M1116" s="50" t="n">
        <f aca="false">IF(COUNT(G1116:L1116)&lt;6,"",ROUND((G1116*Rubric!$D$5+H1116*Rubric!$D$6+I1116*Rubric!$D$7+J1116*Rubric!$D$8+K1116*Rubric!$D$9+L1116*Rubric!$D$10)/5*100,1))</f>
        <v>75</v>
      </c>
      <c r="N1116" s="37" t="str">
        <f aca="false">IF(OR(B1116="",D1116=""),"",IFERROR(IF(IF(E1116="Primary",INDEX(Applications!$I$5:$I$600,MATCH(B1116,Applications!$A$5:$A$600,0)),IF(E1116="Secondary",INDEX(Applications!$J$5:$J$600,MATCH(B1116,Applications!$A$5:$A$600,0)),INDEX(Applications!$K$5:$K$600,MATCH(B1116,Applications!$A$5:$A$600,0))))=D1116,"OK","Not assigned"),"Check ID"))</f>
        <v>OK</v>
      </c>
      <c r="O1116" s="7"/>
    </row>
    <row r="1117" customFormat="false" ht="15" hidden="false" customHeight="false" outlineLevel="0" collapsed="false">
      <c r="A1117" s="35" t="s">
        <v>2514</v>
      </c>
      <c r="B1117" s="35" t="s">
        <v>567</v>
      </c>
      <c r="C1117" s="37" t="str">
        <f aca="false">IF(B1117="","",IFERROR(INDEX(Applications!$B$5:$B$600,MATCH(B1117,Applications!$A$5:$A$600,0)),"Application ID not found"))</f>
        <v>Valley Farm Collective</v>
      </c>
      <c r="D1117" s="35" t="s">
        <v>85</v>
      </c>
      <c r="E1117" s="35" t="s">
        <v>83</v>
      </c>
      <c r="F1117" s="36" t="n">
        <v>45954</v>
      </c>
      <c r="G1117" s="35" t="n">
        <v>2</v>
      </c>
      <c r="H1117" s="35" t="n">
        <v>3</v>
      </c>
      <c r="I1117" s="35" t="n">
        <v>3</v>
      </c>
      <c r="J1117" s="35" t="n">
        <v>3</v>
      </c>
      <c r="K1117" s="35" t="n">
        <v>3</v>
      </c>
      <c r="L1117" s="35" t="n">
        <v>3</v>
      </c>
      <c r="M1117" s="50" t="n">
        <f aca="false">IF(COUNT(G1117:L1117)&lt;6,"",ROUND((G1117*Rubric!$D$5+H1117*Rubric!$D$6+I1117*Rubric!$D$7+J1117*Rubric!$D$8+K1117*Rubric!$D$9+L1117*Rubric!$D$10)/5*100,1))</f>
        <v>55</v>
      </c>
      <c r="N1117" s="37" t="str">
        <f aca="false">IF(OR(B1117="",D1117=""),"",IFERROR(IF(IF(E1117="Primary",INDEX(Applications!$I$5:$I$600,MATCH(B1117,Applications!$A$5:$A$600,0)),IF(E1117="Secondary",INDEX(Applications!$J$5:$J$600,MATCH(B1117,Applications!$A$5:$A$600,0)),INDEX(Applications!$K$5:$K$600,MATCH(B1117,Applications!$A$5:$A$600,0))))=D1117,"OK","Not assigned"),"Check ID"))</f>
        <v>OK</v>
      </c>
      <c r="O1117" s="7"/>
    </row>
    <row r="1118" customFormat="false" ht="15" hidden="false" customHeight="false" outlineLevel="0" collapsed="false">
      <c r="A1118" s="35" t="s">
        <v>2515</v>
      </c>
      <c r="B1118" s="35" t="s">
        <v>601</v>
      </c>
      <c r="C1118" s="37" t="str">
        <f aca="false">IF(B1118="","",IFERROR(INDEX(Applications!$B$5:$B$600,MATCH(B1118,Applications!$A$5:$A$600,0)),"Application ID not found"))</f>
        <v>Leeds Food Bank</v>
      </c>
      <c r="D1118" s="35" t="s">
        <v>85</v>
      </c>
      <c r="E1118" s="35" t="s">
        <v>83</v>
      </c>
      <c r="F1118" s="36" t="n">
        <v>45954</v>
      </c>
      <c r="G1118" s="35" t="n">
        <v>3</v>
      </c>
      <c r="H1118" s="35" t="n">
        <v>2</v>
      </c>
      <c r="I1118" s="35" t="n">
        <v>3</v>
      </c>
      <c r="J1118" s="35" t="n">
        <v>2</v>
      </c>
      <c r="K1118" s="35" t="n">
        <v>3</v>
      </c>
      <c r="L1118" s="35" t="n">
        <v>3</v>
      </c>
      <c r="M1118" s="50" t="n">
        <f aca="false">IF(COUNT(G1118:L1118)&lt;6,"",ROUND((G1118*Rubric!$D$5+H1118*Rubric!$D$6+I1118*Rubric!$D$7+J1118*Rubric!$D$8+K1118*Rubric!$D$9+L1118*Rubric!$D$10)/5*100,1))</f>
        <v>53</v>
      </c>
      <c r="N1118" s="37" t="str">
        <f aca="false">IF(OR(B1118="",D1118=""),"",IFERROR(IF(IF(E1118="Primary",INDEX(Applications!$I$5:$I$600,MATCH(B1118,Applications!$A$5:$A$600,0)),IF(E1118="Secondary",INDEX(Applications!$J$5:$J$600,MATCH(B1118,Applications!$A$5:$A$600,0)),INDEX(Applications!$K$5:$K$600,MATCH(B1118,Applications!$A$5:$A$600,0))))=D1118,"OK","Not assigned"),"Check ID"))</f>
        <v>OK</v>
      </c>
      <c r="O1118" s="7" t="s">
        <v>1592</v>
      </c>
    </row>
    <row r="1119" customFormat="false" ht="15" hidden="false" customHeight="false" outlineLevel="0" collapsed="false">
      <c r="A1119" s="35" t="s">
        <v>2516</v>
      </c>
      <c r="B1119" s="35" t="s">
        <v>261</v>
      </c>
      <c r="C1119" s="37" t="str">
        <f aca="false">IF(B1119="","",IFERROR(INDEX(Applications!$B$5:$B$600,MATCH(B1119,Applications!$A$5:$A$600,0)),"Application ID not found"))</f>
        <v>Willow Run Farm School</v>
      </c>
      <c r="D1119" s="35" t="s">
        <v>85</v>
      </c>
      <c r="E1119" s="35" t="s">
        <v>83</v>
      </c>
      <c r="F1119" s="36" t="n">
        <v>45954</v>
      </c>
      <c r="G1119" s="35" t="n">
        <v>3</v>
      </c>
      <c r="H1119" s="35" t="n">
        <v>2</v>
      </c>
      <c r="I1119" s="35" t="n">
        <v>2</v>
      </c>
      <c r="J1119" s="35" t="n">
        <v>2</v>
      </c>
      <c r="K1119" s="35" t="n">
        <v>2</v>
      </c>
      <c r="L1119" s="35" t="n">
        <v>2</v>
      </c>
      <c r="M1119" s="50" t="n">
        <f aca="false">IF(COUNT(G1119:L1119)&lt;6,"",ROUND((G1119*Rubric!$D$5+H1119*Rubric!$D$6+I1119*Rubric!$D$7+J1119*Rubric!$D$8+K1119*Rubric!$D$9+L1119*Rubric!$D$10)/5*100,1))</f>
        <v>45</v>
      </c>
      <c r="N1119" s="37" t="str">
        <f aca="false">IF(OR(B1119="",D1119=""),"",IFERROR(IF(IF(E1119="Primary",INDEX(Applications!$I$5:$I$600,MATCH(B1119,Applications!$A$5:$A$600,0)),IF(E1119="Secondary",INDEX(Applications!$J$5:$J$600,MATCH(B1119,Applications!$A$5:$A$600,0)),INDEX(Applications!$K$5:$K$600,MATCH(B1119,Applications!$A$5:$A$600,0))))=D1119,"OK","Not assigned"),"Check ID"))</f>
        <v>OK</v>
      </c>
      <c r="O1119" s="7"/>
    </row>
    <row r="1120" customFormat="false" ht="15" hidden="false" customHeight="false" outlineLevel="0" collapsed="false">
      <c r="A1120" s="35" t="s">
        <v>2517</v>
      </c>
      <c r="B1120" s="35" t="s">
        <v>1233</v>
      </c>
      <c r="C1120" s="37" t="str">
        <f aca="false">IF(B1120="","",IFERROR(INDEX(Applications!$B$5:$B$600,MATCH(B1120,Applications!$A$5:$A$600,0)),"Application ID not found"))</f>
        <v>Medellín Mobile Market</v>
      </c>
      <c r="D1120" s="35" t="s">
        <v>85</v>
      </c>
      <c r="E1120" s="35" t="s">
        <v>80</v>
      </c>
      <c r="F1120" s="36" t="n">
        <v>45954</v>
      </c>
      <c r="G1120" s="35" t="n">
        <v>4</v>
      </c>
      <c r="H1120" s="35" t="n">
        <v>4</v>
      </c>
      <c r="I1120" s="35" t="n">
        <v>4</v>
      </c>
      <c r="J1120" s="35" t="n">
        <v>4</v>
      </c>
      <c r="K1120" s="35" t="n">
        <v>4</v>
      </c>
      <c r="L1120" s="35" t="n">
        <v>4</v>
      </c>
      <c r="M1120" s="50" t="n">
        <f aca="false">IF(COUNT(G1120:L1120)&lt;6,"",ROUND((G1120*Rubric!$D$5+H1120*Rubric!$D$6+I1120*Rubric!$D$7+J1120*Rubric!$D$8+K1120*Rubric!$D$9+L1120*Rubric!$D$10)/5*100,1))</f>
        <v>80</v>
      </c>
      <c r="N1120" s="37" t="str">
        <f aca="false">IF(OR(B1120="",D1120=""),"",IFERROR(IF(IF(E1120="Primary",INDEX(Applications!$I$5:$I$600,MATCH(B1120,Applications!$A$5:$A$600,0)),IF(E1120="Secondary",INDEX(Applications!$J$5:$J$600,MATCH(B1120,Applications!$A$5:$A$600,0)),INDEX(Applications!$K$5:$K$600,MATCH(B1120,Applications!$A$5:$A$600,0))))=D1120,"OK","Not assigned"),"Check ID"))</f>
        <v>OK</v>
      </c>
      <c r="O1120" s="7"/>
    </row>
    <row r="1121" customFormat="false" ht="15" hidden="false" customHeight="false" outlineLevel="0" collapsed="false">
      <c r="A1121" s="35" t="s">
        <v>2518</v>
      </c>
      <c r="B1121" s="35" t="s">
        <v>687</v>
      </c>
      <c r="C1121" s="37" t="str">
        <f aca="false">IF(B1121="","",IFERROR(INDEX(Applications!$B$5:$B$600,MATCH(B1121,Applications!$A$5:$A$600,0)),"Application ID not found"))</f>
        <v>Denver Community Pantry</v>
      </c>
      <c r="D1121" s="35" t="s">
        <v>85</v>
      </c>
      <c r="E1121" s="35" t="s">
        <v>83</v>
      </c>
      <c r="F1121" s="36" t="n">
        <v>45954</v>
      </c>
      <c r="G1121" s="35" t="n">
        <v>4</v>
      </c>
      <c r="H1121" s="35" t="n">
        <v>4</v>
      </c>
      <c r="I1121" s="35" t="n">
        <v>3</v>
      </c>
      <c r="J1121" s="35" t="n">
        <v>4</v>
      </c>
      <c r="K1121" s="35" t="n">
        <v>3</v>
      </c>
      <c r="L1121" s="35" t="n">
        <v>3</v>
      </c>
      <c r="M1121" s="50" t="n">
        <f aca="false">IF(COUNT(G1121:L1121)&lt;6,"",ROUND((G1121*Rubric!$D$5+H1121*Rubric!$D$6+I1121*Rubric!$D$7+J1121*Rubric!$D$8+K1121*Rubric!$D$9+L1121*Rubric!$D$10)/5*100,1))</f>
        <v>72</v>
      </c>
      <c r="N1121" s="37" t="str">
        <f aca="false">IF(OR(B1121="",D1121=""),"",IFERROR(IF(IF(E1121="Primary",INDEX(Applications!$I$5:$I$600,MATCH(B1121,Applications!$A$5:$A$600,0)),IF(E1121="Secondary",INDEX(Applications!$J$5:$J$600,MATCH(B1121,Applications!$A$5:$A$600,0)),INDEX(Applications!$K$5:$K$600,MATCH(B1121,Applications!$A$5:$A$600,0))))=D1121,"OK","Not assigned"),"Check ID"))</f>
        <v>OK</v>
      </c>
      <c r="O1121" s="7"/>
    </row>
    <row r="1122" customFormat="false" ht="15" hidden="false" customHeight="false" outlineLevel="0" collapsed="false">
      <c r="A1122" s="35" t="s">
        <v>2519</v>
      </c>
      <c r="B1122" s="35" t="s">
        <v>1241</v>
      </c>
      <c r="C1122" s="37" t="str">
        <f aca="false">IF(B1122="","",IFERROR(INDEX(Applications!$B$5:$B$600,MATCH(B1122,Applications!$A$5:$A$600,0)),"Application ID not found"))</f>
        <v>Salvador Bakery Collective</v>
      </c>
      <c r="D1122" s="35" t="s">
        <v>85</v>
      </c>
      <c r="E1122" s="35" t="s">
        <v>80</v>
      </c>
      <c r="F1122" s="36" t="n">
        <v>45954</v>
      </c>
      <c r="G1122" s="35" t="n">
        <v>4</v>
      </c>
      <c r="H1122" s="35" t="n">
        <v>3</v>
      </c>
      <c r="I1122" s="35" t="n">
        <v>4</v>
      </c>
      <c r="J1122" s="35" t="n">
        <v>4</v>
      </c>
      <c r="K1122" s="35" t="n">
        <v>4</v>
      </c>
      <c r="L1122" s="35" t="n">
        <v>3</v>
      </c>
      <c r="M1122" s="50" t="n">
        <f aca="false">IF(COUNT(G1122:L1122)&lt;6,"",ROUND((G1122*Rubric!$D$5+H1122*Rubric!$D$6+I1122*Rubric!$D$7+J1122*Rubric!$D$8+K1122*Rubric!$D$9+L1122*Rubric!$D$10)/5*100,1))</f>
        <v>74</v>
      </c>
      <c r="N1122" s="37" t="str">
        <f aca="false">IF(OR(B1122="",D1122=""),"",IFERROR(IF(IF(E1122="Primary",INDEX(Applications!$I$5:$I$600,MATCH(B1122,Applications!$A$5:$A$600,0)),IF(E1122="Secondary",INDEX(Applications!$J$5:$J$600,MATCH(B1122,Applications!$A$5:$A$600,0)),INDEX(Applications!$K$5:$K$600,MATCH(B1122,Applications!$A$5:$A$600,0))))=D1122,"OK","Not assigned"),"Check ID"))</f>
        <v>OK</v>
      </c>
      <c r="O1122" s="7"/>
    </row>
    <row r="1123" customFormat="false" ht="15" hidden="false" customHeight="false" outlineLevel="0" collapsed="false">
      <c r="A1123" s="35" t="s">
        <v>2520</v>
      </c>
      <c r="B1123" s="35" t="s">
        <v>1383</v>
      </c>
      <c r="C1123" s="37" t="str">
        <f aca="false">IF(B1123="","",IFERROR(INDEX(Applications!$B$5:$B$600,MATCH(B1123,Applications!$A$5:$A$600,0)),"Application ID not found"))</f>
        <v>Atlanta Community Pantry</v>
      </c>
      <c r="D1123" s="35" t="s">
        <v>85</v>
      </c>
      <c r="E1123" s="35" t="s">
        <v>80</v>
      </c>
      <c r="F1123" s="36" t="n">
        <v>45954</v>
      </c>
      <c r="G1123" s="35" t="n">
        <v>2</v>
      </c>
      <c r="H1123" s="35" t="n">
        <v>3</v>
      </c>
      <c r="I1123" s="35" t="n">
        <v>3</v>
      </c>
      <c r="J1123" s="35" t="n">
        <v>3</v>
      </c>
      <c r="K1123" s="35" t="n">
        <v>2</v>
      </c>
      <c r="L1123" s="35" t="n">
        <v>3</v>
      </c>
      <c r="M1123" s="50" t="n">
        <f aca="false">IF(COUNT(G1123:L1123)&lt;6,"",ROUND((G1123*Rubric!$D$5+H1123*Rubric!$D$6+I1123*Rubric!$D$7+J1123*Rubric!$D$8+K1123*Rubric!$D$9+L1123*Rubric!$D$10)/5*100,1))</f>
        <v>53</v>
      </c>
      <c r="N1123" s="37" t="str">
        <f aca="false">IF(OR(B1123="",D1123=""),"",IFERROR(IF(IF(E1123="Primary",INDEX(Applications!$I$5:$I$600,MATCH(B1123,Applications!$A$5:$A$600,0)),IF(E1123="Secondary",INDEX(Applications!$J$5:$J$600,MATCH(B1123,Applications!$A$5:$A$600,0)),INDEX(Applications!$K$5:$K$600,MATCH(B1123,Applications!$A$5:$A$600,0))))=D1123,"OK","Not assigned"),"Check ID"))</f>
        <v>OK</v>
      </c>
      <c r="O1123" s="7"/>
    </row>
    <row r="1124" customFormat="false" ht="15" hidden="false" customHeight="false" outlineLevel="0" collapsed="false">
      <c r="A1124" s="35" t="s">
        <v>2521</v>
      </c>
      <c r="B1124" s="35" t="s">
        <v>781</v>
      </c>
      <c r="C1124" s="37" t="str">
        <f aca="false">IF(B1124="","",IFERROR(INDEX(Applications!$B$5:$B$600,MATCH(B1124,Applications!$A$5:$A$600,0)),"Application ID not found"))</f>
        <v>Union Square Mobile Market</v>
      </c>
      <c r="D1124" s="35" t="s">
        <v>85</v>
      </c>
      <c r="E1124" s="35" t="s">
        <v>83</v>
      </c>
      <c r="F1124" s="36" t="n">
        <v>45954</v>
      </c>
      <c r="G1124" s="35" t="n">
        <v>3</v>
      </c>
      <c r="H1124" s="35" t="n">
        <v>3</v>
      </c>
      <c r="I1124" s="35" t="n">
        <v>4</v>
      </c>
      <c r="J1124" s="35" t="n">
        <v>3</v>
      </c>
      <c r="K1124" s="35" t="n">
        <v>4</v>
      </c>
      <c r="L1124" s="35" t="n">
        <v>3</v>
      </c>
      <c r="M1124" s="50" t="n">
        <f aca="false">IF(COUNT(G1124:L1124)&lt;6,"",ROUND((G1124*Rubric!$D$5+H1124*Rubric!$D$6+I1124*Rubric!$D$7+J1124*Rubric!$D$8+K1124*Rubric!$D$9+L1124*Rubric!$D$10)/5*100,1))</f>
        <v>66</v>
      </c>
      <c r="N1124" s="37" t="str">
        <f aca="false">IF(OR(B1124="",D1124=""),"",IFERROR(IF(IF(E1124="Primary",INDEX(Applications!$I$5:$I$600,MATCH(B1124,Applications!$A$5:$A$600,0)),IF(E1124="Secondary",INDEX(Applications!$J$5:$J$600,MATCH(B1124,Applications!$A$5:$A$600,0)),INDEX(Applications!$K$5:$K$600,MATCH(B1124,Applications!$A$5:$A$600,0))))=D1124,"OK","Not assigned"),"Check ID"))</f>
        <v>OK</v>
      </c>
      <c r="O1124" s="7"/>
    </row>
    <row r="1125" customFormat="false" ht="15" hidden="false" customHeight="false" outlineLevel="0" collapsed="false">
      <c r="A1125" s="35" t="s">
        <v>2522</v>
      </c>
      <c r="B1125" s="35" t="s">
        <v>599</v>
      </c>
      <c r="C1125" s="37" t="str">
        <f aca="false">IF(B1125="","",IFERROR(INDEX(Applications!$B$5:$B$600,MATCH(B1125,Applications!$A$5:$A$600,0)),"Application ID not found"))</f>
        <v>Linden Pantry Network</v>
      </c>
      <c r="D1125" s="35" t="s">
        <v>85</v>
      </c>
      <c r="E1125" s="35" t="s">
        <v>86</v>
      </c>
      <c r="F1125" s="36" t="n">
        <v>45954</v>
      </c>
      <c r="G1125" s="35" t="n">
        <v>4</v>
      </c>
      <c r="H1125" s="35" t="n">
        <v>4</v>
      </c>
      <c r="I1125" s="35" t="n">
        <v>4</v>
      </c>
      <c r="J1125" s="35" t="n">
        <v>4</v>
      </c>
      <c r="K1125" s="35" t="n">
        <v>4</v>
      </c>
      <c r="L1125" s="35" t="n">
        <v>4</v>
      </c>
      <c r="M1125" s="50" t="n">
        <f aca="false">IF(COUNT(G1125:L1125)&lt;6,"",ROUND((G1125*Rubric!$D$5+H1125*Rubric!$D$6+I1125*Rubric!$D$7+J1125*Rubric!$D$8+K1125*Rubric!$D$9+L1125*Rubric!$D$10)/5*100,1))</f>
        <v>80</v>
      </c>
      <c r="N1125" s="37" t="str">
        <f aca="false">IF(OR(B1125="",D1125=""),"",IFERROR(IF(IF(E1125="Primary",INDEX(Applications!$I$5:$I$600,MATCH(B1125,Applications!$A$5:$A$600,0)),IF(E1125="Secondary",INDEX(Applications!$J$5:$J$600,MATCH(B1125,Applications!$A$5:$A$600,0)),INDEX(Applications!$K$5:$K$600,MATCH(B1125,Applications!$A$5:$A$600,0))))=D1125,"OK","Not assigned"),"Check ID"))</f>
        <v>OK</v>
      </c>
      <c r="O1125" s="7"/>
    </row>
    <row r="1126" customFormat="false" ht="15" hidden="false" customHeight="false" outlineLevel="0" collapsed="false">
      <c r="A1126" s="35" t="s">
        <v>2523</v>
      </c>
      <c r="B1126" s="35" t="s">
        <v>827</v>
      </c>
      <c r="C1126" s="37" t="str">
        <f aca="false">IF(B1126="","",IFERROR(INDEX(Applications!$B$5:$B$600,MATCH(B1126,Applications!$A$5:$A$600,0)),"Application ID not found"))</f>
        <v>Halifax Market Gardens</v>
      </c>
      <c r="D1126" s="35" t="s">
        <v>85</v>
      </c>
      <c r="E1126" s="35" t="s">
        <v>86</v>
      </c>
      <c r="F1126" s="36" t="n">
        <v>45954</v>
      </c>
      <c r="G1126" s="35" t="n">
        <v>3</v>
      </c>
      <c r="H1126" s="35" t="n">
        <v>4</v>
      </c>
      <c r="I1126" s="35" t="n">
        <v>4</v>
      </c>
      <c r="J1126" s="35" t="n">
        <v>4</v>
      </c>
      <c r="K1126" s="35" t="n">
        <v>3</v>
      </c>
      <c r="L1126" s="35" t="n">
        <v>3</v>
      </c>
      <c r="M1126" s="50" t="n">
        <f aca="false">IF(COUNT(G1126:L1126)&lt;6,"",ROUND((G1126*Rubric!$D$5+H1126*Rubric!$D$6+I1126*Rubric!$D$7+J1126*Rubric!$D$8+K1126*Rubric!$D$9+L1126*Rubric!$D$10)/5*100,1))</f>
        <v>71</v>
      </c>
      <c r="N1126" s="37" t="str">
        <f aca="false">IF(OR(B1126="",D1126=""),"",IFERROR(IF(IF(E1126="Primary",INDEX(Applications!$I$5:$I$600,MATCH(B1126,Applications!$A$5:$A$600,0)),IF(E1126="Secondary",INDEX(Applications!$J$5:$J$600,MATCH(B1126,Applications!$A$5:$A$600,0)),INDEX(Applications!$K$5:$K$600,MATCH(B1126,Applications!$A$5:$A$600,0))))=D1126,"OK","Not assigned"),"Check ID"))</f>
        <v>OK</v>
      </c>
      <c r="O1126" s="7"/>
    </row>
    <row r="1127" customFormat="false" ht="15" hidden="false" customHeight="false" outlineLevel="0" collapsed="false">
      <c r="A1127" s="35"/>
      <c r="B1127" s="35"/>
      <c r="C1127" s="37" t="str">
        <f aca="false">IF(B1127="","",IFERROR(INDEX(Applications!$B$5:$B$600,MATCH(B1127,Applications!$A$5:$A$600,0)),"Application ID not found"))</f>
        <v/>
      </c>
      <c r="D1127" s="35"/>
      <c r="E1127" s="35"/>
      <c r="F1127" s="36"/>
      <c r="G1127" s="35"/>
      <c r="H1127" s="35"/>
      <c r="I1127" s="35"/>
      <c r="J1127" s="35"/>
      <c r="K1127" s="35"/>
      <c r="L1127" s="35"/>
      <c r="M1127" s="50" t="str">
        <f aca="false">IF(COUNT(G1127:L1127)&lt;6,"",ROUND((G1127*Rubric!$D$5+H1127*Rubric!$D$6+I1127*Rubric!$D$7+J1127*Rubric!$D$8+K1127*Rubric!$D$9+L1127*Rubric!$D$10)/5*100,1))</f>
        <v/>
      </c>
      <c r="N1127" s="37" t="str">
        <f aca="false">IF(OR(B1127="",D1127=""),"",IFERROR(IF(IF(E1127="Primary",INDEX(Applications!$I$5:$I$600,MATCH(B1127,Applications!$A$5:$A$600,0)),IF(E1127="Secondary",INDEX(Applications!$J$5:$J$600,MATCH(B1127,Applications!$A$5:$A$600,0)),INDEX(Applications!$K$5:$K$600,MATCH(B1127,Applications!$A$5:$A$600,0))))=D1127,"OK","Not assigned"),"Check ID"))</f>
        <v/>
      </c>
      <c r="O1127" s="7"/>
    </row>
    <row r="1128" customFormat="false" ht="15" hidden="false" customHeight="false" outlineLevel="0" collapsed="false">
      <c r="A1128" s="35"/>
      <c r="B1128" s="35"/>
      <c r="C1128" s="37" t="str">
        <f aca="false">IF(B1128="","",IFERROR(INDEX(Applications!$B$5:$B$600,MATCH(B1128,Applications!$A$5:$A$600,0)),"Application ID not found"))</f>
        <v/>
      </c>
      <c r="D1128" s="35"/>
      <c r="E1128" s="35"/>
      <c r="F1128" s="36"/>
      <c r="G1128" s="35"/>
      <c r="H1128" s="35"/>
      <c r="I1128" s="35"/>
      <c r="J1128" s="35"/>
      <c r="K1128" s="35"/>
      <c r="L1128" s="35"/>
      <c r="M1128" s="50" t="str">
        <f aca="false">IF(COUNT(G1128:L1128)&lt;6,"",ROUND((G1128*Rubric!$D$5+H1128*Rubric!$D$6+I1128*Rubric!$D$7+J1128*Rubric!$D$8+K1128*Rubric!$D$9+L1128*Rubric!$D$10)/5*100,1))</f>
        <v/>
      </c>
      <c r="N1128" s="37" t="str">
        <f aca="false">IF(OR(B1128="",D1128=""),"",IFERROR(IF(IF(E1128="Primary",INDEX(Applications!$I$5:$I$600,MATCH(B1128,Applications!$A$5:$A$600,0)),IF(E1128="Secondary",INDEX(Applications!$J$5:$J$600,MATCH(B1128,Applications!$A$5:$A$600,0)),INDEX(Applications!$K$5:$K$600,MATCH(B1128,Applications!$A$5:$A$600,0))))=D1128,"OK","Not assigned"),"Check ID"))</f>
        <v/>
      </c>
      <c r="O1128" s="7"/>
    </row>
    <row r="1129" customFormat="false" ht="15" hidden="false" customHeight="false" outlineLevel="0" collapsed="false">
      <c r="A1129" s="35"/>
      <c r="B1129" s="35"/>
      <c r="C1129" s="37" t="str">
        <f aca="false">IF(B1129="","",IFERROR(INDEX(Applications!$B$5:$B$600,MATCH(B1129,Applications!$A$5:$A$600,0)),"Application ID not found"))</f>
        <v/>
      </c>
      <c r="D1129" s="35"/>
      <c r="E1129" s="35"/>
      <c r="F1129" s="36"/>
      <c r="G1129" s="35"/>
      <c r="H1129" s="35"/>
      <c r="I1129" s="35"/>
      <c r="J1129" s="35"/>
      <c r="K1129" s="35"/>
      <c r="L1129" s="35"/>
      <c r="M1129" s="50" t="str">
        <f aca="false">IF(COUNT(G1129:L1129)&lt;6,"",ROUND((G1129*Rubric!$D$5+H1129*Rubric!$D$6+I1129*Rubric!$D$7+J1129*Rubric!$D$8+K1129*Rubric!$D$9+L1129*Rubric!$D$10)/5*100,1))</f>
        <v/>
      </c>
      <c r="N1129" s="37" t="str">
        <f aca="false">IF(OR(B1129="",D1129=""),"",IFERROR(IF(IF(E1129="Primary",INDEX(Applications!$I$5:$I$600,MATCH(B1129,Applications!$A$5:$A$600,0)),IF(E1129="Secondary",INDEX(Applications!$J$5:$J$600,MATCH(B1129,Applications!$A$5:$A$600,0)),INDEX(Applications!$K$5:$K$600,MATCH(B1129,Applications!$A$5:$A$600,0))))=D1129,"OK","Not assigned"),"Check ID"))</f>
        <v/>
      </c>
      <c r="O1129" s="7"/>
    </row>
    <row r="1130" customFormat="false" ht="15" hidden="false" customHeight="false" outlineLevel="0" collapsed="false">
      <c r="A1130" s="35"/>
      <c r="B1130" s="35"/>
      <c r="C1130" s="37" t="str">
        <f aca="false">IF(B1130="","",IFERROR(INDEX(Applications!$B$5:$B$600,MATCH(B1130,Applications!$A$5:$A$600,0)),"Application ID not found"))</f>
        <v/>
      </c>
      <c r="D1130" s="35"/>
      <c r="E1130" s="35"/>
      <c r="F1130" s="36"/>
      <c r="G1130" s="35"/>
      <c r="H1130" s="35"/>
      <c r="I1130" s="35"/>
      <c r="J1130" s="35"/>
      <c r="K1130" s="35"/>
      <c r="L1130" s="35"/>
      <c r="M1130" s="50" t="str">
        <f aca="false">IF(COUNT(G1130:L1130)&lt;6,"",ROUND((G1130*Rubric!$D$5+H1130*Rubric!$D$6+I1130*Rubric!$D$7+J1130*Rubric!$D$8+K1130*Rubric!$D$9+L1130*Rubric!$D$10)/5*100,1))</f>
        <v/>
      </c>
      <c r="N1130" s="37" t="str">
        <f aca="false">IF(OR(B1130="",D1130=""),"",IFERROR(IF(IF(E1130="Primary",INDEX(Applications!$I$5:$I$600,MATCH(B1130,Applications!$A$5:$A$600,0)),IF(E1130="Secondary",INDEX(Applications!$J$5:$J$600,MATCH(B1130,Applications!$A$5:$A$600,0)),INDEX(Applications!$K$5:$K$600,MATCH(B1130,Applications!$A$5:$A$600,0))))=D1130,"OK","Not assigned"),"Check ID"))</f>
        <v/>
      </c>
      <c r="O1130" s="7"/>
    </row>
    <row r="1131" customFormat="false" ht="15" hidden="false" customHeight="false" outlineLevel="0" collapsed="false">
      <c r="A1131" s="35"/>
      <c r="B1131" s="35"/>
      <c r="C1131" s="37" t="str">
        <f aca="false">IF(B1131="","",IFERROR(INDEX(Applications!$B$5:$B$600,MATCH(B1131,Applications!$A$5:$A$600,0)),"Application ID not found"))</f>
        <v/>
      </c>
      <c r="D1131" s="35"/>
      <c r="E1131" s="35"/>
      <c r="F1131" s="36"/>
      <c r="G1131" s="35"/>
      <c r="H1131" s="35"/>
      <c r="I1131" s="35"/>
      <c r="J1131" s="35"/>
      <c r="K1131" s="35"/>
      <c r="L1131" s="35"/>
      <c r="M1131" s="50" t="str">
        <f aca="false">IF(COUNT(G1131:L1131)&lt;6,"",ROUND((G1131*Rubric!$D$5+H1131*Rubric!$D$6+I1131*Rubric!$D$7+J1131*Rubric!$D$8+K1131*Rubric!$D$9+L1131*Rubric!$D$10)/5*100,1))</f>
        <v/>
      </c>
      <c r="N1131" s="37" t="str">
        <f aca="false">IF(OR(B1131="",D1131=""),"",IFERROR(IF(IF(E1131="Primary",INDEX(Applications!$I$5:$I$600,MATCH(B1131,Applications!$A$5:$A$600,0)),IF(E1131="Secondary",INDEX(Applications!$J$5:$J$600,MATCH(B1131,Applications!$A$5:$A$600,0)),INDEX(Applications!$K$5:$K$600,MATCH(B1131,Applications!$A$5:$A$600,0))))=D1131,"OK","Not assigned"),"Check ID"))</f>
        <v/>
      </c>
      <c r="O1131" s="7"/>
    </row>
    <row r="1132" customFormat="false" ht="15" hidden="false" customHeight="false" outlineLevel="0" collapsed="false">
      <c r="A1132" s="35"/>
      <c r="B1132" s="35"/>
      <c r="C1132" s="37" t="str">
        <f aca="false">IF(B1132="","",IFERROR(INDEX(Applications!$B$5:$B$600,MATCH(B1132,Applications!$A$5:$A$600,0)),"Application ID not found"))</f>
        <v/>
      </c>
      <c r="D1132" s="35"/>
      <c r="E1132" s="35"/>
      <c r="F1132" s="36"/>
      <c r="G1132" s="35"/>
      <c r="H1132" s="35"/>
      <c r="I1132" s="35"/>
      <c r="J1132" s="35"/>
      <c r="K1132" s="35"/>
      <c r="L1132" s="35"/>
      <c r="M1132" s="50" t="str">
        <f aca="false">IF(COUNT(G1132:L1132)&lt;6,"",ROUND((G1132*Rubric!$D$5+H1132*Rubric!$D$6+I1132*Rubric!$D$7+J1132*Rubric!$D$8+K1132*Rubric!$D$9+L1132*Rubric!$D$10)/5*100,1))</f>
        <v/>
      </c>
      <c r="N1132" s="37" t="str">
        <f aca="false">IF(OR(B1132="",D1132=""),"",IFERROR(IF(IF(E1132="Primary",INDEX(Applications!$I$5:$I$600,MATCH(B1132,Applications!$A$5:$A$600,0)),IF(E1132="Secondary",INDEX(Applications!$J$5:$J$600,MATCH(B1132,Applications!$A$5:$A$600,0)),INDEX(Applications!$K$5:$K$600,MATCH(B1132,Applications!$A$5:$A$600,0))))=D1132,"OK","Not assigned"),"Check ID"))</f>
        <v/>
      </c>
      <c r="O1132" s="7"/>
    </row>
    <row r="1133" customFormat="false" ht="15" hidden="false" customHeight="false" outlineLevel="0" collapsed="false">
      <c r="A1133" s="35"/>
      <c r="B1133" s="35"/>
      <c r="C1133" s="37" t="str">
        <f aca="false">IF(B1133="","",IFERROR(INDEX(Applications!$B$5:$B$600,MATCH(B1133,Applications!$A$5:$A$600,0)),"Application ID not found"))</f>
        <v/>
      </c>
      <c r="D1133" s="35"/>
      <c r="E1133" s="35"/>
      <c r="F1133" s="36"/>
      <c r="G1133" s="35"/>
      <c r="H1133" s="35"/>
      <c r="I1133" s="35"/>
      <c r="J1133" s="35"/>
      <c r="K1133" s="35"/>
      <c r="L1133" s="35"/>
      <c r="M1133" s="50" t="str">
        <f aca="false">IF(COUNT(G1133:L1133)&lt;6,"",ROUND((G1133*Rubric!$D$5+H1133*Rubric!$D$6+I1133*Rubric!$D$7+J1133*Rubric!$D$8+K1133*Rubric!$D$9+L1133*Rubric!$D$10)/5*100,1))</f>
        <v/>
      </c>
      <c r="N1133" s="37" t="str">
        <f aca="false">IF(OR(B1133="",D1133=""),"",IFERROR(IF(IF(E1133="Primary",INDEX(Applications!$I$5:$I$600,MATCH(B1133,Applications!$A$5:$A$600,0)),IF(E1133="Secondary",INDEX(Applications!$J$5:$J$600,MATCH(B1133,Applications!$A$5:$A$600,0)),INDEX(Applications!$K$5:$K$600,MATCH(B1133,Applications!$A$5:$A$600,0))))=D1133,"OK","Not assigned"),"Check ID"))</f>
        <v/>
      </c>
      <c r="O1133" s="7"/>
    </row>
    <row r="1134" customFormat="false" ht="15" hidden="false" customHeight="false" outlineLevel="0" collapsed="false">
      <c r="A1134" s="35"/>
      <c r="B1134" s="35"/>
      <c r="C1134" s="37" t="str">
        <f aca="false">IF(B1134="","",IFERROR(INDEX(Applications!$B$5:$B$600,MATCH(B1134,Applications!$A$5:$A$600,0)),"Application ID not found"))</f>
        <v/>
      </c>
      <c r="D1134" s="35"/>
      <c r="E1134" s="35"/>
      <c r="F1134" s="36"/>
      <c r="G1134" s="35"/>
      <c r="H1134" s="35"/>
      <c r="I1134" s="35"/>
      <c r="J1134" s="35"/>
      <c r="K1134" s="35"/>
      <c r="L1134" s="35"/>
      <c r="M1134" s="50" t="str">
        <f aca="false">IF(COUNT(G1134:L1134)&lt;6,"",ROUND((G1134*Rubric!$D$5+H1134*Rubric!$D$6+I1134*Rubric!$D$7+J1134*Rubric!$D$8+K1134*Rubric!$D$9+L1134*Rubric!$D$10)/5*100,1))</f>
        <v/>
      </c>
      <c r="N1134" s="37" t="str">
        <f aca="false">IF(OR(B1134="",D1134=""),"",IFERROR(IF(IF(E1134="Primary",INDEX(Applications!$I$5:$I$600,MATCH(B1134,Applications!$A$5:$A$600,0)),IF(E1134="Secondary",INDEX(Applications!$J$5:$J$600,MATCH(B1134,Applications!$A$5:$A$600,0)),INDEX(Applications!$K$5:$K$600,MATCH(B1134,Applications!$A$5:$A$600,0))))=D1134,"OK","Not assigned"),"Check ID"))</f>
        <v/>
      </c>
      <c r="O1134" s="7"/>
    </row>
    <row r="1135" customFormat="false" ht="15" hidden="false" customHeight="false" outlineLevel="0" collapsed="false">
      <c r="A1135" s="35"/>
      <c r="B1135" s="35"/>
      <c r="C1135" s="37" t="str">
        <f aca="false">IF(B1135="","",IFERROR(INDEX(Applications!$B$5:$B$600,MATCH(B1135,Applications!$A$5:$A$600,0)),"Application ID not found"))</f>
        <v/>
      </c>
      <c r="D1135" s="35"/>
      <c r="E1135" s="35"/>
      <c r="F1135" s="36"/>
      <c r="G1135" s="35"/>
      <c r="H1135" s="35"/>
      <c r="I1135" s="35"/>
      <c r="J1135" s="35"/>
      <c r="K1135" s="35"/>
      <c r="L1135" s="35"/>
      <c r="M1135" s="50" t="str">
        <f aca="false">IF(COUNT(G1135:L1135)&lt;6,"",ROUND((G1135*Rubric!$D$5+H1135*Rubric!$D$6+I1135*Rubric!$D$7+J1135*Rubric!$D$8+K1135*Rubric!$D$9+L1135*Rubric!$D$10)/5*100,1))</f>
        <v/>
      </c>
      <c r="N1135" s="37" t="str">
        <f aca="false">IF(OR(B1135="",D1135=""),"",IFERROR(IF(IF(E1135="Primary",INDEX(Applications!$I$5:$I$600,MATCH(B1135,Applications!$A$5:$A$600,0)),IF(E1135="Secondary",INDEX(Applications!$J$5:$J$600,MATCH(B1135,Applications!$A$5:$A$600,0)),INDEX(Applications!$K$5:$K$600,MATCH(B1135,Applications!$A$5:$A$600,0))))=D1135,"OK","Not assigned"),"Check ID"))</f>
        <v/>
      </c>
      <c r="O1135" s="7"/>
    </row>
    <row r="1136" customFormat="false" ht="15" hidden="false" customHeight="false" outlineLevel="0" collapsed="false">
      <c r="A1136" s="35"/>
      <c r="B1136" s="35"/>
      <c r="C1136" s="37" t="str">
        <f aca="false">IF(B1136="","",IFERROR(INDEX(Applications!$B$5:$B$600,MATCH(B1136,Applications!$A$5:$A$600,0)),"Application ID not found"))</f>
        <v/>
      </c>
      <c r="D1136" s="35"/>
      <c r="E1136" s="35"/>
      <c r="F1136" s="36"/>
      <c r="G1136" s="35"/>
      <c r="H1136" s="35"/>
      <c r="I1136" s="35"/>
      <c r="J1136" s="35"/>
      <c r="K1136" s="35"/>
      <c r="L1136" s="35"/>
      <c r="M1136" s="50" t="str">
        <f aca="false">IF(COUNT(G1136:L1136)&lt;6,"",ROUND((G1136*Rubric!$D$5+H1136*Rubric!$D$6+I1136*Rubric!$D$7+J1136*Rubric!$D$8+K1136*Rubric!$D$9+L1136*Rubric!$D$10)/5*100,1))</f>
        <v/>
      </c>
      <c r="N1136" s="37" t="str">
        <f aca="false">IF(OR(B1136="",D1136=""),"",IFERROR(IF(IF(E1136="Primary",INDEX(Applications!$I$5:$I$600,MATCH(B1136,Applications!$A$5:$A$600,0)),IF(E1136="Secondary",INDEX(Applications!$J$5:$J$600,MATCH(B1136,Applications!$A$5:$A$600,0)),INDEX(Applications!$K$5:$K$600,MATCH(B1136,Applications!$A$5:$A$600,0))))=D1136,"OK","Not assigned"),"Check ID"))</f>
        <v/>
      </c>
      <c r="O1136" s="7"/>
    </row>
    <row r="1137" customFormat="false" ht="15" hidden="false" customHeight="false" outlineLevel="0" collapsed="false">
      <c r="A1137" s="35"/>
      <c r="B1137" s="35"/>
      <c r="C1137" s="37" t="str">
        <f aca="false">IF(B1137="","",IFERROR(INDEX(Applications!$B$5:$B$600,MATCH(B1137,Applications!$A$5:$A$600,0)),"Application ID not found"))</f>
        <v/>
      </c>
      <c r="D1137" s="35"/>
      <c r="E1137" s="35"/>
      <c r="F1137" s="36"/>
      <c r="G1137" s="35"/>
      <c r="H1137" s="35"/>
      <c r="I1137" s="35"/>
      <c r="J1137" s="35"/>
      <c r="K1137" s="35"/>
      <c r="L1137" s="35"/>
      <c r="M1137" s="50" t="str">
        <f aca="false">IF(COUNT(G1137:L1137)&lt;6,"",ROUND((G1137*Rubric!$D$5+H1137*Rubric!$D$6+I1137*Rubric!$D$7+J1137*Rubric!$D$8+K1137*Rubric!$D$9+L1137*Rubric!$D$10)/5*100,1))</f>
        <v/>
      </c>
      <c r="N1137" s="37" t="str">
        <f aca="false">IF(OR(B1137="",D1137=""),"",IFERROR(IF(IF(E1137="Primary",INDEX(Applications!$I$5:$I$600,MATCH(B1137,Applications!$A$5:$A$600,0)),IF(E1137="Secondary",INDEX(Applications!$J$5:$J$600,MATCH(B1137,Applications!$A$5:$A$600,0)),INDEX(Applications!$K$5:$K$600,MATCH(B1137,Applications!$A$5:$A$600,0))))=D1137,"OK","Not assigned"),"Check ID"))</f>
        <v/>
      </c>
      <c r="O1137" s="7"/>
    </row>
    <row r="1138" customFormat="false" ht="15" hidden="false" customHeight="false" outlineLevel="0" collapsed="false">
      <c r="A1138" s="35"/>
      <c r="B1138" s="35"/>
      <c r="C1138" s="37" t="str">
        <f aca="false">IF(B1138="","",IFERROR(INDEX(Applications!$B$5:$B$600,MATCH(B1138,Applications!$A$5:$A$600,0)),"Application ID not found"))</f>
        <v/>
      </c>
      <c r="D1138" s="35"/>
      <c r="E1138" s="35"/>
      <c r="F1138" s="36"/>
      <c r="G1138" s="35"/>
      <c r="H1138" s="35"/>
      <c r="I1138" s="35"/>
      <c r="J1138" s="35"/>
      <c r="K1138" s="35"/>
      <c r="L1138" s="35"/>
      <c r="M1138" s="50" t="str">
        <f aca="false">IF(COUNT(G1138:L1138)&lt;6,"",ROUND((G1138*Rubric!$D$5+H1138*Rubric!$D$6+I1138*Rubric!$D$7+J1138*Rubric!$D$8+K1138*Rubric!$D$9+L1138*Rubric!$D$10)/5*100,1))</f>
        <v/>
      </c>
      <c r="N1138" s="37" t="str">
        <f aca="false">IF(OR(B1138="",D1138=""),"",IFERROR(IF(IF(E1138="Primary",INDEX(Applications!$I$5:$I$600,MATCH(B1138,Applications!$A$5:$A$600,0)),IF(E1138="Secondary",INDEX(Applications!$J$5:$J$600,MATCH(B1138,Applications!$A$5:$A$600,0)),INDEX(Applications!$K$5:$K$600,MATCH(B1138,Applications!$A$5:$A$600,0))))=D1138,"OK","Not assigned"),"Check ID"))</f>
        <v/>
      </c>
      <c r="O1138" s="7"/>
    </row>
    <row r="1139" customFormat="false" ht="15" hidden="false" customHeight="false" outlineLevel="0" collapsed="false">
      <c r="A1139" s="35"/>
      <c r="B1139" s="35"/>
      <c r="C1139" s="37" t="str">
        <f aca="false">IF(B1139="","",IFERROR(INDEX(Applications!$B$5:$B$600,MATCH(B1139,Applications!$A$5:$A$600,0)),"Application ID not found"))</f>
        <v/>
      </c>
      <c r="D1139" s="35"/>
      <c r="E1139" s="35"/>
      <c r="F1139" s="36"/>
      <c r="G1139" s="35"/>
      <c r="H1139" s="35"/>
      <c r="I1139" s="35"/>
      <c r="J1139" s="35"/>
      <c r="K1139" s="35"/>
      <c r="L1139" s="35"/>
      <c r="M1139" s="50" t="str">
        <f aca="false">IF(COUNT(G1139:L1139)&lt;6,"",ROUND((G1139*Rubric!$D$5+H1139*Rubric!$D$6+I1139*Rubric!$D$7+J1139*Rubric!$D$8+K1139*Rubric!$D$9+L1139*Rubric!$D$10)/5*100,1))</f>
        <v/>
      </c>
      <c r="N1139" s="37" t="str">
        <f aca="false">IF(OR(B1139="",D1139=""),"",IFERROR(IF(IF(E1139="Primary",INDEX(Applications!$I$5:$I$600,MATCH(B1139,Applications!$A$5:$A$600,0)),IF(E1139="Secondary",INDEX(Applications!$J$5:$J$600,MATCH(B1139,Applications!$A$5:$A$600,0)),INDEX(Applications!$K$5:$K$600,MATCH(B1139,Applications!$A$5:$A$600,0))))=D1139,"OK","Not assigned"),"Check ID"))</f>
        <v/>
      </c>
      <c r="O1139" s="7"/>
    </row>
    <row r="1140" customFormat="false" ht="15" hidden="false" customHeight="false" outlineLevel="0" collapsed="false">
      <c r="A1140" s="35"/>
      <c r="B1140" s="35"/>
      <c r="C1140" s="37" t="str">
        <f aca="false">IF(B1140="","",IFERROR(INDEX(Applications!$B$5:$B$600,MATCH(B1140,Applications!$A$5:$A$600,0)),"Application ID not found"))</f>
        <v/>
      </c>
      <c r="D1140" s="35"/>
      <c r="E1140" s="35"/>
      <c r="F1140" s="36"/>
      <c r="G1140" s="35"/>
      <c r="H1140" s="35"/>
      <c r="I1140" s="35"/>
      <c r="J1140" s="35"/>
      <c r="K1140" s="35"/>
      <c r="L1140" s="35"/>
      <c r="M1140" s="50" t="str">
        <f aca="false">IF(COUNT(G1140:L1140)&lt;6,"",ROUND((G1140*Rubric!$D$5+H1140*Rubric!$D$6+I1140*Rubric!$D$7+J1140*Rubric!$D$8+K1140*Rubric!$D$9+L1140*Rubric!$D$10)/5*100,1))</f>
        <v/>
      </c>
      <c r="N1140" s="37" t="str">
        <f aca="false">IF(OR(B1140="",D1140=""),"",IFERROR(IF(IF(E1140="Primary",INDEX(Applications!$I$5:$I$600,MATCH(B1140,Applications!$A$5:$A$600,0)),IF(E1140="Secondary",INDEX(Applications!$J$5:$J$600,MATCH(B1140,Applications!$A$5:$A$600,0)),INDEX(Applications!$K$5:$K$600,MATCH(B1140,Applications!$A$5:$A$600,0))))=D1140,"OK","Not assigned"),"Check ID"))</f>
        <v/>
      </c>
      <c r="O1140" s="7"/>
    </row>
    <row r="1141" customFormat="false" ht="15" hidden="false" customHeight="false" outlineLevel="0" collapsed="false">
      <c r="A1141" s="35"/>
      <c r="B1141" s="35"/>
      <c r="C1141" s="37" t="str">
        <f aca="false">IF(B1141="","",IFERROR(INDEX(Applications!$B$5:$B$600,MATCH(B1141,Applications!$A$5:$A$600,0)),"Application ID not found"))</f>
        <v/>
      </c>
      <c r="D1141" s="35"/>
      <c r="E1141" s="35"/>
      <c r="F1141" s="36"/>
      <c r="G1141" s="35"/>
      <c r="H1141" s="35"/>
      <c r="I1141" s="35"/>
      <c r="J1141" s="35"/>
      <c r="K1141" s="35"/>
      <c r="L1141" s="35"/>
      <c r="M1141" s="50" t="str">
        <f aca="false">IF(COUNT(G1141:L1141)&lt;6,"",ROUND((G1141*Rubric!$D$5+H1141*Rubric!$D$6+I1141*Rubric!$D$7+J1141*Rubric!$D$8+K1141*Rubric!$D$9+L1141*Rubric!$D$10)/5*100,1))</f>
        <v/>
      </c>
      <c r="N1141" s="37" t="str">
        <f aca="false">IF(OR(B1141="",D1141=""),"",IFERROR(IF(IF(E1141="Primary",INDEX(Applications!$I$5:$I$600,MATCH(B1141,Applications!$A$5:$A$600,0)),IF(E1141="Secondary",INDEX(Applications!$J$5:$J$600,MATCH(B1141,Applications!$A$5:$A$600,0)),INDEX(Applications!$K$5:$K$600,MATCH(B1141,Applications!$A$5:$A$600,0))))=D1141,"OK","Not assigned"),"Check ID"))</f>
        <v/>
      </c>
      <c r="O1141" s="7"/>
    </row>
    <row r="1142" customFormat="false" ht="15" hidden="false" customHeight="false" outlineLevel="0" collapsed="false">
      <c r="A1142" s="35"/>
      <c r="B1142" s="35"/>
      <c r="C1142" s="37" t="str">
        <f aca="false">IF(B1142="","",IFERROR(INDEX(Applications!$B$5:$B$600,MATCH(B1142,Applications!$A$5:$A$600,0)),"Application ID not found"))</f>
        <v/>
      </c>
      <c r="D1142" s="35"/>
      <c r="E1142" s="35"/>
      <c r="F1142" s="36"/>
      <c r="G1142" s="35"/>
      <c r="H1142" s="35"/>
      <c r="I1142" s="35"/>
      <c r="J1142" s="35"/>
      <c r="K1142" s="35"/>
      <c r="L1142" s="35"/>
      <c r="M1142" s="50" t="str">
        <f aca="false">IF(COUNT(G1142:L1142)&lt;6,"",ROUND((G1142*Rubric!$D$5+H1142*Rubric!$D$6+I1142*Rubric!$D$7+J1142*Rubric!$D$8+K1142*Rubric!$D$9+L1142*Rubric!$D$10)/5*100,1))</f>
        <v/>
      </c>
      <c r="N1142" s="37" t="str">
        <f aca="false">IF(OR(B1142="",D1142=""),"",IFERROR(IF(IF(E1142="Primary",INDEX(Applications!$I$5:$I$600,MATCH(B1142,Applications!$A$5:$A$600,0)),IF(E1142="Secondary",INDEX(Applications!$J$5:$J$600,MATCH(B1142,Applications!$A$5:$A$600,0)),INDEX(Applications!$K$5:$K$600,MATCH(B1142,Applications!$A$5:$A$600,0))))=D1142,"OK","Not assigned"),"Check ID"))</f>
        <v/>
      </c>
      <c r="O1142" s="7"/>
    </row>
    <row r="1143" customFormat="false" ht="15" hidden="false" customHeight="false" outlineLevel="0" collapsed="false">
      <c r="A1143" s="35"/>
      <c r="B1143" s="35"/>
      <c r="C1143" s="37" t="str">
        <f aca="false">IF(B1143="","",IFERROR(INDEX(Applications!$B$5:$B$600,MATCH(B1143,Applications!$A$5:$A$600,0)),"Application ID not found"))</f>
        <v/>
      </c>
      <c r="D1143" s="35"/>
      <c r="E1143" s="35"/>
      <c r="F1143" s="36"/>
      <c r="G1143" s="35"/>
      <c r="H1143" s="35"/>
      <c r="I1143" s="35"/>
      <c r="J1143" s="35"/>
      <c r="K1143" s="35"/>
      <c r="L1143" s="35"/>
      <c r="M1143" s="50" t="str">
        <f aca="false">IF(COUNT(G1143:L1143)&lt;6,"",ROUND((G1143*Rubric!$D$5+H1143*Rubric!$D$6+I1143*Rubric!$D$7+J1143*Rubric!$D$8+K1143*Rubric!$D$9+L1143*Rubric!$D$10)/5*100,1))</f>
        <v/>
      </c>
      <c r="N1143" s="37" t="str">
        <f aca="false">IF(OR(B1143="",D1143=""),"",IFERROR(IF(IF(E1143="Primary",INDEX(Applications!$I$5:$I$600,MATCH(B1143,Applications!$A$5:$A$600,0)),IF(E1143="Secondary",INDEX(Applications!$J$5:$J$600,MATCH(B1143,Applications!$A$5:$A$600,0)),INDEX(Applications!$K$5:$K$600,MATCH(B1143,Applications!$A$5:$A$600,0))))=D1143,"OK","Not assigned"),"Check ID"))</f>
        <v/>
      </c>
      <c r="O1143" s="7"/>
    </row>
    <row r="1144" customFormat="false" ht="15" hidden="false" customHeight="false" outlineLevel="0" collapsed="false">
      <c r="A1144" s="35"/>
      <c r="B1144" s="35"/>
      <c r="C1144" s="37" t="str">
        <f aca="false">IF(B1144="","",IFERROR(INDEX(Applications!$B$5:$B$600,MATCH(B1144,Applications!$A$5:$A$600,0)),"Application ID not found"))</f>
        <v/>
      </c>
      <c r="D1144" s="35"/>
      <c r="E1144" s="35"/>
      <c r="F1144" s="36"/>
      <c r="G1144" s="35"/>
      <c r="H1144" s="35"/>
      <c r="I1144" s="35"/>
      <c r="J1144" s="35"/>
      <c r="K1144" s="35"/>
      <c r="L1144" s="35"/>
      <c r="M1144" s="50" t="str">
        <f aca="false">IF(COUNT(G1144:L1144)&lt;6,"",ROUND((G1144*Rubric!$D$5+H1144*Rubric!$D$6+I1144*Rubric!$D$7+J1144*Rubric!$D$8+K1144*Rubric!$D$9+L1144*Rubric!$D$10)/5*100,1))</f>
        <v/>
      </c>
      <c r="N1144" s="37" t="str">
        <f aca="false">IF(OR(B1144="",D1144=""),"",IFERROR(IF(IF(E1144="Primary",INDEX(Applications!$I$5:$I$600,MATCH(B1144,Applications!$A$5:$A$600,0)),IF(E1144="Secondary",INDEX(Applications!$J$5:$J$600,MATCH(B1144,Applications!$A$5:$A$600,0)),INDEX(Applications!$K$5:$K$600,MATCH(B1144,Applications!$A$5:$A$600,0))))=D1144,"OK","Not assigned"),"Check ID"))</f>
        <v/>
      </c>
      <c r="O1144" s="7"/>
    </row>
    <row r="1145" customFormat="false" ht="15" hidden="false" customHeight="false" outlineLevel="0" collapsed="false">
      <c r="A1145" s="35"/>
      <c r="B1145" s="35"/>
      <c r="C1145" s="37" t="str">
        <f aca="false">IF(B1145="","",IFERROR(INDEX(Applications!$B$5:$B$600,MATCH(B1145,Applications!$A$5:$A$600,0)),"Application ID not found"))</f>
        <v/>
      </c>
      <c r="D1145" s="35"/>
      <c r="E1145" s="35"/>
      <c r="F1145" s="36"/>
      <c r="G1145" s="35"/>
      <c r="H1145" s="35"/>
      <c r="I1145" s="35"/>
      <c r="J1145" s="35"/>
      <c r="K1145" s="35"/>
      <c r="L1145" s="35"/>
      <c r="M1145" s="50" t="str">
        <f aca="false">IF(COUNT(G1145:L1145)&lt;6,"",ROUND((G1145*Rubric!$D$5+H1145*Rubric!$D$6+I1145*Rubric!$D$7+J1145*Rubric!$D$8+K1145*Rubric!$D$9+L1145*Rubric!$D$10)/5*100,1))</f>
        <v/>
      </c>
      <c r="N1145" s="37" t="str">
        <f aca="false">IF(OR(B1145="",D1145=""),"",IFERROR(IF(IF(E1145="Primary",INDEX(Applications!$I$5:$I$600,MATCH(B1145,Applications!$A$5:$A$600,0)),IF(E1145="Secondary",INDEX(Applications!$J$5:$J$600,MATCH(B1145,Applications!$A$5:$A$600,0)),INDEX(Applications!$K$5:$K$600,MATCH(B1145,Applications!$A$5:$A$600,0))))=D1145,"OK","Not assigned"),"Check ID"))</f>
        <v/>
      </c>
      <c r="O1145" s="7"/>
    </row>
    <row r="1146" customFormat="false" ht="15" hidden="false" customHeight="false" outlineLevel="0" collapsed="false">
      <c r="A1146" s="35"/>
      <c r="B1146" s="35"/>
      <c r="C1146" s="37" t="str">
        <f aca="false">IF(B1146="","",IFERROR(INDEX(Applications!$B$5:$B$600,MATCH(B1146,Applications!$A$5:$A$600,0)),"Application ID not found"))</f>
        <v/>
      </c>
      <c r="D1146" s="35"/>
      <c r="E1146" s="35"/>
      <c r="F1146" s="36"/>
      <c r="G1146" s="35"/>
      <c r="H1146" s="35"/>
      <c r="I1146" s="35"/>
      <c r="J1146" s="35"/>
      <c r="K1146" s="35"/>
      <c r="L1146" s="35"/>
      <c r="M1146" s="50" t="str">
        <f aca="false">IF(COUNT(G1146:L1146)&lt;6,"",ROUND((G1146*Rubric!$D$5+H1146*Rubric!$D$6+I1146*Rubric!$D$7+J1146*Rubric!$D$8+K1146*Rubric!$D$9+L1146*Rubric!$D$10)/5*100,1))</f>
        <v/>
      </c>
      <c r="N1146" s="37" t="str">
        <f aca="false">IF(OR(B1146="",D1146=""),"",IFERROR(IF(IF(E1146="Primary",INDEX(Applications!$I$5:$I$600,MATCH(B1146,Applications!$A$5:$A$600,0)),IF(E1146="Secondary",INDEX(Applications!$J$5:$J$600,MATCH(B1146,Applications!$A$5:$A$600,0)),INDEX(Applications!$K$5:$K$600,MATCH(B1146,Applications!$A$5:$A$600,0))))=D1146,"OK","Not assigned"),"Check ID"))</f>
        <v/>
      </c>
      <c r="O1146" s="7"/>
    </row>
    <row r="1147" customFormat="false" ht="15" hidden="false" customHeight="false" outlineLevel="0" collapsed="false">
      <c r="A1147" s="35"/>
      <c r="B1147" s="35"/>
      <c r="C1147" s="37" t="str">
        <f aca="false">IF(B1147="","",IFERROR(INDEX(Applications!$B$5:$B$600,MATCH(B1147,Applications!$A$5:$A$600,0)),"Application ID not found"))</f>
        <v/>
      </c>
      <c r="D1147" s="35"/>
      <c r="E1147" s="35"/>
      <c r="F1147" s="36"/>
      <c r="G1147" s="35"/>
      <c r="H1147" s="35"/>
      <c r="I1147" s="35"/>
      <c r="J1147" s="35"/>
      <c r="K1147" s="35"/>
      <c r="L1147" s="35"/>
      <c r="M1147" s="50" t="str">
        <f aca="false">IF(COUNT(G1147:L1147)&lt;6,"",ROUND((G1147*Rubric!$D$5+H1147*Rubric!$D$6+I1147*Rubric!$D$7+J1147*Rubric!$D$8+K1147*Rubric!$D$9+L1147*Rubric!$D$10)/5*100,1))</f>
        <v/>
      </c>
      <c r="N1147" s="37" t="str">
        <f aca="false">IF(OR(B1147="",D1147=""),"",IFERROR(IF(IF(E1147="Primary",INDEX(Applications!$I$5:$I$600,MATCH(B1147,Applications!$A$5:$A$600,0)),IF(E1147="Secondary",INDEX(Applications!$J$5:$J$600,MATCH(B1147,Applications!$A$5:$A$600,0)),INDEX(Applications!$K$5:$K$600,MATCH(B1147,Applications!$A$5:$A$600,0))))=D1147,"OK","Not assigned"),"Check ID"))</f>
        <v/>
      </c>
      <c r="O1147" s="7"/>
    </row>
    <row r="1148" customFormat="false" ht="15" hidden="false" customHeight="false" outlineLevel="0" collapsed="false">
      <c r="A1148" s="35"/>
      <c r="B1148" s="35"/>
      <c r="C1148" s="37" t="str">
        <f aca="false">IF(B1148="","",IFERROR(INDEX(Applications!$B$5:$B$600,MATCH(B1148,Applications!$A$5:$A$600,0)),"Application ID not found"))</f>
        <v/>
      </c>
      <c r="D1148" s="35"/>
      <c r="E1148" s="35"/>
      <c r="F1148" s="36"/>
      <c r="G1148" s="35"/>
      <c r="H1148" s="35"/>
      <c r="I1148" s="35"/>
      <c r="J1148" s="35"/>
      <c r="K1148" s="35"/>
      <c r="L1148" s="35"/>
      <c r="M1148" s="50" t="str">
        <f aca="false">IF(COUNT(G1148:L1148)&lt;6,"",ROUND((G1148*Rubric!$D$5+H1148*Rubric!$D$6+I1148*Rubric!$D$7+J1148*Rubric!$D$8+K1148*Rubric!$D$9+L1148*Rubric!$D$10)/5*100,1))</f>
        <v/>
      </c>
      <c r="N1148" s="37" t="str">
        <f aca="false">IF(OR(B1148="",D1148=""),"",IFERROR(IF(IF(E1148="Primary",INDEX(Applications!$I$5:$I$600,MATCH(B1148,Applications!$A$5:$A$600,0)),IF(E1148="Secondary",INDEX(Applications!$J$5:$J$600,MATCH(B1148,Applications!$A$5:$A$600,0)),INDEX(Applications!$K$5:$K$600,MATCH(B1148,Applications!$A$5:$A$600,0))))=D1148,"OK","Not assigned"),"Check ID"))</f>
        <v/>
      </c>
      <c r="O1148" s="7"/>
    </row>
    <row r="1149" customFormat="false" ht="15" hidden="false" customHeight="false" outlineLevel="0" collapsed="false">
      <c r="A1149" s="35"/>
      <c r="B1149" s="35"/>
      <c r="C1149" s="37" t="str">
        <f aca="false">IF(B1149="","",IFERROR(INDEX(Applications!$B$5:$B$600,MATCH(B1149,Applications!$A$5:$A$600,0)),"Application ID not found"))</f>
        <v/>
      </c>
      <c r="D1149" s="35"/>
      <c r="E1149" s="35"/>
      <c r="F1149" s="36"/>
      <c r="G1149" s="35"/>
      <c r="H1149" s="35"/>
      <c r="I1149" s="35"/>
      <c r="J1149" s="35"/>
      <c r="K1149" s="35"/>
      <c r="L1149" s="35"/>
      <c r="M1149" s="50" t="str">
        <f aca="false">IF(COUNT(G1149:L1149)&lt;6,"",ROUND((G1149*Rubric!$D$5+H1149*Rubric!$D$6+I1149*Rubric!$D$7+J1149*Rubric!$D$8+K1149*Rubric!$D$9+L1149*Rubric!$D$10)/5*100,1))</f>
        <v/>
      </c>
      <c r="N1149" s="37" t="str">
        <f aca="false">IF(OR(B1149="",D1149=""),"",IFERROR(IF(IF(E1149="Primary",INDEX(Applications!$I$5:$I$600,MATCH(B1149,Applications!$A$5:$A$600,0)),IF(E1149="Secondary",INDEX(Applications!$J$5:$J$600,MATCH(B1149,Applications!$A$5:$A$600,0)),INDEX(Applications!$K$5:$K$600,MATCH(B1149,Applications!$A$5:$A$600,0))))=D1149,"OK","Not assigned"),"Check ID"))</f>
        <v/>
      </c>
      <c r="O1149" s="7"/>
    </row>
    <row r="1150" customFormat="false" ht="15" hidden="false" customHeight="false" outlineLevel="0" collapsed="false">
      <c r="A1150" s="35"/>
      <c r="B1150" s="35"/>
      <c r="C1150" s="37" t="str">
        <f aca="false">IF(B1150="","",IFERROR(INDEX(Applications!$B$5:$B$600,MATCH(B1150,Applications!$A$5:$A$600,0)),"Application ID not found"))</f>
        <v/>
      </c>
      <c r="D1150" s="35"/>
      <c r="E1150" s="35"/>
      <c r="F1150" s="36"/>
      <c r="G1150" s="35"/>
      <c r="H1150" s="35"/>
      <c r="I1150" s="35"/>
      <c r="J1150" s="35"/>
      <c r="K1150" s="35"/>
      <c r="L1150" s="35"/>
      <c r="M1150" s="50" t="str">
        <f aca="false">IF(COUNT(G1150:L1150)&lt;6,"",ROUND((G1150*Rubric!$D$5+H1150*Rubric!$D$6+I1150*Rubric!$D$7+J1150*Rubric!$D$8+K1150*Rubric!$D$9+L1150*Rubric!$D$10)/5*100,1))</f>
        <v/>
      </c>
      <c r="N1150" s="37" t="str">
        <f aca="false">IF(OR(B1150="",D1150=""),"",IFERROR(IF(IF(E1150="Primary",INDEX(Applications!$I$5:$I$600,MATCH(B1150,Applications!$A$5:$A$600,0)),IF(E1150="Secondary",INDEX(Applications!$J$5:$J$600,MATCH(B1150,Applications!$A$5:$A$600,0)),INDEX(Applications!$K$5:$K$600,MATCH(B1150,Applications!$A$5:$A$600,0))))=D1150,"OK","Not assigned"),"Check ID"))</f>
        <v/>
      </c>
      <c r="O1150" s="7"/>
    </row>
    <row r="1151" customFormat="false" ht="15" hidden="false" customHeight="false" outlineLevel="0" collapsed="false">
      <c r="A1151" s="35"/>
      <c r="B1151" s="35"/>
      <c r="C1151" s="37" t="str">
        <f aca="false">IF(B1151="","",IFERROR(INDEX(Applications!$B$5:$B$600,MATCH(B1151,Applications!$A$5:$A$600,0)),"Application ID not found"))</f>
        <v/>
      </c>
      <c r="D1151" s="35"/>
      <c r="E1151" s="35"/>
      <c r="F1151" s="36"/>
      <c r="G1151" s="35"/>
      <c r="H1151" s="35"/>
      <c r="I1151" s="35"/>
      <c r="J1151" s="35"/>
      <c r="K1151" s="35"/>
      <c r="L1151" s="35"/>
      <c r="M1151" s="50" t="str">
        <f aca="false">IF(COUNT(G1151:L1151)&lt;6,"",ROUND((G1151*Rubric!$D$5+H1151*Rubric!$D$6+I1151*Rubric!$D$7+J1151*Rubric!$D$8+K1151*Rubric!$D$9+L1151*Rubric!$D$10)/5*100,1))</f>
        <v/>
      </c>
      <c r="N1151" s="37" t="str">
        <f aca="false">IF(OR(B1151="",D1151=""),"",IFERROR(IF(IF(E1151="Primary",INDEX(Applications!$I$5:$I$600,MATCH(B1151,Applications!$A$5:$A$600,0)),IF(E1151="Secondary",INDEX(Applications!$J$5:$J$600,MATCH(B1151,Applications!$A$5:$A$600,0)),INDEX(Applications!$K$5:$K$600,MATCH(B1151,Applications!$A$5:$A$600,0))))=D1151,"OK","Not assigned"),"Check ID"))</f>
        <v/>
      </c>
      <c r="O1151" s="7"/>
    </row>
    <row r="1152" customFormat="false" ht="15" hidden="false" customHeight="false" outlineLevel="0" collapsed="false">
      <c r="A1152" s="35"/>
      <c r="B1152" s="35"/>
      <c r="C1152" s="37" t="str">
        <f aca="false">IF(B1152="","",IFERROR(INDEX(Applications!$B$5:$B$600,MATCH(B1152,Applications!$A$5:$A$600,0)),"Application ID not found"))</f>
        <v/>
      </c>
      <c r="D1152" s="35"/>
      <c r="E1152" s="35"/>
      <c r="F1152" s="36"/>
      <c r="G1152" s="35"/>
      <c r="H1152" s="35"/>
      <c r="I1152" s="35"/>
      <c r="J1152" s="35"/>
      <c r="K1152" s="35"/>
      <c r="L1152" s="35"/>
      <c r="M1152" s="50" t="str">
        <f aca="false">IF(COUNT(G1152:L1152)&lt;6,"",ROUND((G1152*Rubric!$D$5+H1152*Rubric!$D$6+I1152*Rubric!$D$7+J1152*Rubric!$D$8+K1152*Rubric!$D$9+L1152*Rubric!$D$10)/5*100,1))</f>
        <v/>
      </c>
      <c r="N1152" s="37" t="str">
        <f aca="false">IF(OR(B1152="",D1152=""),"",IFERROR(IF(IF(E1152="Primary",INDEX(Applications!$I$5:$I$600,MATCH(B1152,Applications!$A$5:$A$600,0)),IF(E1152="Secondary",INDEX(Applications!$J$5:$J$600,MATCH(B1152,Applications!$A$5:$A$600,0)),INDEX(Applications!$K$5:$K$600,MATCH(B1152,Applications!$A$5:$A$600,0))))=D1152,"OK","Not assigned"),"Check ID"))</f>
        <v/>
      </c>
      <c r="O1152" s="7"/>
    </row>
    <row r="1153" customFormat="false" ht="15" hidden="false" customHeight="false" outlineLevel="0" collapsed="false">
      <c r="A1153" s="35"/>
      <c r="B1153" s="35"/>
      <c r="C1153" s="37" t="str">
        <f aca="false">IF(B1153="","",IFERROR(INDEX(Applications!$B$5:$B$600,MATCH(B1153,Applications!$A$5:$A$600,0)),"Application ID not found"))</f>
        <v/>
      </c>
      <c r="D1153" s="35"/>
      <c r="E1153" s="35"/>
      <c r="F1153" s="36"/>
      <c r="G1153" s="35"/>
      <c r="H1153" s="35"/>
      <c r="I1153" s="35"/>
      <c r="J1153" s="35"/>
      <c r="K1153" s="35"/>
      <c r="L1153" s="35"/>
      <c r="M1153" s="50" t="str">
        <f aca="false">IF(COUNT(G1153:L1153)&lt;6,"",ROUND((G1153*Rubric!$D$5+H1153*Rubric!$D$6+I1153*Rubric!$D$7+J1153*Rubric!$D$8+K1153*Rubric!$D$9+L1153*Rubric!$D$10)/5*100,1))</f>
        <v/>
      </c>
      <c r="N1153" s="37" t="str">
        <f aca="false">IF(OR(B1153="",D1153=""),"",IFERROR(IF(IF(E1153="Primary",INDEX(Applications!$I$5:$I$600,MATCH(B1153,Applications!$A$5:$A$600,0)),IF(E1153="Secondary",INDEX(Applications!$J$5:$J$600,MATCH(B1153,Applications!$A$5:$A$600,0)),INDEX(Applications!$K$5:$K$600,MATCH(B1153,Applications!$A$5:$A$600,0))))=D1153,"OK","Not assigned"),"Check ID"))</f>
        <v/>
      </c>
      <c r="O1153" s="7"/>
    </row>
    <row r="1154" customFormat="false" ht="15" hidden="false" customHeight="false" outlineLevel="0" collapsed="false">
      <c r="A1154" s="35"/>
      <c r="B1154" s="35"/>
      <c r="C1154" s="37" t="str">
        <f aca="false">IF(B1154="","",IFERROR(INDEX(Applications!$B$5:$B$600,MATCH(B1154,Applications!$A$5:$A$600,0)),"Application ID not found"))</f>
        <v/>
      </c>
      <c r="D1154" s="35"/>
      <c r="E1154" s="35"/>
      <c r="F1154" s="36"/>
      <c r="G1154" s="35"/>
      <c r="H1154" s="35"/>
      <c r="I1154" s="35"/>
      <c r="J1154" s="35"/>
      <c r="K1154" s="35"/>
      <c r="L1154" s="35"/>
      <c r="M1154" s="50" t="str">
        <f aca="false">IF(COUNT(G1154:L1154)&lt;6,"",ROUND((G1154*Rubric!$D$5+H1154*Rubric!$D$6+I1154*Rubric!$D$7+J1154*Rubric!$D$8+K1154*Rubric!$D$9+L1154*Rubric!$D$10)/5*100,1))</f>
        <v/>
      </c>
      <c r="N1154" s="37" t="str">
        <f aca="false">IF(OR(B1154="",D1154=""),"",IFERROR(IF(IF(E1154="Primary",INDEX(Applications!$I$5:$I$600,MATCH(B1154,Applications!$A$5:$A$600,0)),IF(E1154="Secondary",INDEX(Applications!$J$5:$J$600,MATCH(B1154,Applications!$A$5:$A$600,0)),INDEX(Applications!$K$5:$K$600,MATCH(B1154,Applications!$A$5:$A$600,0))))=D1154,"OK","Not assigned"),"Check ID"))</f>
        <v/>
      </c>
      <c r="O1154" s="7"/>
    </row>
    <row r="1155" customFormat="false" ht="15" hidden="false" customHeight="false" outlineLevel="0" collapsed="false">
      <c r="A1155" s="35"/>
      <c r="B1155" s="35"/>
      <c r="C1155" s="37" t="str">
        <f aca="false">IF(B1155="","",IFERROR(INDEX(Applications!$B$5:$B$600,MATCH(B1155,Applications!$A$5:$A$600,0)),"Application ID not found"))</f>
        <v/>
      </c>
      <c r="D1155" s="35"/>
      <c r="E1155" s="35"/>
      <c r="F1155" s="36"/>
      <c r="G1155" s="35"/>
      <c r="H1155" s="35"/>
      <c r="I1155" s="35"/>
      <c r="J1155" s="35"/>
      <c r="K1155" s="35"/>
      <c r="L1155" s="35"/>
      <c r="M1155" s="50" t="str">
        <f aca="false">IF(COUNT(G1155:L1155)&lt;6,"",ROUND((G1155*Rubric!$D$5+H1155*Rubric!$D$6+I1155*Rubric!$D$7+J1155*Rubric!$D$8+K1155*Rubric!$D$9+L1155*Rubric!$D$10)/5*100,1))</f>
        <v/>
      </c>
      <c r="N1155" s="37" t="str">
        <f aca="false">IF(OR(B1155="",D1155=""),"",IFERROR(IF(IF(E1155="Primary",INDEX(Applications!$I$5:$I$600,MATCH(B1155,Applications!$A$5:$A$600,0)),IF(E1155="Secondary",INDEX(Applications!$J$5:$J$600,MATCH(B1155,Applications!$A$5:$A$600,0)),INDEX(Applications!$K$5:$K$600,MATCH(B1155,Applications!$A$5:$A$600,0))))=D1155,"OK","Not assigned"),"Check ID"))</f>
        <v/>
      </c>
      <c r="O1155" s="7"/>
    </row>
    <row r="1156" customFormat="false" ht="15" hidden="false" customHeight="false" outlineLevel="0" collapsed="false">
      <c r="A1156" s="35"/>
      <c r="B1156" s="35"/>
      <c r="C1156" s="37" t="str">
        <f aca="false">IF(B1156="","",IFERROR(INDEX(Applications!$B$5:$B$600,MATCH(B1156,Applications!$A$5:$A$600,0)),"Application ID not found"))</f>
        <v/>
      </c>
      <c r="D1156" s="35"/>
      <c r="E1156" s="35"/>
      <c r="F1156" s="36"/>
      <c r="G1156" s="35"/>
      <c r="H1156" s="35"/>
      <c r="I1156" s="35"/>
      <c r="J1156" s="35"/>
      <c r="K1156" s="35"/>
      <c r="L1156" s="35"/>
      <c r="M1156" s="50" t="str">
        <f aca="false">IF(COUNT(G1156:L1156)&lt;6,"",ROUND((G1156*Rubric!$D$5+H1156*Rubric!$D$6+I1156*Rubric!$D$7+J1156*Rubric!$D$8+K1156*Rubric!$D$9+L1156*Rubric!$D$10)/5*100,1))</f>
        <v/>
      </c>
      <c r="N1156" s="37" t="str">
        <f aca="false">IF(OR(B1156="",D1156=""),"",IFERROR(IF(IF(E1156="Primary",INDEX(Applications!$I$5:$I$600,MATCH(B1156,Applications!$A$5:$A$600,0)),IF(E1156="Secondary",INDEX(Applications!$J$5:$J$600,MATCH(B1156,Applications!$A$5:$A$600,0)),INDEX(Applications!$K$5:$K$600,MATCH(B1156,Applications!$A$5:$A$600,0))))=D1156,"OK","Not assigned"),"Check ID"))</f>
        <v/>
      </c>
      <c r="O1156" s="7"/>
    </row>
    <row r="1157" customFormat="false" ht="15" hidden="false" customHeight="false" outlineLevel="0" collapsed="false">
      <c r="A1157" s="35"/>
      <c r="B1157" s="35"/>
      <c r="C1157" s="37" t="str">
        <f aca="false">IF(B1157="","",IFERROR(INDEX(Applications!$B$5:$B$600,MATCH(B1157,Applications!$A$5:$A$600,0)),"Application ID not found"))</f>
        <v/>
      </c>
      <c r="D1157" s="35"/>
      <c r="E1157" s="35"/>
      <c r="F1157" s="36"/>
      <c r="G1157" s="35"/>
      <c r="H1157" s="35"/>
      <c r="I1157" s="35"/>
      <c r="J1157" s="35"/>
      <c r="K1157" s="35"/>
      <c r="L1157" s="35"/>
      <c r="M1157" s="50" t="str">
        <f aca="false">IF(COUNT(G1157:L1157)&lt;6,"",ROUND((G1157*Rubric!$D$5+H1157*Rubric!$D$6+I1157*Rubric!$D$7+J1157*Rubric!$D$8+K1157*Rubric!$D$9+L1157*Rubric!$D$10)/5*100,1))</f>
        <v/>
      </c>
      <c r="N1157" s="37" t="str">
        <f aca="false">IF(OR(B1157="",D1157=""),"",IFERROR(IF(IF(E1157="Primary",INDEX(Applications!$I$5:$I$600,MATCH(B1157,Applications!$A$5:$A$600,0)),IF(E1157="Secondary",INDEX(Applications!$J$5:$J$600,MATCH(B1157,Applications!$A$5:$A$600,0)),INDEX(Applications!$K$5:$K$600,MATCH(B1157,Applications!$A$5:$A$600,0))))=D1157,"OK","Not assigned"),"Check ID"))</f>
        <v/>
      </c>
      <c r="O1157" s="7"/>
    </row>
    <row r="1158" customFormat="false" ht="15" hidden="false" customHeight="false" outlineLevel="0" collapsed="false">
      <c r="A1158" s="35"/>
      <c r="B1158" s="35"/>
      <c r="C1158" s="37" t="str">
        <f aca="false">IF(B1158="","",IFERROR(INDEX(Applications!$B$5:$B$600,MATCH(B1158,Applications!$A$5:$A$600,0)),"Application ID not found"))</f>
        <v/>
      </c>
      <c r="D1158" s="35"/>
      <c r="E1158" s="35"/>
      <c r="F1158" s="36"/>
      <c r="G1158" s="35"/>
      <c r="H1158" s="35"/>
      <c r="I1158" s="35"/>
      <c r="J1158" s="35"/>
      <c r="K1158" s="35"/>
      <c r="L1158" s="35"/>
      <c r="M1158" s="50" t="str">
        <f aca="false">IF(COUNT(G1158:L1158)&lt;6,"",ROUND((G1158*Rubric!$D$5+H1158*Rubric!$D$6+I1158*Rubric!$D$7+J1158*Rubric!$D$8+K1158*Rubric!$D$9+L1158*Rubric!$D$10)/5*100,1))</f>
        <v/>
      </c>
      <c r="N1158" s="37" t="str">
        <f aca="false">IF(OR(B1158="",D1158=""),"",IFERROR(IF(IF(E1158="Primary",INDEX(Applications!$I$5:$I$600,MATCH(B1158,Applications!$A$5:$A$600,0)),IF(E1158="Secondary",INDEX(Applications!$J$5:$J$600,MATCH(B1158,Applications!$A$5:$A$600,0)),INDEX(Applications!$K$5:$K$600,MATCH(B1158,Applications!$A$5:$A$600,0))))=D1158,"OK","Not assigned"),"Check ID"))</f>
        <v/>
      </c>
      <c r="O1158" s="7"/>
    </row>
    <row r="1159" customFormat="false" ht="15" hidden="false" customHeight="false" outlineLevel="0" collapsed="false">
      <c r="A1159" s="35"/>
      <c r="B1159" s="35"/>
      <c r="C1159" s="37" t="str">
        <f aca="false">IF(B1159="","",IFERROR(INDEX(Applications!$B$5:$B$600,MATCH(B1159,Applications!$A$5:$A$600,0)),"Application ID not found"))</f>
        <v/>
      </c>
      <c r="D1159" s="35"/>
      <c r="E1159" s="35"/>
      <c r="F1159" s="36"/>
      <c r="G1159" s="35"/>
      <c r="H1159" s="35"/>
      <c r="I1159" s="35"/>
      <c r="J1159" s="35"/>
      <c r="K1159" s="35"/>
      <c r="L1159" s="35"/>
      <c r="M1159" s="50" t="str">
        <f aca="false">IF(COUNT(G1159:L1159)&lt;6,"",ROUND((G1159*Rubric!$D$5+H1159*Rubric!$D$6+I1159*Rubric!$D$7+J1159*Rubric!$D$8+K1159*Rubric!$D$9+L1159*Rubric!$D$10)/5*100,1))</f>
        <v/>
      </c>
      <c r="N1159" s="37" t="str">
        <f aca="false">IF(OR(B1159="",D1159=""),"",IFERROR(IF(IF(E1159="Primary",INDEX(Applications!$I$5:$I$600,MATCH(B1159,Applications!$A$5:$A$600,0)),IF(E1159="Secondary",INDEX(Applications!$J$5:$J$600,MATCH(B1159,Applications!$A$5:$A$600,0)),INDEX(Applications!$K$5:$K$600,MATCH(B1159,Applications!$A$5:$A$600,0))))=D1159,"OK","Not assigned"),"Check ID"))</f>
        <v/>
      </c>
      <c r="O1159" s="7"/>
    </row>
    <row r="1160" customFormat="false" ht="15" hidden="false" customHeight="false" outlineLevel="0" collapsed="false">
      <c r="A1160" s="35"/>
      <c r="B1160" s="35"/>
      <c r="C1160" s="37" t="str">
        <f aca="false">IF(B1160="","",IFERROR(INDEX(Applications!$B$5:$B$600,MATCH(B1160,Applications!$A$5:$A$600,0)),"Application ID not found"))</f>
        <v/>
      </c>
      <c r="D1160" s="35"/>
      <c r="E1160" s="35"/>
      <c r="F1160" s="36"/>
      <c r="G1160" s="35"/>
      <c r="H1160" s="35"/>
      <c r="I1160" s="35"/>
      <c r="J1160" s="35"/>
      <c r="K1160" s="35"/>
      <c r="L1160" s="35"/>
      <c r="M1160" s="50" t="str">
        <f aca="false">IF(COUNT(G1160:L1160)&lt;6,"",ROUND((G1160*Rubric!$D$5+H1160*Rubric!$D$6+I1160*Rubric!$D$7+J1160*Rubric!$D$8+K1160*Rubric!$D$9+L1160*Rubric!$D$10)/5*100,1))</f>
        <v/>
      </c>
      <c r="N1160" s="37" t="str">
        <f aca="false">IF(OR(B1160="",D1160=""),"",IFERROR(IF(IF(E1160="Primary",INDEX(Applications!$I$5:$I$600,MATCH(B1160,Applications!$A$5:$A$600,0)),IF(E1160="Secondary",INDEX(Applications!$J$5:$J$600,MATCH(B1160,Applications!$A$5:$A$600,0)),INDEX(Applications!$K$5:$K$600,MATCH(B1160,Applications!$A$5:$A$600,0))))=D1160,"OK","Not assigned"),"Check ID"))</f>
        <v/>
      </c>
      <c r="O1160" s="7"/>
    </row>
    <row r="1161" customFormat="false" ht="15" hidden="false" customHeight="false" outlineLevel="0" collapsed="false">
      <c r="A1161" s="35"/>
      <c r="B1161" s="35"/>
      <c r="C1161" s="37" t="str">
        <f aca="false">IF(B1161="","",IFERROR(INDEX(Applications!$B$5:$B$600,MATCH(B1161,Applications!$A$5:$A$600,0)),"Application ID not found"))</f>
        <v/>
      </c>
      <c r="D1161" s="35"/>
      <c r="E1161" s="35"/>
      <c r="F1161" s="36"/>
      <c r="G1161" s="35"/>
      <c r="H1161" s="35"/>
      <c r="I1161" s="35"/>
      <c r="J1161" s="35"/>
      <c r="K1161" s="35"/>
      <c r="L1161" s="35"/>
      <c r="M1161" s="50" t="str">
        <f aca="false">IF(COUNT(G1161:L1161)&lt;6,"",ROUND((G1161*Rubric!$D$5+H1161*Rubric!$D$6+I1161*Rubric!$D$7+J1161*Rubric!$D$8+K1161*Rubric!$D$9+L1161*Rubric!$D$10)/5*100,1))</f>
        <v/>
      </c>
      <c r="N1161" s="37" t="str">
        <f aca="false">IF(OR(B1161="",D1161=""),"",IFERROR(IF(IF(E1161="Primary",INDEX(Applications!$I$5:$I$600,MATCH(B1161,Applications!$A$5:$A$600,0)),IF(E1161="Secondary",INDEX(Applications!$J$5:$J$600,MATCH(B1161,Applications!$A$5:$A$600,0)),INDEX(Applications!$K$5:$K$600,MATCH(B1161,Applications!$A$5:$A$600,0))))=D1161,"OK","Not assigned"),"Check ID"))</f>
        <v/>
      </c>
      <c r="O1161" s="7"/>
    </row>
    <row r="1162" customFormat="false" ht="15" hidden="false" customHeight="false" outlineLevel="0" collapsed="false">
      <c r="A1162" s="35"/>
      <c r="B1162" s="35"/>
      <c r="C1162" s="37" t="str">
        <f aca="false">IF(B1162="","",IFERROR(INDEX(Applications!$B$5:$B$600,MATCH(B1162,Applications!$A$5:$A$600,0)),"Application ID not found"))</f>
        <v/>
      </c>
      <c r="D1162" s="35"/>
      <c r="E1162" s="35"/>
      <c r="F1162" s="36"/>
      <c r="G1162" s="35"/>
      <c r="H1162" s="35"/>
      <c r="I1162" s="35"/>
      <c r="J1162" s="35"/>
      <c r="K1162" s="35"/>
      <c r="L1162" s="35"/>
      <c r="M1162" s="50" t="str">
        <f aca="false">IF(COUNT(G1162:L1162)&lt;6,"",ROUND((G1162*Rubric!$D$5+H1162*Rubric!$D$6+I1162*Rubric!$D$7+J1162*Rubric!$D$8+K1162*Rubric!$D$9+L1162*Rubric!$D$10)/5*100,1))</f>
        <v/>
      </c>
      <c r="N1162" s="37" t="str">
        <f aca="false">IF(OR(B1162="",D1162=""),"",IFERROR(IF(IF(E1162="Primary",INDEX(Applications!$I$5:$I$600,MATCH(B1162,Applications!$A$5:$A$600,0)),IF(E1162="Secondary",INDEX(Applications!$J$5:$J$600,MATCH(B1162,Applications!$A$5:$A$600,0)),INDEX(Applications!$K$5:$K$600,MATCH(B1162,Applications!$A$5:$A$600,0))))=D1162,"OK","Not assigned"),"Check ID"))</f>
        <v/>
      </c>
      <c r="O1162" s="7"/>
    </row>
    <row r="1163" customFormat="false" ht="15" hidden="false" customHeight="false" outlineLevel="0" collapsed="false">
      <c r="A1163" s="35"/>
      <c r="B1163" s="35"/>
      <c r="C1163" s="37" t="str">
        <f aca="false">IF(B1163="","",IFERROR(INDEX(Applications!$B$5:$B$600,MATCH(B1163,Applications!$A$5:$A$600,0)),"Application ID not found"))</f>
        <v/>
      </c>
      <c r="D1163" s="35"/>
      <c r="E1163" s="35"/>
      <c r="F1163" s="36"/>
      <c r="G1163" s="35"/>
      <c r="H1163" s="35"/>
      <c r="I1163" s="35"/>
      <c r="J1163" s="35"/>
      <c r="K1163" s="35"/>
      <c r="L1163" s="35"/>
      <c r="M1163" s="50" t="str">
        <f aca="false">IF(COUNT(G1163:L1163)&lt;6,"",ROUND((G1163*Rubric!$D$5+H1163*Rubric!$D$6+I1163*Rubric!$D$7+J1163*Rubric!$D$8+K1163*Rubric!$D$9+L1163*Rubric!$D$10)/5*100,1))</f>
        <v/>
      </c>
      <c r="N1163" s="37" t="str">
        <f aca="false">IF(OR(B1163="",D1163=""),"",IFERROR(IF(IF(E1163="Primary",INDEX(Applications!$I$5:$I$600,MATCH(B1163,Applications!$A$5:$A$600,0)),IF(E1163="Secondary",INDEX(Applications!$J$5:$J$600,MATCH(B1163,Applications!$A$5:$A$600,0)),INDEX(Applications!$K$5:$K$600,MATCH(B1163,Applications!$A$5:$A$600,0))))=D1163,"OK","Not assigned"),"Check ID"))</f>
        <v/>
      </c>
      <c r="O1163" s="7"/>
    </row>
    <row r="1164" customFormat="false" ht="15" hidden="false" customHeight="false" outlineLevel="0" collapsed="false">
      <c r="A1164" s="35"/>
      <c r="B1164" s="35"/>
      <c r="C1164" s="37" t="str">
        <f aca="false">IF(B1164="","",IFERROR(INDEX(Applications!$B$5:$B$600,MATCH(B1164,Applications!$A$5:$A$600,0)),"Application ID not found"))</f>
        <v/>
      </c>
      <c r="D1164" s="35"/>
      <c r="E1164" s="35"/>
      <c r="F1164" s="36"/>
      <c r="G1164" s="35"/>
      <c r="H1164" s="35"/>
      <c r="I1164" s="35"/>
      <c r="J1164" s="35"/>
      <c r="K1164" s="35"/>
      <c r="L1164" s="35"/>
      <c r="M1164" s="50" t="str">
        <f aca="false">IF(COUNT(G1164:L1164)&lt;6,"",ROUND((G1164*Rubric!$D$5+H1164*Rubric!$D$6+I1164*Rubric!$D$7+J1164*Rubric!$D$8+K1164*Rubric!$D$9+L1164*Rubric!$D$10)/5*100,1))</f>
        <v/>
      </c>
      <c r="N1164" s="37" t="str">
        <f aca="false">IF(OR(B1164="",D1164=""),"",IFERROR(IF(IF(E1164="Primary",INDEX(Applications!$I$5:$I$600,MATCH(B1164,Applications!$A$5:$A$600,0)),IF(E1164="Secondary",INDEX(Applications!$J$5:$J$600,MATCH(B1164,Applications!$A$5:$A$600,0)),INDEX(Applications!$K$5:$K$600,MATCH(B1164,Applications!$A$5:$A$600,0))))=D1164,"OK","Not assigned"),"Check ID"))</f>
        <v/>
      </c>
      <c r="O1164" s="7"/>
    </row>
    <row r="1165" customFormat="false" ht="15" hidden="false" customHeight="false" outlineLevel="0" collapsed="false">
      <c r="A1165" s="35"/>
      <c r="B1165" s="35"/>
      <c r="C1165" s="37" t="str">
        <f aca="false">IF(B1165="","",IFERROR(INDEX(Applications!$B$5:$B$600,MATCH(B1165,Applications!$A$5:$A$600,0)),"Application ID not found"))</f>
        <v/>
      </c>
      <c r="D1165" s="35"/>
      <c r="E1165" s="35"/>
      <c r="F1165" s="36"/>
      <c r="G1165" s="35"/>
      <c r="H1165" s="35"/>
      <c r="I1165" s="35"/>
      <c r="J1165" s="35"/>
      <c r="K1165" s="35"/>
      <c r="L1165" s="35"/>
      <c r="M1165" s="50" t="str">
        <f aca="false">IF(COUNT(G1165:L1165)&lt;6,"",ROUND((G1165*Rubric!$D$5+H1165*Rubric!$D$6+I1165*Rubric!$D$7+J1165*Rubric!$D$8+K1165*Rubric!$D$9+L1165*Rubric!$D$10)/5*100,1))</f>
        <v/>
      </c>
      <c r="N1165" s="37" t="str">
        <f aca="false">IF(OR(B1165="",D1165=""),"",IFERROR(IF(IF(E1165="Primary",INDEX(Applications!$I$5:$I$600,MATCH(B1165,Applications!$A$5:$A$600,0)),IF(E1165="Secondary",INDEX(Applications!$J$5:$J$600,MATCH(B1165,Applications!$A$5:$A$600,0)),INDEX(Applications!$K$5:$K$600,MATCH(B1165,Applications!$A$5:$A$600,0))))=D1165,"OK","Not assigned"),"Check ID"))</f>
        <v/>
      </c>
      <c r="O1165" s="7"/>
    </row>
    <row r="1166" customFormat="false" ht="15" hidden="false" customHeight="false" outlineLevel="0" collapsed="false">
      <c r="A1166" s="35"/>
      <c r="B1166" s="35"/>
      <c r="C1166" s="37" t="str">
        <f aca="false">IF(B1166="","",IFERROR(INDEX(Applications!$B$5:$B$600,MATCH(B1166,Applications!$A$5:$A$600,0)),"Application ID not found"))</f>
        <v/>
      </c>
      <c r="D1166" s="35"/>
      <c r="E1166" s="35"/>
      <c r="F1166" s="36"/>
      <c r="G1166" s="35"/>
      <c r="H1166" s="35"/>
      <c r="I1166" s="35"/>
      <c r="J1166" s="35"/>
      <c r="K1166" s="35"/>
      <c r="L1166" s="35"/>
      <c r="M1166" s="50" t="str">
        <f aca="false">IF(COUNT(G1166:L1166)&lt;6,"",ROUND((G1166*Rubric!$D$5+H1166*Rubric!$D$6+I1166*Rubric!$D$7+J1166*Rubric!$D$8+K1166*Rubric!$D$9+L1166*Rubric!$D$10)/5*100,1))</f>
        <v/>
      </c>
      <c r="N1166" s="37" t="str">
        <f aca="false">IF(OR(B1166="",D1166=""),"",IFERROR(IF(IF(E1166="Primary",INDEX(Applications!$I$5:$I$600,MATCH(B1166,Applications!$A$5:$A$600,0)),IF(E1166="Secondary",INDEX(Applications!$J$5:$J$600,MATCH(B1166,Applications!$A$5:$A$600,0)),INDEX(Applications!$K$5:$K$600,MATCH(B1166,Applications!$A$5:$A$600,0))))=D1166,"OK","Not assigned"),"Check ID"))</f>
        <v/>
      </c>
      <c r="O1166" s="7"/>
    </row>
    <row r="1167" customFormat="false" ht="15" hidden="false" customHeight="false" outlineLevel="0" collapsed="false">
      <c r="A1167" s="35"/>
      <c r="B1167" s="35"/>
      <c r="C1167" s="37" t="str">
        <f aca="false">IF(B1167="","",IFERROR(INDEX(Applications!$B$5:$B$600,MATCH(B1167,Applications!$A$5:$A$600,0)),"Application ID not found"))</f>
        <v/>
      </c>
      <c r="D1167" s="35"/>
      <c r="E1167" s="35"/>
      <c r="F1167" s="36"/>
      <c r="G1167" s="35"/>
      <c r="H1167" s="35"/>
      <c r="I1167" s="35"/>
      <c r="J1167" s="35"/>
      <c r="K1167" s="35"/>
      <c r="L1167" s="35"/>
      <c r="M1167" s="50" t="str">
        <f aca="false">IF(COUNT(G1167:L1167)&lt;6,"",ROUND((G1167*Rubric!$D$5+H1167*Rubric!$D$6+I1167*Rubric!$D$7+J1167*Rubric!$D$8+K1167*Rubric!$D$9+L1167*Rubric!$D$10)/5*100,1))</f>
        <v/>
      </c>
      <c r="N1167" s="37" t="str">
        <f aca="false">IF(OR(B1167="",D1167=""),"",IFERROR(IF(IF(E1167="Primary",INDEX(Applications!$I$5:$I$600,MATCH(B1167,Applications!$A$5:$A$600,0)),IF(E1167="Secondary",INDEX(Applications!$J$5:$J$600,MATCH(B1167,Applications!$A$5:$A$600,0)),INDEX(Applications!$K$5:$K$600,MATCH(B1167,Applications!$A$5:$A$600,0))))=D1167,"OK","Not assigned"),"Check ID"))</f>
        <v/>
      </c>
      <c r="O1167" s="7"/>
    </row>
    <row r="1168" customFormat="false" ht="15" hidden="false" customHeight="false" outlineLevel="0" collapsed="false">
      <c r="A1168" s="35"/>
      <c r="B1168" s="35"/>
      <c r="C1168" s="37" t="str">
        <f aca="false">IF(B1168="","",IFERROR(INDEX(Applications!$B$5:$B$600,MATCH(B1168,Applications!$A$5:$A$600,0)),"Application ID not found"))</f>
        <v/>
      </c>
      <c r="D1168" s="35"/>
      <c r="E1168" s="35"/>
      <c r="F1168" s="36"/>
      <c r="G1168" s="35"/>
      <c r="H1168" s="35"/>
      <c r="I1168" s="35"/>
      <c r="J1168" s="35"/>
      <c r="K1168" s="35"/>
      <c r="L1168" s="35"/>
      <c r="M1168" s="50" t="str">
        <f aca="false">IF(COUNT(G1168:L1168)&lt;6,"",ROUND((G1168*Rubric!$D$5+H1168*Rubric!$D$6+I1168*Rubric!$D$7+J1168*Rubric!$D$8+K1168*Rubric!$D$9+L1168*Rubric!$D$10)/5*100,1))</f>
        <v/>
      </c>
      <c r="N1168" s="37" t="str">
        <f aca="false">IF(OR(B1168="",D1168=""),"",IFERROR(IF(IF(E1168="Primary",INDEX(Applications!$I$5:$I$600,MATCH(B1168,Applications!$A$5:$A$600,0)),IF(E1168="Secondary",INDEX(Applications!$J$5:$J$600,MATCH(B1168,Applications!$A$5:$A$600,0)),INDEX(Applications!$K$5:$K$600,MATCH(B1168,Applications!$A$5:$A$600,0))))=D1168,"OK","Not assigned"),"Check ID"))</f>
        <v/>
      </c>
      <c r="O1168" s="7"/>
    </row>
    <row r="1169" customFormat="false" ht="15" hidden="false" customHeight="false" outlineLevel="0" collapsed="false">
      <c r="A1169" s="35"/>
      <c r="B1169" s="35"/>
      <c r="C1169" s="37" t="str">
        <f aca="false">IF(B1169="","",IFERROR(INDEX(Applications!$B$5:$B$600,MATCH(B1169,Applications!$A$5:$A$600,0)),"Application ID not found"))</f>
        <v/>
      </c>
      <c r="D1169" s="35"/>
      <c r="E1169" s="35"/>
      <c r="F1169" s="36"/>
      <c r="G1169" s="35"/>
      <c r="H1169" s="35"/>
      <c r="I1169" s="35"/>
      <c r="J1169" s="35"/>
      <c r="K1169" s="35"/>
      <c r="L1169" s="35"/>
      <c r="M1169" s="50" t="str">
        <f aca="false">IF(COUNT(G1169:L1169)&lt;6,"",ROUND((G1169*Rubric!$D$5+H1169*Rubric!$D$6+I1169*Rubric!$D$7+J1169*Rubric!$D$8+K1169*Rubric!$D$9+L1169*Rubric!$D$10)/5*100,1))</f>
        <v/>
      </c>
      <c r="N1169" s="37" t="str">
        <f aca="false">IF(OR(B1169="",D1169=""),"",IFERROR(IF(IF(E1169="Primary",INDEX(Applications!$I$5:$I$600,MATCH(B1169,Applications!$A$5:$A$600,0)),IF(E1169="Secondary",INDEX(Applications!$J$5:$J$600,MATCH(B1169,Applications!$A$5:$A$600,0)),INDEX(Applications!$K$5:$K$600,MATCH(B1169,Applications!$A$5:$A$600,0))))=D1169,"OK","Not assigned"),"Check ID"))</f>
        <v/>
      </c>
      <c r="O1169" s="7"/>
    </row>
    <row r="1170" customFormat="false" ht="15" hidden="false" customHeight="false" outlineLevel="0" collapsed="false">
      <c r="A1170" s="35"/>
      <c r="B1170" s="35"/>
      <c r="C1170" s="37" t="str">
        <f aca="false">IF(B1170="","",IFERROR(INDEX(Applications!$B$5:$B$600,MATCH(B1170,Applications!$A$5:$A$600,0)),"Application ID not found"))</f>
        <v/>
      </c>
      <c r="D1170" s="35"/>
      <c r="E1170" s="35"/>
      <c r="F1170" s="36"/>
      <c r="G1170" s="35"/>
      <c r="H1170" s="35"/>
      <c r="I1170" s="35"/>
      <c r="J1170" s="35"/>
      <c r="K1170" s="35"/>
      <c r="L1170" s="35"/>
      <c r="M1170" s="50" t="str">
        <f aca="false">IF(COUNT(G1170:L1170)&lt;6,"",ROUND((G1170*Rubric!$D$5+H1170*Rubric!$D$6+I1170*Rubric!$D$7+J1170*Rubric!$D$8+K1170*Rubric!$D$9+L1170*Rubric!$D$10)/5*100,1))</f>
        <v/>
      </c>
      <c r="N1170" s="37" t="str">
        <f aca="false">IF(OR(B1170="",D1170=""),"",IFERROR(IF(IF(E1170="Primary",INDEX(Applications!$I$5:$I$600,MATCH(B1170,Applications!$A$5:$A$600,0)),IF(E1170="Secondary",INDEX(Applications!$J$5:$J$600,MATCH(B1170,Applications!$A$5:$A$600,0)),INDEX(Applications!$K$5:$K$600,MATCH(B1170,Applications!$A$5:$A$600,0))))=D1170,"OK","Not assigned"),"Check ID"))</f>
        <v/>
      </c>
      <c r="O1170" s="7"/>
    </row>
    <row r="1171" customFormat="false" ht="15" hidden="false" customHeight="false" outlineLevel="0" collapsed="false">
      <c r="A1171" s="35"/>
      <c r="B1171" s="35"/>
      <c r="C1171" s="37" t="str">
        <f aca="false">IF(B1171="","",IFERROR(INDEX(Applications!$B$5:$B$600,MATCH(B1171,Applications!$A$5:$A$600,0)),"Application ID not found"))</f>
        <v/>
      </c>
      <c r="D1171" s="35"/>
      <c r="E1171" s="35"/>
      <c r="F1171" s="36"/>
      <c r="G1171" s="35"/>
      <c r="H1171" s="35"/>
      <c r="I1171" s="35"/>
      <c r="J1171" s="35"/>
      <c r="K1171" s="35"/>
      <c r="L1171" s="35"/>
      <c r="M1171" s="50" t="str">
        <f aca="false">IF(COUNT(G1171:L1171)&lt;6,"",ROUND((G1171*Rubric!$D$5+H1171*Rubric!$D$6+I1171*Rubric!$D$7+J1171*Rubric!$D$8+K1171*Rubric!$D$9+L1171*Rubric!$D$10)/5*100,1))</f>
        <v/>
      </c>
      <c r="N1171" s="37" t="str">
        <f aca="false">IF(OR(B1171="",D1171=""),"",IFERROR(IF(IF(E1171="Primary",INDEX(Applications!$I$5:$I$600,MATCH(B1171,Applications!$A$5:$A$600,0)),IF(E1171="Secondary",INDEX(Applications!$J$5:$J$600,MATCH(B1171,Applications!$A$5:$A$600,0)),INDEX(Applications!$K$5:$K$600,MATCH(B1171,Applications!$A$5:$A$600,0))))=D1171,"OK","Not assigned"),"Check ID"))</f>
        <v/>
      </c>
      <c r="O1171" s="7"/>
    </row>
    <row r="1172" customFormat="false" ht="15" hidden="false" customHeight="false" outlineLevel="0" collapsed="false">
      <c r="A1172" s="35"/>
      <c r="B1172" s="35"/>
      <c r="C1172" s="37" t="str">
        <f aca="false">IF(B1172="","",IFERROR(INDEX(Applications!$B$5:$B$600,MATCH(B1172,Applications!$A$5:$A$600,0)),"Application ID not found"))</f>
        <v/>
      </c>
      <c r="D1172" s="35"/>
      <c r="E1172" s="35"/>
      <c r="F1172" s="36"/>
      <c r="G1172" s="35"/>
      <c r="H1172" s="35"/>
      <c r="I1172" s="35"/>
      <c r="J1172" s="35"/>
      <c r="K1172" s="35"/>
      <c r="L1172" s="35"/>
      <c r="M1172" s="50" t="str">
        <f aca="false">IF(COUNT(G1172:L1172)&lt;6,"",ROUND((G1172*Rubric!$D$5+H1172*Rubric!$D$6+I1172*Rubric!$D$7+J1172*Rubric!$D$8+K1172*Rubric!$D$9+L1172*Rubric!$D$10)/5*100,1))</f>
        <v/>
      </c>
      <c r="N1172" s="37" t="str">
        <f aca="false">IF(OR(B1172="",D1172=""),"",IFERROR(IF(IF(E1172="Primary",INDEX(Applications!$I$5:$I$600,MATCH(B1172,Applications!$A$5:$A$600,0)),IF(E1172="Secondary",INDEX(Applications!$J$5:$J$600,MATCH(B1172,Applications!$A$5:$A$600,0)),INDEX(Applications!$K$5:$K$600,MATCH(B1172,Applications!$A$5:$A$600,0))))=D1172,"OK","Not assigned"),"Check ID"))</f>
        <v/>
      </c>
      <c r="O1172" s="7"/>
    </row>
    <row r="1173" customFormat="false" ht="15" hidden="false" customHeight="false" outlineLevel="0" collapsed="false">
      <c r="A1173" s="35"/>
      <c r="B1173" s="35"/>
      <c r="C1173" s="37" t="str">
        <f aca="false">IF(B1173="","",IFERROR(INDEX(Applications!$B$5:$B$600,MATCH(B1173,Applications!$A$5:$A$600,0)),"Application ID not found"))</f>
        <v/>
      </c>
      <c r="D1173" s="35"/>
      <c r="E1173" s="35"/>
      <c r="F1173" s="36"/>
      <c r="G1173" s="35"/>
      <c r="H1173" s="35"/>
      <c r="I1173" s="35"/>
      <c r="J1173" s="35"/>
      <c r="K1173" s="35"/>
      <c r="L1173" s="35"/>
      <c r="M1173" s="50" t="str">
        <f aca="false">IF(COUNT(G1173:L1173)&lt;6,"",ROUND((G1173*Rubric!$D$5+H1173*Rubric!$D$6+I1173*Rubric!$D$7+J1173*Rubric!$D$8+K1173*Rubric!$D$9+L1173*Rubric!$D$10)/5*100,1))</f>
        <v/>
      </c>
      <c r="N1173" s="37" t="str">
        <f aca="false">IF(OR(B1173="",D1173=""),"",IFERROR(IF(IF(E1173="Primary",INDEX(Applications!$I$5:$I$600,MATCH(B1173,Applications!$A$5:$A$600,0)),IF(E1173="Secondary",INDEX(Applications!$J$5:$J$600,MATCH(B1173,Applications!$A$5:$A$600,0)),INDEX(Applications!$K$5:$K$600,MATCH(B1173,Applications!$A$5:$A$600,0))))=D1173,"OK","Not assigned"),"Check ID"))</f>
        <v/>
      </c>
      <c r="O1173" s="7"/>
    </row>
    <row r="1174" customFormat="false" ht="15" hidden="false" customHeight="false" outlineLevel="0" collapsed="false">
      <c r="A1174" s="35"/>
      <c r="B1174" s="35"/>
      <c r="C1174" s="37" t="str">
        <f aca="false">IF(B1174="","",IFERROR(INDEX(Applications!$B$5:$B$600,MATCH(B1174,Applications!$A$5:$A$600,0)),"Application ID not found"))</f>
        <v/>
      </c>
      <c r="D1174" s="35"/>
      <c r="E1174" s="35"/>
      <c r="F1174" s="36"/>
      <c r="G1174" s="35"/>
      <c r="H1174" s="35"/>
      <c r="I1174" s="35"/>
      <c r="J1174" s="35"/>
      <c r="K1174" s="35"/>
      <c r="L1174" s="35"/>
      <c r="M1174" s="50" t="str">
        <f aca="false">IF(COUNT(G1174:L1174)&lt;6,"",ROUND((G1174*Rubric!$D$5+H1174*Rubric!$D$6+I1174*Rubric!$D$7+J1174*Rubric!$D$8+K1174*Rubric!$D$9+L1174*Rubric!$D$10)/5*100,1))</f>
        <v/>
      </c>
      <c r="N1174" s="37" t="str">
        <f aca="false">IF(OR(B1174="",D1174=""),"",IFERROR(IF(IF(E1174="Primary",INDEX(Applications!$I$5:$I$600,MATCH(B1174,Applications!$A$5:$A$600,0)),IF(E1174="Secondary",INDEX(Applications!$J$5:$J$600,MATCH(B1174,Applications!$A$5:$A$600,0)),INDEX(Applications!$K$5:$K$600,MATCH(B1174,Applications!$A$5:$A$600,0))))=D1174,"OK","Not assigned"),"Check ID"))</f>
        <v/>
      </c>
      <c r="O1174" s="7"/>
    </row>
    <row r="1175" customFormat="false" ht="15" hidden="false" customHeight="false" outlineLevel="0" collapsed="false">
      <c r="A1175" s="35"/>
      <c r="B1175" s="35"/>
      <c r="C1175" s="37" t="str">
        <f aca="false">IF(B1175="","",IFERROR(INDEX(Applications!$B$5:$B$600,MATCH(B1175,Applications!$A$5:$A$600,0)),"Application ID not found"))</f>
        <v/>
      </c>
      <c r="D1175" s="35"/>
      <c r="E1175" s="35"/>
      <c r="F1175" s="36"/>
      <c r="G1175" s="35"/>
      <c r="H1175" s="35"/>
      <c r="I1175" s="35"/>
      <c r="J1175" s="35"/>
      <c r="K1175" s="35"/>
      <c r="L1175" s="35"/>
      <c r="M1175" s="50" t="str">
        <f aca="false">IF(COUNT(G1175:L1175)&lt;6,"",ROUND((G1175*Rubric!$D$5+H1175*Rubric!$D$6+I1175*Rubric!$D$7+J1175*Rubric!$D$8+K1175*Rubric!$D$9+L1175*Rubric!$D$10)/5*100,1))</f>
        <v/>
      </c>
      <c r="N1175" s="37" t="str">
        <f aca="false">IF(OR(B1175="",D1175=""),"",IFERROR(IF(IF(E1175="Primary",INDEX(Applications!$I$5:$I$600,MATCH(B1175,Applications!$A$5:$A$600,0)),IF(E1175="Secondary",INDEX(Applications!$J$5:$J$600,MATCH(B1175,Applications!$A$5:$A$600,0)),INDEX(Applications!$K$5:$K$600,MATCH(B1175,Applications!$A$5:$A$600,0))))=D1175,"OK","Not assigned"),"Check ID"))</f>
        <v/>
      </c>
      <c r="O1175" s="7"/>
    </row>
    <row r="1176" customFormat="false" ht="15" hidden="false" customHeight="false" outlineLevel="0" collapsed="false">
      <c r="A1176" s="35"/>
      <c r="B1176" s="35"/>
      <c r="C1176" s="37" t="str">
        <f aca="false">IF(B1176="","",IFERROR(INDEX(Applications!$B$5:$B$600,MATCH(B1176,Applications!$A$5:$A$600,0)),"Application ID not found"))</f>
        <v/>
      </c>
      <c r="D1176" s="35"/>
      <c r="E1176" s="35"/>
      <c r="F1176" s="36"/>
      <c r="G1176" s="35"/>
      <c r="H1176" s="35"/>
      <c r="I1176" s="35"/>
      <c r="J1176" s="35"/>
      <c r="K1176" s="35"/>
      <c r="L1176" s="35"/>
      <c r="M1176" s="50" t="str">
        <f aca="false">IF(COUNT(G1176:L1176)&lt;6,"",ROUND((G1176*Rubric!$D$5+H1176*Rubric!$D$6+I1176*Rubric!$D$7+J1176*Rubric!$D$8+K1176*Rubric!$D$9+L1176*Rubric!$D$10)/5*100,1))</f>
        <v/>
      </c>
      <c r="N1176" s="37" t="str">
        <f aca="false">IF(OR(B1176="",D1176=""),"",IFERROR(IF(IF(E1176="Primary",INDEX(Applications!$I$5:$I$600,MATCH(B1176,Applications!$A$5:$A$600,0)),IF(E1176="Secondary",INDEX(Applications!$J$5:$J$600,MATCH(B1176,Applications!$A$5:$A$600,0)),INDEX(Applications!$K$5:$K$600,MATCH(B1176,Applications!$A$5:$A$600,0))))=D1176,"OK","Not assigned"),"Check ID"))</f>
        <v/>
      </c>
      <c r="O1176" s="7"/>
    </row>
    <row r="1177" customFormat="false" ht="15" hidden="false" customHeight="false" outlineLevel="0" collapsed="false">
      <c r="A1177" s="35"/>
      <c r="B1177" s="35"/>
      <c r="C1177" s="37" t="str">
        <f aca="false">IF(B1177="","",IFERROR(INDEX(Applications!$B$5:$B$600,MATCH(B1177,Applications!$A$5:$A$600,0)),"Application ID not found"))</f>
        <v/>
      </c>
      <c r="D1177" s="35"/>
      <c r="E1177" s="35"/>
      <c r="F1177" s="36"/>
      <c r="G1177" s="35"/>
      <c r="H1177" s="35"/>
      <c r="I1177" s="35"/>
      <c r="J1177" s="35"/>
      <c r="K1177" s="35"/>
      <c r="L1177" s="35"/>
      <c r="M1177" s="50" t="str">
        <f aca="false">IF(COUNT(G1177:L1177)&lt;6,"",ROUND((G1177*Rubric!$D$5+H1177*Rubric!$D$6+I1177*Rubric!$D$7+J1177*Rubric!$D$8+K1177*Rubric!$D$9+L1177*Rubric!$D$10)/5*100,1))</f>
        <v/>
      </c>
      <c r="N1177" s="37" t="str">
        <f aca="false">IF(OR(B1177="",D1177=""),"",IFERROR(IF(IF(E1177="Primary",INDEX(Applications!$I$5:$I$600,MATCH(B1177,Applications!$A$5:$A$600,0)),IF(E1177="Secondary",INDEX(Applications!$J$5:$J$600,MATCH(B1177,Applications!$A$5:$A$600,0)),INDEX(Applications!$K$5:$K$600,MATCH(B1177,Applications!$A$5:$A$600,0))))=D1177,"OK","Not assigned"),"Check ID"))</f>
        <v/>
      </c>
      <c r="O1177" s="7"/>
    </row>
    <row r="1178" customFormat="false" ht="15" hidden="false" customHeight="false" outlineLevel="0" collapsed="false">
      <c r="A1178" s="35"/>
      <c r="B1178" s="35"/>
      <c r="C1178" s="37" t="str">
        <f aca="false">IF(B1178="","",IFERROR(INDEX(Applications!$B$5:$B$600,MATCH(B1178,Applications!$A$5:$A$600,0)),"Application ID not found"))</f>
        <v/>
      </c>
      <c r="D1178" s="35"/>
      <c r="E1178" s="35"/>
      <c r="F1178" s="36"/>
      <c r="G1178" s="35"/>
      <c r="H1178" s="35"/>
      <c r="I1178" s="35"/>
      <c r="J1178" s="35"/>
      <c r="K1178" s="35"/>
      <c r="L1178" s="35"/>
      <c r="M1178" s="50" t="str">
        <f aca="false">IF(COUNT(G1178:L1178)&lt;6,"",ROUND((G1178*Rubric!$D$5+H1178*Rubric!$D$6+I1178*Rubric!$D$7+J1178*Rubric!$D$8+K1178*Rubric!$D$9+L1178*Rubric!$D$10)/5*100,1))</f>
        <v/>
      </c>
      <c r="N1178" s="37" t="str">
        <f aca="false">IF(OR(B1178="",D1178=""),"",IFERROR(IF(IF(E1178="Primary",INDEX(Applications!$I$5:$I$600,MATCH(B1178,Applications!$A$5:$A$600,0)),IF(E1178="Secondary",INDEX(Applications!$J$5:$J$600,MATCH(B1178,Applications!$A$5:$A$600,0)),INDEX(Applications!$K$5:$K$600,MATCH(B1178,Applications!$A$5:$A$600,0))))=D1178,"OK","Not assigned"),"Check ID"))</f>
        <v/>
      </c>
      <c r="O1178" s="7"/>
    </row>
    <row r="1179" customFormat="false" ht="15" hidden="false" customHeight="false" outlineLevel="0" collapsed="false">
      <c r="A1179" s="35"/>
      <c r="B1179" s="35"/>
      <c r="C1179" s="37" t="str">
        <f aca="false">IF(B1179="","",IFERROR(INDEX(Applications!$B$5:$B$600,MATCH(B1179,Applications!$A$5:$A$600,0)),"Application ID not found"))</f>
        <v/>
      </c>
      <c r="D1179" s="35"/>
      <c r="E1179" s="35"/>
      <c r="F1179" s="36"/>
      <c r="G1179" s="35"/>
      <c r="H1179" s="35"/>
      <c r="I1179" s="35"/>
      <c r="J1179" s="35"/>
      <c r="K1179" s="35"/>
      <c r="L1179" s="35"/>
      <c r="M1179" s="50" t="str">
        <f aca="false">IF(COUNT(G1179:L1179)&lt;6,"",ROUND((G1179*Rubric!$D$5+H1179*Rubric!$D$6+I1179*Rubric!$D$7+J1179*Rubric!$D$8+K1179*Rubric!$D$9+L1179*Rubric!$D$10)/5*100,1))</f>
        <v/>
      </c>
      <c r="N1179" s="37" t="str">
        <f aca="false">IF(OR(B1179="",D1179=""),"",IFERROR(IF(IF(E1179="Primary",INDEX(Applications!$I$5:$I$600,MATCH(B1179,Applications!$A$5:$A$600,0)),IF(E1179="Secondary",INDEX(Applications!$J$5:$J$600,MATCH(B1179,Applications!$A$5:$A$600,0)),INDEX(Applications!$K$5:$K$600,MATCH(B1179,Applications!$A$5:$A$600,0))))=D1179,"OK","Not assigned"),"Check ID"))</f>
        <v/>
      </c>
      <c r="O1179" s="7"/>
    </row>
    <row r="1180" customFormat="false" ht="15" hidden="false" customHeight="false" outlineLevel="0" collapsed="false">
      <c r="A1180" s="35"/>
      <c r="B1180" s="35"/>
      <c r="C1180" s="37" t="str">
        <f aca="false">IF(B1180="","",IFERROR(INDEX(Applications!$B$5:$B$600,MATCH(B1180,Applications!$A$5:$A$600,0)),"Application ID not found"))</f>
        <v/>
      </c>
      <c r="D1180" s="35"/>
      <c r="E1180" s="35"/>
      <c r="F1180" s="36"/>
      <c r="G1180" s="35"/>
      <c r="H1180" s="35"/>
      <c r="I1180" s="35"/>
      <c r="J1180" s="35"/>
      <c r="K1180" s="35"/>
      <c r="L1180" s="35"/>
      <c r="M1180" s="50" t="str">
        <f aca="false">IF(COUNT(G1180:L1180)&lt;6,"",ROUND((G1180*Rubric!$D$5+H1180*Rubric!$D$6+I1180*Rubric!$D$7+J1180*Rubric!$D$8+K1180*Rubric!$D$9+L1180*Rubric!$D$10)/5*100,1))</f>
        <v/>
      </c>
      <c r="N1180" s="37" t="str">
        <f aca="false">IF(OR(B1180="",D1180=""),"",IFERROR(IF(IF(E1180="Primary",INDEX(Applications!$I$5:$I$600,MATCH(B1180,Applications!$A$5:$A$600,0)),IF(E1180="Secondary",INDEX(Applications!$J$5:$J$600,MATCH(B1180,Applications!$A$5:$A$600,0)),INDEX(Applications!$K$5:$K$600,MATCH(B1180,Applications!$A$5:$A$600,0))))=D1180,"OK","Not assigned"),"Check ID"))</f>
        <v/>
      </c>
      <c r="O1180" s="7"/>
    </row>
    <row r="1181" customFormat="false" ht="15" hidden="false" customHeight="false" outlineLevel="0" collapsed="false">
      <c r="A1181" s="35"/>
      <c r="B1181" s="35"/>
      <c r="C1181" s="37" t="str">
        <f aca="false">IF(B1181="","",IFERROR(INDEX(Applications!$B$5:$B$600,MATCH(B1181,Applications!$A$5:$A$600,0)),"Application ID not found"))</f>
        <v/>
      </c>
      <c r="D1181" s="35"/>
      <c r="E1181" s="35"/>
      <c r="F1181" s="36"/>
      <c r="G1181" s="35"/>
      <c r="H1181" s="35"/>
      <c r="I1181" s="35"/>
      <c r="J1181" s="35"/>
      <c r="K1181" s="35"/>
      <c r="L1181" s="35"/>
      <c r="M1181" s="50" t="str">
        <f aca="false">IF(COUNT(G1181:L1181)&lt;6,"",ROUND((G1181*Rubric!$D$5+H1181*Rubric!$D$6+I1181*Rubric!$D$7+J1181*Rubric!$D$8+K1181*Rubric!$D$9+L1181*Rubric!$D$10)/5*100,1))</f>
        <v/>
      </c>
      <c r="N1181" s="37" t="str">
        <f aca="false">IF(OR(B1181="",D1181=""),"",IFERROR(IF(IF(E1181="Primary",INDEX(Applications!$I$5:$I$600,MATCH(B1181,Applications!$A$5:$A$600,0)),IF(E1181="Secondary",INDEX(Applications!$J$5:$J$600,MATCH(B1181,Applications!$A$5:$A$600,0)),INDEX(Applications!$K$5:$K$600,MATCH(B1181,Applications!$A$5:$A$600,0))))=D1181,"OK","Not assigned"),"Check ID"))</f>
        <v/>
      </c>
      <c r="O1181" s="7"/>
    </row>
    <row r="1182" customFormat="false" ht="15" hidden="false" customHeight="false" outlineLevel="0" collapsed="false">
      <c r="A1182" s="35"/>
      <c r="B1182" s="35"/>
      <c r="C1182" s="37" t="str">
        <f aca="false">IF(B1182="","",IFERROR(INDEX(Applications!$B$5:$B$600,MATCH(B1182,Applications!$A$5:$A$600,0)),"Application ID not found"))</f>
        <v/>
      </c>
      <c r="D1182" s="35"/>
      <c r="E1182" s="35"/>
      <c r="F1182" s="36"/>
      <c r="G1182" s="35"/>
      <c r="H1182" s="35"/>
      <c r="I1182" s="35"/>
      <c r="J1182" s="35"/>
      <c r="K1182" s="35"/>
      <c r="L1182" s="35"/>
      <c r="M1182" s="50" t="str">
        <f aca="false">IF(COUNT(G1182:L1182)&lt;6,"",ROUND((G1182*Rubric!$D$5+H1182*Rubric!$D$6+I1182*Rubric!$D$7+J1182*Rubric!$D$8+K1182*Rubric!$D$9+L1182*Rubric!$D$10)/5*100,1))</f>
        <v/>
      </c>
      <c r="N1182" s="37" t="str">
        <f aca="false">IF(OR(B1182="",D1182=""),"",IFERROR(IF(IF(E1182="Primary",INDEX(Applications!$I$5:$I$600,MATCH(B1182,Applications!$A$5:$A$600,0)),IF(E1182="Secondary",INDEX(Applications!$J$5:$J$600,MATCH(B1182,Applications!$A$5:$A$600,0)),INDEX(Applications!$K$5:$K$600,MATCH(B1182,Applications!$A$5:$A$600,0))))=D1182,"OK","Not assigned"),"Check ID"))</f>
        <v/>
      </c>
      <c r="O1182" s="7"/>
    </row>
    <row r="1183" customFormat="false" ht="15" hidden="false" customHeight="false" outlineLevel="0" collapsed="false">
      <c r="A1183" s="35"/>
      <c r="B1183" s="35"/>
      <c r="C1183" s="37" t="str">
        <f aca="false">IF(B1183="","",IFERROR(INDEX(Applications!$B$5:$B$600,MATCH(B1183,Applications!$A$5:$A$600,0)),"Application ID not found"))</f>
        <v/>
      </c>
      <c r="D1183" s="35"/>
      <c r="E1183" s="35"/>
      <c r="F1183" s="36"/>
      <c r="G1183" s="35"/>
      <c r="H1183" s="35"/>
      <c r="I1183" s="35"/>
      <c r="J1183" s="35"/>
      <c r="K1183" s="35"/>
      <c r="L1183" s="35"/>
      <c r="M1183" s="50" t="str">
        <f aca="false">IF(COUNT(G1183:L1183)&lt;6,"",ROUND((G1183*Rubric!$D$5+H1183*Rubric!$D$6+I1183*Rubric!$D$7+J1183*Rubric!$D$8+K1183*Rubric!$D$9+L1183*Rubric!$D$10)/5*100,1))</f>
        <v/>
      </c>
      <c r="N1183" s="37" t="str">
        <f aca="false">IF(OR(B1183="",D1183=""),"",IFERROR(IF(IF(E1183="Primary",INDEX(Applications!$I$5:$I$600,MATCH(B1183,Applications!$A$5:$A$600,0)),IF(E1183="Secondary",INDEX(Applications!$J$5:$J$600,MATCH(B1183,Applications!$A$5:$A$600,0)),INDEX(Applications!$K$5:$K$600,MATCH(B1183,Applications!$A$5:$A$600,0))))=D1183,"OK","Not assigned"),"Check ID"))</f>
        <v/>
      </c>
      <c r="O1183" s="7"/>
    </row>
    <row r="1184" customFormat="false" ht="15" hidden="false" customHeight="false" outlineLevel="0" collapsed="false">
      <c r="A1184" s="35"/>
      <c r="B1184" s="35"/>
      <c r="C1184" s="37" t="str">
        <f aca="false">IF(B1184="","",IFERROR(INDEX(Applications!$B$5:$B$600,MATCH(B1184,Applications!$A$5:$A$600,0)),"Application ID not found"))</f>
        <v/>
      </c>
      <c r="D1184" s="35"/>
      <c r="E1184" s="35"/>
      <c r="F1184" s="36"/>
      <c r="G1184" s="35"/>
      <c r="H1184" s="35"/>
      <c r="I1184" s="35"/>
      <c r="J1184" s="35"/>
      <c r="K1184" s="35"/>
      <c r="L1184" s="35"/>
      <c r="M1184" s="50" t="str">
        <f aca="false">IF(COUNT(G1184:L1184)&lt;6,"",ROUND((G1184*Rubric!$D$5+H1184*Rubric!$D$6+I1184*Rubric!$D$7+J1184*Rubric!$D$8+K1184*Rubric!$D$9+L1184*Rubric!$D$10)/5*100,1))</f>
        <v/>
      </c>
      <c r="N1184" s="37" t="str">
        <f aca="false">IF(OR(B1184="",D1184=""),"",IFERROR(IF(IF(E1184="Primary",INDEX(Applications!$I$5:$I$600,MATCH(B1184,Applications!$A$5:$A$600,0)),IF(E1184="Secondary",INDEX(Applications!$J$5:$J$600,MATCH(B1184,Applications!$A$5:$A$600,0)),INDEX(Applications!$K$5:$K$600,MATCH(B1184,Applications!$A$5:$A$600,0))))=D1184,"OK","Not assigned"),"Check ID"))</f>
        <v/>
      </c>
      <c r="O1184" s="7"/>
    </row>
    <row r="1185" customFormat="false" ht="15" hidden="false" customHeight="false" outlineLevel="0" collapsed="false">
      <c r="A1185" s="35"/>
      <c r="B1185" s="35"/>
      <c r="C1185" s="37" t="str">
        <f aca="false">IF(B1185="","",IFERROR(INDEX(Applications!$B$5:$B$600,MATCH(B1185,Applications!$A$5:$A$600,0)),"Application ID not found"))</f>
        <v/>
      </c>
      <c r="D1185" s="35"/>
      <c r="E1185" s="35"/>
      <c r="F1185" s="36"/>
      <c r="G1185" s="35"/>
      <c r="H1185" s="35"/>
      <c r="I1185" s="35"/>
      <c r="J1185" s="35"/>
      <c r="K1185" s="35"/>
      <c r="L1185" s="35"/>
      <c r="M1185" s="50" t="str">
        <f aca="false">IF(COUNT(G1185:L1185)&lt;6,"",ROUND((G1185*Rubric!$D$5+H1185*Rubric!$D$6+I1185*Rubric!$D$7+J1185*Rubric!$D$8+K1185*Rubric!$D$9+L1185*Rubric!$D$10)/5*100,1))</f>
        <v/>
      </c>
      <c r="N1185" s="37" t="str">
        <f aca="false">IF(OR(B1185="",D1185=""),"",IFERROR(IF(IF(E1185="Primary",INDEX(Applications!$I$5:$I$600,MATCH(B1185,Applications!$A$5:$A$600,0)),IF(E1185="Secondary",INDEX(Applications!$J$5:$J$600,MATCH(B1185,Applications!$A$5:$A$600,0)),INDEX(Applications!$K$5:$K$600,MATCH(B1185,Applications!$A$5:$A$600,0))))=D1185,"OK","Not assigned"),"Check ID"))</f>
        <v/>
      </c>
      <c r="O1185" s="7"/>
    </row>
    <row r="1186" customFormat="false" ht="15" hidden="false" customHeight="false" outlineLevel="0" collapsed="false">
      <c r="A1186" s="35"/>
      <c r="B1186" s="35"/>
      <c r="C1186" s="37" t="str">
        <f aca="false">IF(B1186="","",IFERROR(INDEX(Applications!$B$5:$B$600,MATCH(B1186,Applications!$A$5:$A$600,0)),"Application ID not found"))</f>
        <v/>
      </c>
      <c r="D1186" s="35"/>
      <c r="E1186" s="35"/>
      <c r="F1186" s="36"/>
      <c r="G1186" s="35"/>
      <c r="H1186" s="35"/>
      <c r="I1186" s="35"/>
      <c r="J1186" s="35"/>
      <c r="K1186" s="35"/>
      <c r="L1186" s="35"/>
      <c r="M1186" s="50" t="str">
        <f aca="false">IF(COUNT(G1186:L1186)&lt;6,"",ROUND((G1186*Rubric!$D$5+H1186*Rubric!$D$6+I1186*Rubric!$D$7+J1186*Rubric!$D$8+K1186*Rubric!$D$9+L1186*Rubric!$D$10)/5*100,1))</f>
        <v/>
      </c>
      <c r="N1186" s="37" t="str">
        <f aca="false">IF(OR(B1186="",D1186=""),"",IFERROR(IF(IF(E1186="Primary",INDEX(Applications!$I$5:$I$600,MATCH(B1186,Applications!$A$5:$A$600,0)),IF(E1186="Secondary",INDEX(Applications!$J$5:$J$600,MATCH(B1186,Applications!$A$5:$A$600,0)),INDEX(Applications!$K$5:$K$600,MATCH(B1186,Applications!$A$5:$A$600,0))))=D1186,"OK","Not assigned"),"Check ID"))</f>
        <v/>
      </c>
      <c r="O1186" s="7"/>
    </row>
    <row r="1187" customFormat="false" ht="15" hidden="false" customHeight="false" outlineLevel="0" collapsed="false">
      <c r="A1187" s="35"/>
      <c r="B1187" s="35"/>
      <c r="C1187" s="37" t="str">
        <f aca="false">IF(B1187="","",IFERROR(INDEX(Applications!$B$5:$B$600,MATCH(B1187,Applications!$A$5:$A$600,0)),"Application ID not found"))</f>
        <v/>
      </c>
      <c r="D1187" s="35"/>
      <c r="E1187" s="35"/>
      <c r="F1187" s="36"/>
      <c r="G1187" s="35"/>
      <c r="H1187" s="35"/>
      <c r="I1187" s="35"/>
      <c r="J1187" s="35"/>
      <c r="K1187" s="35"/>
      <c r="L1187" s="35"/>
      <c r="M1187" s="50" t="str">
        <f aca="false">IF(COUNT(G1187:L1187)&lt;6,"",ROUND((G1187*Rubric!$D$5+H1187*Rubric!$D$6+I1187*Rubric!$D$7+J1187*Rubric!$D$8+K1187*Rubric!$D$9+L1187*Rubric!$D$10)/5*100,1))</f>
        <v/>
      </c>
      <c r="N1187" s="37" t="str">
        <f aca="false">IF(OR(B1187="",D1187=""),"",IFERROR(IF(IF(E1187="Primary",INDEX(Applications!$I$5:$I$600,MATCH(B1187,Applications!$A$5:$A$600,0)),IF(E1187="Secondary",INDEX(Applications!$J$5:$J$600,MATCH(B1187,Applications!$A$5:$A$600,0)),INDEX(Applications!$K$5:$K$600,MATCH(B1187,Applications!$A$5:$A$600,0))))=D1187,"OK","Not assigned"),"Check ID"))</f>
        <v/>
      </c>
      <c r="O1187" s="7"/>
    </row>
    <row r="1188" customFormat="false" ht="15" hidden="false" customHeight="false" outlineLevel="0" collapsed="false">
      <c r="A1188" s="35"/>
      <c r="B1188" s="35"/>
      <c r="C1188" s="37" t="str">
        <f aca="false">IF(B1188="","",IFERROR(INDEX(Applications!$B$5:$B$600,MATCH(B1188,Applications!$A$5:$A$600,0)),"Application ID not found"))</f>
        <v/>
      </c>
      <c r="D1188" s="35"/>
      <c r="E1188" s="35"/>
      <c r="F1188" s="36"/>
      <c r="G1188" s="35"/>
      <c r="H1188" s="35"/>
      <c r="I1188" s="35"/>
      <c r="J1188" s="35"/>
      <c r="K1188" s="35"/>
      <c r="L1188" s="35"/>
      <c r="M1188" s="50" t="str">
        <f aca="false">IF(COUNT(G1188:L1188)&lt;6,"",ROUND((G1188*Rubric!$D$5+H1188*Rubric!$D$6+I1188*Rubric!$D$7+J1188*Rubric!$D$8+K1188*Rubric!$D$9+L1188*Rubric!$D$10)/5*100,1))</f>
        <v/>
      </c>
      <c r="N1188" s="37" t="str">
        <f aca="false">IF(OR(B1188="",D1188=""),"",IFERROR(IF(IF(E1188="Primary",INDEX(Applications!$I$5:$I$600,MATCH(B1188,Applications!$A$5:$A$600,0)),IF(E1188="Secondary",INDEX(Applications!$J$5:$J$600,MATCH(B1188,Applications!$A$5:$A$600,0)),INDEX(Applications!$K$5:$K$600,MATCH(B1188,Applications!$A$5:$A$600,0))))=D1188,"OK","Not assigned"),"Check ID"))</f>
        <v/>
      </c>
      <c r="O1188" s="7"/>
    </row>
    <row r="1189" customFormat="false" ht="15" hidden="false" customHeight="false" outlineLevel="0" collapsed="false">
      <c r="A1189" s="35"/>
      <c r="B1189" s="35"/>
      <c r="C1189" s="37" t="str">
        <f aca="false">IF(B1189="","",IFERROR(INDEX(Applications!$B$5:$B$600,MATCH(B1189,Applications!$A$5:$A$600,0)),"Application ID not found"))</f>
        <v/>
      </c>
      <c r="D1189" s="35"/>
      <c r="E1189" s="35"/>
      <c r="F1189" s="36"/>
      <c r="G1189" s="35"/>
      <c r="H1189" s="35"/>
      <c r="I1189" s="35"/>
      <c r="J1189" s="35"/>
      <c r="K1189" s="35"/>
      <c r="L1189" s="35"/>
      <c r="M1189" s="50" t="str">
        <f aca="false">IF(COUNT(G1189:L1189)&lt;6,"",ROUND((G1189*Rubric!$D$5+H1189*Rubric!$D$6+I1189*Rubric!$D$7+J1189*Rubric!$D$8+K1189*Rubric!$D$9+L1189*Rubric!$D$10)/5*100,1))</f>
        <v/>
      </c>
      <c r="N1189" s="37" t="str">
        <f aca="false">IF(OR(B1189="",D1189=""),"",IFERROR(IF(IF(E1189="Primary",INDEX(Applications!$I$5:$I$600,MATCH(B1189,Applications!$A$5:$A$600,0)),IF(E1189="Secondary",INDEX(Applications!$J$5:$J$600,MATCH(B1189,Applications!$A$5:$A$600,0)),INDEX(Applications!$K$5:$K$600,MATCH(B1189,Applications!$A$5:$A$600,0))))=D1189,"OK","Not assigned"),"Check ID"))</f>
        <v/>
      </c>
      <c r="O1189" s="7"/>
    </row>
    <row r="1190" customFormat="false" ht="15" hidden="false" customHeight="false" outlineLevel="0" collapsed="false">
      <c r="A1190" s="35"/>
      <c r="B1190" s="35"/>
      <c r="C1190" s="37" t="str">
        <f aca="false">IF(B1190="","",IFERROR(INDEX(Applications!$B$5:$B$600,MATCH(B1190,Applications!$A$5:$A$600,0)),"Application ID not found"))</f>
        <v/>
      </c>
      <c r="D1190" s="35"/>
      <c r="E1190" s="35"/>
      <c r="F1190" s="36"/>
      <c r="G1190" s="35"/>
      <c r="H1190" s="35"/>
      <c r="I1190" s="35"/>
      <c r="J1190" s="35"/>
      <c r="K1190" s="35"/>
      <c r="L1190" s="35"/>
      <c r="M1190" s="50" t="str">
        <f aca="false">IF(COUNT(G1190:L1190)&lt;6,"",ROUND((G1190*Rubric!$D$5+H1190*Rubric!$D$6+I1190*Rubric!$D$7+J1190*Rubric!$D$8+K1190*Rubric!$D$9+L1190*Rubric!$D$10)/5*100,1))</f>
        <v/>
      </c>
      <c r="N1190" s="37" t="str">
        <f aca="false">IF(OR(B1190="",D1190=""),"",IFERROR(IF(IF(E1190="Primary",INDEX(Applications!$I$5:$I$600,MATCH(B1190,Applications!$A$5:$A$600,0)),IF(E1190="Secondary",INDEX(Applications!$J$5:$J$600,MATCH(B1190,Applications!$A$5:$A$600,0)),INDEX(Applications!$K$5:$K$600,MATCH(B1190,Applications!$A$5:$A$600,0))))=D1190,"OK","Not assigned"),"Check ID"))</f>
        <v/>
      </c>
      <c r="O1190" s="7"/>
    </row>
    <row r="1191" customFormat="false" ht="15" hidden="false" customHeight="false" outlineLevel="0" collapsed="false">
      <c r="A1191" s="35"/>
      <c r="B1191" s="35"/>
      <c r="C1191" s="37" t="str">
        <f aca="false">IF(B1191="","",IFERROR(INDEX(Applications!$B$5:$B$600,MATCH(B1191,Applications!$A$5:$A$600,0)),"Application ID not found"))</f>
        <v/>
      </c>
      <c r="D1191" s="35"/>
      <c r="E1191" s="35"/>
      <c r="F1191" s="36"/>
      <c r="G1191" s="35"/>
      <c r="H1191" s="35"/>
      <c r="I1191" s="35"/>
      <c r="J1191" s="35"/>
      <c r="K1191" s="35"/>
      <c r="L1191" s="35"/>
      <c r="M1191" s="50" t="str">
        <f aca="false">IF(COUNT(G1191:L1191)&lt;6,"",ROUND((G1191*Rubric!$D$5+H1191*Rubric!$D$6+I1191*Rubric!$D$7+J1191*Rubric!$D$8+K1191*Rubric!$D$9+L1191*Rubric!$D$10)/5*100,1))</f>
        <v/>
      </c>
      <c r="N1191" s="37" t="str">
        <f aca="false">IF(OR(B1191="",D1191=""),"",IFERROR(IF(IF(E1191="Primary",INDEX(Applications!$I$5:$I$600,MATCH(B1191,Applications!$A$5:$A$600,0)),IF(E1191="Secondary",INDEX(Applications!$J$5:$J$600,MATCH(B1191,Applications!$A$5:$A$600,0)),INDEX(Applications!$K$5:$K$600,MATCH(B1191,Applications!$A$5:$A$600,0))))=D1191,"OK","Not assigned"),"Check ID"))</f>
        <v/>
      </c>
      <c r="O1191" s="7"/>
    </row>
    <row r="1192" customFormat="false" ht="15" hidden="false" customHeight="false" outlineLevel="0" collapsed="false">
      <c r="A1192" s="35"/>
      <c r="B1192" s="35"/>
      <c r="C1192" s="37" t="str">
        <f aca="false">IF(B1192="","",IFERROR(INDEX(Applications!$B$5:$B$600,MATCH(B1192,Applications!$A$5:$A$600,0)),"Application ID not found"))</f>
        <v/>
      </c>
      <c r="D1192" s="35"/>
      <c r="E1192" s="35"/>
      <c r="F1192" s="36"/>
      <c r="G1192" s="35"/>
      <c r="H1192" s="35"/>
      <c r="I1192" s="35"/>
      <c r="J1192" s="35"/>
      <c r="K1192" s="35"/>
      <c r="L1192" s="35"/>
      <c r="M1192" s="50" t="str">
        <f aca="false">IF(COUNT(G1192:L1192)&lt;6,"",ROUND((G1192*Rubric!$D$5+H1192*Rubric!$D$6+I1192*Rubric!$D$7+J1192*Rubric!$D$8+K1192*Rubric!$D$9+L1192*Rubric!$D$10)/5*100,1))</f>
        <v/>
      </c>
      <c r="N1192" s="37" t="str">
        <f aca="false">IF(OR(B1192="",D1192=""),"",IFERROR(IF(IF(E1192="Primary",INDEX(Applications!$I$5:$I$600,MATCH(B1192,Applications!$A$5:$A$600,0)),IF(E1192="Secondary",INDEX(Applications!$J$5:$J$600,MATCH(B1192,Applications!$A$5:$A$600,0)),INDEX(Applications!$K$5:$K$600,MATCH(B1192,Applications!$A$5:$A$600,0))))=D1192,"OK","Not assigned"),"Check ID"))</f>
        <v/>
      </c>
      <c r="O1192" s="7"/>
    </row>
    <row r="1193" customFormat="false" ht="15" hidden="false" customHeight="false" outlineLevel="0" collapsed="false">
      <c r="A1193" s="35"/>
      <c r="B1193" s="35"/>
      <c r="C1193" s="37" t="str">
        <f aca="false">IF(B1193="","",IFERROR(INDEX(Applications!$B$5:$B$600,MATCH(B1193,Applications!$A$5:$A$600,0)),"Application ID not found"))</f>
        <v/>
      </c>
      <c r="D1193" s="35"/>
      <c r="E1193" s="35"/>
      <c r="F1193" s="36"/>
      <c r="G1193" s="35"/>
      <c r="H1193" s="35"/>
      <c r="I1193" s="35"/>
      <c r="J1193" s="35"/>
      <c r="K1193" s="35"/>
      <c r="L1193" s="35"/>
      <c r="M1193" s="50" t="str">
        <f aca="false">IF(COUNT(G1193:L1193)&lt;6,"",ROUND((G1193*Rubric!$D$5+H1193*Rubric!$D$6+I1193*Rubric!$D$7+J1193*Rubric!$D$8+K1193*Rubric!$D$9+L1193*Rubric!$D$10)/5*100,1))</f>
        <v/>
      </c>
      <c r="N1193" s="37" t="str">
        <f aca="false">IF(OR(B1193="",D1193=""),"",IFERROR(IF(IF(E1193="Primary",INDEX(Applications!$I$5:$I$600,MATCH(B1193,Applications!$A$5:$A$600,0)),IF(E1193="Secondary",INDEX(Applications!$J$5:$J$600,MATCH(B1193,Applications!$A$5:$A$600,0)),INDEX(Applications!$K$5:$K$600,MATCH(B1193,Applications!$A$5:$A$600,0))))=D1193,"OK","Not assigned"),"Check ID"))</f>
        <v/>
      </c>
      <c r="O1193" s="7"/>
    </row>
    <row r="1194" customFormat="false" ht="15" hidden="false" customHeight="false" outlineLevel="0" collapsed="false">
      <c r="A1194" s="35"/>
      <c r="B1194" s="35"/>
      <c r="C1194" s="37" t="str">
        <f aca="false">IF(B1194="","",IFERROR(INDEX(Applications!$B$5:$B$600,MATCH(B1194,Applications!$A$5:$A$600,0)),"Application ID not found"))</f>
        <v/>
      </c>
      <c r="D1194" s="35"/>
      <c r="E1194" s="35"/>
      <c r="F1194" s="36"/>
      <c r="G1194" s="35"/>
      <c r="H1194" s="35"/>
      <c r="I1194" s="35"/>
      <c r="J1194" s="35"/>
      <c r="K1194" s="35"/>
      <c r="L1194" s="35"/>
      <c r="M1194" s="50" t="str">
        <f aca="false">IF(COUNT(G1194:L1194)&lt;6,"",ROUND((G1194*Rubric!$D$5+H1194*Rubric!$D$6+I1194*Rubric!$D$7+J1194*Rubric!$D$8+K1194*Rubric!$D$9+L1194*Rubric!$D$10)/5*100,1))</f>
        <v/>
      </c>
      <c r="N1194" s="37" t="str">
        <f aca="false">IF(OR(B1194="",D1194=""),"",IFERROR(IF(IF(E1194="Primary",INDEX(Applications!$I$5:$I$600,MATCH(B1194,Applications!$A$5:$A$600,0)),IF(E1194="Secondary",INDEX(Applications!$J$5:$J$600,MATCH(B1194,Applications!$A$5:$A$600,0)),INDEX(Applications!$K$5:$K$600,MATCH(B1194,Applications!$A$5:$A$600,0))))=D1194,"OK","Not assigned"),"Check ID"))</f>
        <v/>
      </c>
      <c r="O1194" s="7"/>
    </row>
    <row r="1195" customFormat="false" ht="15" hidden="false" customHeight="false" outlineLevel="0" collapsed="false">
      <c r="A1195" s="35"/>
      <c r="B1195" s="35"/>
      <c r="C1195" s="37" t="str">
        <f aca="false">IF(B1195="","",IFERROR(INDEX(Applications!$B$5:$B$600,MATCH(B1195,Applications!$A$5:$A$600,0)),"Application ID not found"))</f>
        <v/>
      </c>
      <c r="D1195" s="35"/>
      <c r="E1195" s="35"/>
      <c r="F1195" s="36"/>
      <c r="G1195" s="35"/>
      <c r="H1195" s="35"/>
      <c r="I1195" s="35"/>
      <c r="J1195" s="35"/>
      <c r="K1195" s="35"/>
      <c r="L1195" s="35"/>
      <c r="M1195" s="50" t="str">
        <f aca="false">IF(COUNT(G1195:L1195)&lt;6,"",ROUND((G1195*Rubric!$D$5+H1195*Rubric!$D$6+I1195*Rubric!$D$7+J1195*Rubric!$D$8+K1195*Rubric!$D$9+L1195*Rubric!$D$10)/5*100,1))</f>
        <v/>
      </c>
      <c r="N1195" s="37" t="str">
        <f aca="false">IF(OR(B1195="",D1195=""),"",IFERROR(IF(IF(E1195="Primary",INDEX(Applications!$I$5:$I$600,MATCH(B1195,Applications!$A$5:$A$600,0)),IF(E1195="Secondary",INDEX(Applications!$J$5:$J$600,MATCH(B1195,Applications!$A$5:$A$600,0)),INDEX(Applications!$K$5:$K$600,MATCH(B1195,Applications!$A$5:$A$600,0))))=D1195,"OK","Not assigned"),"Check ID"))</f>
        <v/>
      </c>
      <c r="O1195" s="7"/>
    </row>
    <row r="1196" customFormat="false" ht="15" hidden="false" customHeight="false" outlineLevel="0" collapsed="false">
      <c r="A1196" s="35"/>
      <c r="B1196" s="35"/>
      <c r="C1196" s="37" t="str">
        <f aca="false">IF(B1196="","",IFERROR(INDEX(Applications!$B$5:$B$600,MATCH(B1196,Applications!$A$5:$A$600,0)),"Application ID not found"))</f>
        <v/>
      </c>
      <c r="D1196" s="35"/>
      <c r="E1196" s="35"/>
      <c r="F1196" s="36"/>
      <c r="G1196" s="35"/>
      <c r="H1196" s="35"/>
      <c r="I1196" s="35"/>
      <c r="J1196" s="35"/>
      <c r="K1196" s="35"/>
      <c r="L1196" s="35"/>
      <c r="M1196" s="50" t="str">
        <f aca="false">IF(COUNT(G1196:L1196)&lt;6,"",ROUND((G1196*Rubric!$D$5+H1196*Rubric!$D$6+I1196*Rubric!$D$7+J1196*Rubric!$D$8+K1196*Rubric!$D$9+L1196*Rubric!$D$10)/5*100,1))</f>
        <v/>
      </c>
      <c r="N1196" s="37" t="str">
        <f aca="false">IF(OR(B1196="",D1196=""),"",IFERROR(IF(IF(E1196="Primary",INDEX(Applications!$I$5:$I$600,MATCH(B1196,Applications!$A$5:$A$600,0)),IF(E1196="Secondary",INDEX(Applications!$J$5:$J$600,MATCH(B1196,Applications!$A$5:$A$600,0)),INDEX(Applications!$K$5:$K$600,MATCH(B1196,Applications!$A$5:$A$600,0))))=D1196,"OK","Not assigned"),"Check ID"))</f>
        <v/>
      </c>
      <c r="O1196" s="7"/>
    </row>
    <row r="1197" customFormat="false" ht="15" hidden="false" customHeight="false" outlineLevel="0" collapsed="false">
      <c r="A1197" s="35"/>
      <c r="B1197" s="35"/>
      <c r="C1197" s="37" t="str">
        <f aca="false">IF(B1197="","",IFERROR(INDEX(Applications!$B$5:$B$600,MATCH(B1197,Applications!$A$5:$A$600,0)),"Application ID not found"))</f>
        <v/>
      </c>
      <c r="D1197" s="35"/>
      <c r="E1197" s="35"/>
      <c r="F1197" s="36"/>
      <c r="G1197" s="35"/>
      <c r="H1197" s="35"/>
      <c r="I1197" s="35"/>
      <c r="J1197" s="35"/>
      <c r="K1197" s="35"/>
      <c r="L1197" s="35"/>
      <c r="M1197" s="50" t="str">
        <f aca="false">IF(COUNT(G1197:L1197)&lt;6,"",ROUND((G1197*Rubric!$D$5+H1197*Rubric!$D$6+I1197*Rubric!$D$7+J1197*Rubric!$D$8+K1197*Rubric!$D$9+L1197*Rubric!$D$10)/5*100,1))</f>
        <v/>
      </c>
      <c r="N1197" s="37" t="str">
        <f aca="false">IF(OR(B1197="",D1197=""),"",IFERROR(IF(IF(E1197="Primary",INDEX(Applications!$I$5:$I$600,MATCH(B1197,Applications!$A$5:$A$600,0)),IF(E1197="Secondary",INDEX(Applications!$J$5:$J$600,MATCH(B1197,Applications!$A$5:$A$600,0)),INDEX(Applications!$K$5:$K$600,MATCH(B1197,Applications!$A$5:$A$600,0))))=D1197,"OK","Not assigned"),"Check ID"))</f>
        <v/>
      </c>
      <c r="O1197" s="7"/>
    </row>
    <row r="1198" customFormat="false" ht="15" hidden="false" customHeight="false" outlineLevel="0" collapsed="false">
      <c r="A1198" s="35"/>
      <c r="B1198" s="35"/>
      <c r="C1198" s="37" t="str">
        <f aca="false">IF(B1198="","",IFERROR(INDEX(Applications!$B$5:$B$600,MATCH(B1198,Applications!$A$5:$A$600,0)),"Application ID not found"))</f>
        <v/>
      </c>
      <c r="D1198" s="35"/>
      <c r="E1198" s="35"/>
      <c r="F1198" s="36"/>
      <c r="G1198" s="35"/>
      <c r="H1198" s="35"/>
      <c r="I1198" s="35"/>
      <c r="J1198" s="35"/>
      <c r="K1198" s="35"/>
      <c r="L1198" s="35"/>
      <c r="M1198" s="50" t="str">
        <f aca="false">IF(COUNT(G1198:L1198)&lt;6,"",ROUND((G1198*Rubric!$D$5+H1198*Rubric!$D$6+I1198*Rubric!$D$7+J1198*Rubric!$D$8+K1198*Rubric!$D$9+L1198*Rubric!$D$10)/5*100,1))</f>
        <v/>
      </c>
      <c r="N1198" s="37" t="str">
        <f aca="false">IF(OR(B1198="",D1198=""),"",IFERROR(IF(IF(E1198="Primary",INDEX(Applications!$I$5:$I$600,MATCH(B1198,Applications!$A$5:$A$600,0)),IF(E1198="Secondary",INDEX(Applications!$J$5:$J$600,MATCH(B1198,Applications!$A$5:$A$600,0)),INDEX(Applications!$K$5:$K$600,MATCH(B1198,Applications!$A$5:$A$600,0))))=D1198,"OK","Not assigned"),"Check ID"))</f>
        <v/>
      </c>
      <c r="O1198" s="7"/>
    </row>
    <row r="1199" customFormat="false" ht="15" hidden="false" customHeight="false" outlineLevel="0" collapsed="false">
      <c r="A1199" s="35"/>
      <c r="B1199" s="35"/>
      <c r="C1199" s="37" t="str">
        <f aca="false">IF(B1199="","",IFERROR(INDEX(Applications!$B$5:$B$600,MATCH(B1199,Applications!$A$5:$A$600,0)),"Application ID not found"))</f>
        <v/>
      </c>
      <c r="D1199" s="35"/>
      <c r="E1199" s="35"/>
      <c r="F1199" s="36"/>
      <c r="G1199" s="35"/>
      <c r="H1199" s="35"/>
      <c r="I1199" s="35"/>
      <c r="J1199" s="35"/>
      <c r="K1199" s="35"/>
      <c r="L1199" s="35"/>
      <c r="M1199" s="50" t="str">
        <f aca="false">IF(COUNT(G1199:L1199)&lt;6,"",ROUND((G1199*Rubric!$D$5+H1199*Rubric!$D$6+I1199*Rubric!$D$7+J1199*Rubric!$D$8+K1199*Rubric!$D$9+L1199*Rubric!$D$10)/5*100,1))</f>
        <v/>
      </c>
      <c r="N1199" s="37" t="str">
        <f aca="false">IF(OR(B1199="",D1199=""),"",IFERROR(IF(IF(E1199="Primary",INDEX(Applications!$I$5:$I$600,MATCH(B1199,Applications!$A$5:$A$600,0)),IF(E1199="Secondary",INDEX(Applications!$J$5:$J$600,MATCH(B1199,Applications!$A$5:$A$600,0)),INDEX(Applications!$K$5:$K$600,MATCH(B1199,Applications!$A$5:$A$600,0))))=D1199,"OK","Not assigned"),"Check ID"))</f>
        <v/>
      </c>
      <c r="O1199" s="7"/>
    </row>
    <row r="1200" customFormat="false" ht="15" hidden="false" customHeight="false" outlineLevel="0" collapsed="false">
      <c r="A1200" s="35"/>
      <c r="B1200" s="35"/>
      <c r="C1200" s="37" t="str">
        <f aca="false">IF(B1200="","",IFERROR(INDEX(Applications!$B$5:$B$600,MATCH(B1200,Applications!$A$5:$A$600,0)),"Application ID not found"))</f>
        <v/>
      </c>
      <c r="D1200" s="35"/>
      <c r="E1200" s="35"/>
      <c r="F1200" s="36"/>
      <c r="G1200" s="35"/>
      <c r="H1200" s="35"/>
      <c r="I1200" s="35"/>
      <c r="J1200" s="35"/>
      <c r="K1200" s="35"/>
      <c r="L1200" s="35"/>
      <c r="M1200" s="50" t="str">
        <f aca="false">IF(COUNT(G1200:L1200)&lt;6,"",ROUND((G1200*Rubric!$D$5+H1200*Rubric!$D$6+I1200*Rubric!$D$7+J1200*Rubric!$D$8+K1200*Rubric!$D$9+L1200*Rubric!$D$10)/5*100,1))</f>
        <v/>
      </c>
      <c r="N1200" s="37" t="str">
        <f aca="false">IF(OR(B1200="",D1200=""),"",IFERROR(IF(IF(E1200="Primary",INDEX(Applications!$I$5:$I$600,MATCH(B1200,Applications!$A$5:$A$600,0)),IF(E1200="Secondary",INDEX(Applications!$J$5:$J$600,MATCH(B1200,Applications!$A$5:$A$600,0)),INDEX(Applications!$K$5:$K$600,MATCH(B1200,Applications!$A$5:$A$600,0))))=D1200,"OK","Not assigned"),"Check ID"))</f>
        <v/>
      </c>
      <c r="O1200" s="7"/>
    </row>
    <row r="1201" customFormat="false" ht="15" hidden="false" customHeight="false" outlineLevel="0" collapsed="false">
      <c r="A1201" s="35"/>
      <c r="B1201" s="35"/>
      <c r="C1201" s="37" t="str">
        <f aca="false">IF(B1201="","",IFERROR(INDEX(Applications!$B$5:$B$600,MATCH(B1201,Applications!$A$5:$A$600,0)),"Application ID not found"))</f>
        <v/>
      </c>
      <c r="D1201" s="35"/>
      <c r="E1201" s="35"/>
      <c r="F1201" s="36"/>
      <c r="G1201" s="35"/>
      <c r="H1201" s="35"/>
      <c r="I1201" s="35"/>
      <c r="J1201" s="35"/>
      <c r="K1201" s="35"/>
      <c r="L1201" s="35"/>
      <c r="M1201" s="50" t="str">
        <f aca="false">IF(COUNT(G1201:L1201)&lt;6,"",ROUND((G1201*Rubric!$D$5+H1201*Rubric!$D$6+I1201*Rubric!$D$7+J1201*Rubric!$D$8+K1201*Rubric!$D$9+L1201*Rubric!$D$10)/5*100,1))</f>
        <v/>
      </c>
      <c r="N1201" s="37" t="str">
        <f aca="false">IF(OR(B1201="",D1201=""),"",IFERROR(IF(IF(E1201="Primary",INDEX(Applications!$I$5:$I$600,MATCH(B1201,Applications!$A$5:$A$600,0)),IF(E1201="Secondary",INDEX(Applications!$J$5:$J$600,MATCH(B1201,Applications!$A$5:$A$600,0)),INDEX(Applications!$K$5:$K$600,MATCH(B1201,Applications!$A$5:$A$600,0))))=D1201,"OK","Not assigned"),"Check ID"))</f>
        <v/>
      </c>
      <c r="O1201" s="7"/>
    </row>
    <row r="1202" customFormat="false" ht="15" hidden="false" customHeight="false" outlineLevel="0" collapsed="false">
      <c r="A1202" s="35"/>
      <c r="B1202" s="35"/>
      <c r="C1202" s="37" t="str">
        <f aca="false">IF(B1202="","",IFERROR(INDEX(Applications!$B$5:$B$600,MATCH(B1202,Applications!$A$5:$A$600,0)),"Application ID not found"))</f>
        <v/>
      </c>
      <c r="D1202" s="35"/>
      <c r="E1202" s="35"/>
      <c r="F1202" s="36"/>
      <c r="G1202" s="35"/>
      <c r="H1202" s="35"/>
      <c r="I1202" s="35"/>
      <c r="J1202" s="35"/>
      <c r="K1202" s="35"/>
      <c r="L1202" s="35"/>
      <c r="M1202" s="50" t="str">
        <f aca="false">IF(COUNT(G1202:L1202)&lt;6,"",ROUND((G1202*Rubric!$D$5+H1202*Rubric!$D$6+I1202*Rubric!$D$7+J1202*Rubric!$D$8+K1202*Rubric!$D$9+L1202*Rubric!$D$10)/5*100,1))</f>
        <v/>
      </c>
      <c r="N1202" s="37" t="str">
        <f aca="false">IF(OR(B1202="",D1202=""),"",IFERROR(IF(IF(E1202="Primary",INDEX(Applications!$I$5:$I$600,MATCH(B1202,Applications!$A$5:$A$600,0)),IF(E1202="Secondary",INDEX(Applications!$J$5:$J$600,MATCH(B1202,Applications!$A$5:$A$600,0)),INDEX(Applications!$K$5:$K$600,MATCH(B1202,Applications!$A$5:$A$600,0))))=D1202,"OK","Not assigned"),"Check ID"))</f>
        <v/>
      </c>
      <c r="O1202" s="7"/>
    </row>
    <row r="1203" customFormat="false" ht="15" hidden="false" customHeight="false" outlineLevel="0" collapsed="false">
      <c r="A1203" s="35"/>
      <c r="B1203" s="35"/>
      <c r="C1203" s="37" t="str">
        <f aca="false">IF(B1203="","",IFERROR(INDEX(Applications!$B$5:$B$600,MATCH(B1203,Applications!$A$5:$A$600,0)),"Application ID not found"))</f>
        <v/>
      </c>
      <c r="D1203" s="35"/>
      <c r="E1203" s="35"/>
      <c r="F1203" s="36"/>
      <c r="G1203" s="35"/>
      <c r="H1203" s="35"/>
      <c r="I1203" s="35"/>
      <c r="J1203" s="35"/>
      <c r="K1203" s="35"/>
      <c r="L1203" s="35"/>
      <c r="M1203" s="50" t="str">
        <f aca="false">IF(COUNT(G1203:L1203)&lt;6,"",ROUND((G1203*Rubric!$D$5+H1203*Rubric!$D$6+I1203*Rubric!$D$7+J1203*Rubric!$D$8+K1203*Rubric!$D$9+L1203*Rubric!$D$10)/5*100,1))</f>
        <v/>
      </c>
      <c r="N1203" s="37" t="str">
        <f aca="false">IF(OR(B1203="",D1203=""),"",IFERROR(IF(IF(E1203="Primary",INDEX(Applications!$I$5:$I$600,MATCH(B1203,Applications!$A$5:$A$600,0)),IF(E1203="Secondary",INDEX(Applications!$J$5:$J$600,MATCH(B1203,Applications!$A$5:$A$600,0)),INDEX(Applications!$K$5:$K$600,MATCH(B1203,Applications!$A$5:$A$600,0))))=D1203,"OK","Not assigned"),"Check ID"))</f>
        <v/>
      </c>
      <c r="O1203" s="7"/>
    </row>
    <row r="1204" customFormat="false" ht="15" hidden="false" customHeight="false" outlineLevel="0" collapsed="false">
      <c r="A1204" s="35"/>
      <c r="B1204" s="35"/>
      <c r="C1204" s="37" t="str">
        <f aca="false">IF(B1204="","",IFERROR(INDEX(Applications!$B$5:$B$600,MATCH(B1204,Applications!$A$5:$A$600,0)),"Application ID not found"))</f>
        <v/>
      </c>
      <c r="D1204" s="35"/>
      <c r="E1204" s="35"/>
      <c r="F1204" s="36"/>
      <c r="G1204" s="35"/>
      <c r="H1204" s="35"/>
      <c r="I1204" s="35"/>
      <c r="J1204" s="35"/>
      <c r="K1204" s="35"/>
      <c r="L1204" s="35"/>
      <c r="M1204" s="50" t="str">
        <f aca="false">IF(COUNT(G1204:L1204)&lt;6,"",ROUND((G1204*Rubric!$D$5+H1204*Rubric!$D$6+I1204*Rubric!$D$7+J1204*Rubric!$D$8+K1204*Rubric!$D$9+L1204*Rubric!$D$10)/5*100,1))</f>
        <v/>
      </c>
      <c r="N1204" s="37" t="str">
        <f aca="false">IF(OR(B1204="",D1204=""),"",IFERROR(IF(IF(E1204="Primary",INDEX(Applications!$I$5:$I$600,MATCH(B1204,Applications!$A$5:$A$600,0)),IF(E1204="Secondary",INDEX(Applications!$J$5:$J$600,MATCH(B1204,Applications!$A$5:$A$600,0)),INDEX(Applications!$K$5:$K$600,MATCH(B1204,Applications!$A$5:$A$600,0))))=D1204,"OK","Not assigned"),"Check ID"))</f>
        <v/>
      </c>
      <c r="O1204" s="7"/>
    </row>
    <row r="1205" customFormat="false" ht="15" hidden="false" customHeight="false" outlineLevel="0" collapsed="false">
      <c r="A1205" s="35"/>
      <c r="B1205" s="35"/>
      <c r="C1205" s="37" t="str">
        <f aca="false">IF(B1205="","",IFERROR(INDEX(Applications!$B$5:$B$600,MATCH(B1205,Applications!$A$5:$A$600,0)),"Application ID not found"))</f>
        <v/>
      </c>
      <c r="D1205" s="35"/>
      <c r="E1205" s="35"/>
      <c r="F1205" s="36"/>
      <c r="G1205" s="35"/>
      <c r="H1205" s="35"/>
      <c r="I1205" s="35"/>
      <c r="J1205" s="35"/>
      <c r="K1205" s="35"/>
      <c r="L1205" s="35"/>
      <c r="M1205" s="50" t="str">
        <f aca="false">IF(COUNT(G1205:L1205)&lt;6,"",ROUND((G1205*Rubric!$D$5+H1205*Rubric!$D$6+I1205*Rubric!$D$7+J1205*Rubric!$D$8+K1205*Rubric!$D$9+L1205*Rubric!$D$10)/5*100,1))</f>
        <v/>
      </c>
      <c r="N1205" s="37" t="str">
        <f aca="false">IF(OR(B1205="",D1205=""),"",IFERROR(IF(IF(E1205="Primary",INDEX(Applications!$I$5:$I$600,MATCH(B1205,Applications!$A$5:$A$600,0)),IF(E1205="Secondary",INDEX(Applications!$J$5:$J$600,MATCH(B1205,Applications!$A$5:$A$600,0)),INDEX(Applications!$K$5:$K$600,MATCH(B1205,Applications!$A$5:$A$600,0))))=D1205,"OK","Not assigned"),"Check ID"))</f>
        <v/>
      </c>
      <c r="O1205" s="7"/>
    </row>
    <row r="1206" customFormat="false" ht="15" hidden="false" customHeight="false" outlineLevel="0" collapsed="false">
      <c r="A1206" s="35"/>
      <c r="B1206" s="35"/>
      <c r="C1206" s="37" t="str">
        <f aca="false">IF(B1206="","",IFERROR(INDEX(Applications!$B$5:$B$600,MATCH(B1206,Applications!$A$5:$A$600,0)),"Application ID not found"))</f>
        <v/>
      </c>
      <c r="D1206" s="35"/>
      <c r="E1206" s="35"/>
      <c r="F1206" s="36"/>
      <c r="G1206" s="35"/>
      <c r="H1206" s="35"/>
      <c r="I1206" s="35"/>
      <c r="J1206" s="35"/>
      <c r="K1206" s="35"/>
      <c r="L1206" s="35"/>
      <c r="M1206" s="50" t="str">
        <f aca="false">IF(COUNT(G1206:L1206)&lt;6,"",ROUND((G1206*Rubric!$D$5+H1206*Rubric!$D$6+I1206*Rubric!$D$7+J1206*Rubric!$D$8+K1206*Rubric!$D$9+L1206*Rubric!$D$10)/5*100,1))</f>
        <v/>
      </c>
      <c r="N1206" s="37" t="str">
        <f aca="false">IF(OR(B1206="",D1206=""),"",IFERROR(IF(IF(E1206="Primary",INDEX(Applications!$I$5:$I$600,MATCH(B1206,Applications!$A$5:$A$600,0)),IF(E1206="Secondary",INDEX(Applications!$J$5:$J$600,MATCH(B1206,Applications!$A$5:$A$600,0)),INDEX(Applications!$K$5:$K$600,MATCH(B1206,Applications!$A$5:$A$600,0))))=D1206,"OK","Not assigned"),"Check ID"))</f>
        <v/>
      </c>
      <c r="O1206" s="7"/>
    </row>
    <row r="1207" customFormat="false" ht="15" hidden="false" customHeight="false" outlineLevel="0" collapsed="false">
      <c r="A1207" s="35"/>
      <c r="B1207" s="35"/>
      <c r="C1207" s="37" t="str">
        <f aca="false">IF(B1207="","",IFERROR(INDEX(Applications!$B$5:$B$600,MATCH(B1207,Applications!$A$5:$A$600,0)),"Application ID not found"))</f>
        <v/>
      </c>
      <c r="D1207" s="35"/>
      <c r="E1207" s="35"/>
      <c r="F1207" s="36"/>
      <c r="G1207" s="35"/>
      <c r="H1207" s="35"/>
      <c r="I1207" s="35"/>
      <c r="J1207" s="35"/>
      <c r="K1207" s="35"/>
      <c r="L1207" s="35"/>
      <c r="M1207" s="50" t="str">
        <f aca="false">IF(COUNT(G1207:L1207)&lt;6,"",ROUND((G1207*Rubric!$D$5+H1207*Rubric!$D$6+I1207*Rubric!$D$7+J1207*Rubric!$D$8+K1207*Rubric!$D$9+L1207*Rubric!$D$10)/5*100,1))</f>
        <v/>
      </c>
      <c r="N1207" s="37" t="str">
        <f aca="false">IF(OR(B1207="",D1207=""),"",IFERROR(IF(IF(E1207="Primary",INDEX(Applications!$I$5:$I$600,MATCH(B1207,Applications!$A$5:$A$600,0)),IF(E1207="Secondary",INDEX(Applications!$J$5:$J$600,MATCH(B1207,Applications!$A$5:$A$600,0)),INDEX(Applications!$K$5:$K$600,MATCH(B1207,Applications!$A$5:$A$600,0))))=D1207,"OK","Not assigned"),"Check ID"))</f>
        <v/>
      </c>
      <c r="O1207" s="7"/>
    </row>
    <row r="1208" customFormat="false" ht="15" hidden="false" customHeight="false" outlineLevel="0" collapsed="false">
      <c r="A1208" s="35"/>
      <c r="B1208" s="35"/>
      <c r="C1208" s="37" t="str">
        <f aca="false">IF(B1208="","",IFERROR(INDEX(Applications!$B$5:$B$600,MATCH(B1208,Applications!$A$5:$A$600,0)),"Application ID not found"))</f>
        <v/>
      </c>
      <c r="D1208" s="35"/>
      <c r="E1208" s="35"/>
      <c r="F1208" s="36"/>
      <c r="G1208" s="35"/>
      <c r="H1208" s="35"/>
      <c r="I1208" s="35"/>
      <c r="J1208" s="35"/>
      <c r="K1208" s="35"/>
      <c r="L1208" s="35"/>
      <c r="M1208" s="50" t="str">
        <f aca="false">IF(COUNT(G1208:L1208)&lt;6,"",ROUND((G1208*Rubric!$D$5+H1208*Rubric!$D$6+I1208*Rubric!$D$7+J1208*Rubric!$D$8+K1208*Rubric!$D$9+L1208*Rubric!$D$10)/5*100,1))</f>
        <v/>
      </c>
      <c r="N1208" s="37" t="str">
        <f aca="false">IF(OR(B1208="",D1208=""),"",IFERROR(IF(IF(E1208="Primary",INDEX(Applications!$I$5:$I$600,MATCH(B1208,Applications!$A$5:$A$600,0)),IF(E1208="Secondary",INDEX(Applications!$J$5:$J$600,MATCH(B1208,Applications!$A$5:$A$600,0)),INDEX(Applications!$K$5:$K$600,MATCH(B1208,Applications!$A$5:$A$600,0))))=D1208,"OK","Not assigned"),"Check ID"))</f>
        <v/>
      </c>
      <c r="O1208" s="7"/>
    </row>
    <row r="1209" customFormat="false" ht="15" hidden="false" customHeight="false" outlineLevel="0" collapsed="false">
      <c r="A1209" s="35"/>
      <c r="B1209" s="35"/>
      <c r="C1209" s="37" t="str">
        <f aca="false">IF(B1209="","",IFERROR(INDEX(Applications!$B$5:$B$600,MATCH(B1209,Applications!$A$5:$A$600,0)),"Application ID not found"))</f>
        <v/>
      </c>
      <c r="D1209" s="35"/>
      <c r="E1209" s="35"/>
      <c r="F1209" s="36"/>
      <c r="G1209" s="35"/>
      <c r="H1209" s="35"/>
      <c r="I1209" s="35"/>
      <c r="J1209" s="35"/>
      <c r="K1209" s="35"/>
      <c r="L1209" s="35"/>
      <c r="M1209" s="50" t="str">
        <f aca="false">IF(COUNT(G1209:L1209)&lt;6,"",ROUND((G1209*Rubric!$D$5+H1209*Rubric!$D$6+I1209*Rubric!$D$7+J1209*Rubric!$D$8+K1209*Rubric!$D$9+L1209*Rubric!$D$10)/5*100,1))</f>
        <v/>
      </c>
      <c r="N1209" s="37" t="str">
        <f aca="false">IF(OR(B1209="",D1209=""),"",IFERROR(IF(IF(E1209="Primary",INDEX(Applications!$I$5:$I$600,MATCH(B1209,Applications!$A$5:$A$600,0)),IF(E1209="Secondary",INDEX(Applications!$J$5:$J$600,MATCH(B1209,Applications!$A$5:$A$600,0)),INDEX(Applications!$K$5:$K$600,MATCH(B1209,Applications!$A$5:$A$600,0))))=D1209,"OK","Not assigned"),"Check ID"))</f>
        <v/>
      </c>
      <c r="O1209" s="7"/>
    </row>
    <row r="1210" customFormat="false" ht="15" hidden="false" customHeight="false" outlineLevel="0" collapsed="false">
      <c r="A1210" s="35"/>
      <c r="B1210" s="35"/>
      <c r="C1210" s="37" t="str">
        <f aca="false">IF(B1210="","",IFERROR(INDEX(Applications!$B$5:$B$600,MATCH(B1210,Applications!$A$5:$A$600,0)),"Application ID not found"))</f>
        <v/>
      </c>
      <c r="D1210" s="35"/>
      <c r="E1210" s="35"/>
      <c r="F1210" s="36"/>
      <c r="G1210" s="35"/>
      <c r="H1210" s="35"/>
      <c r="I1210" s="35"/>
      <c r="J1210" s="35"/>
      <c r="K1210" s="35"/>
      <c r="L1210" s="35"/>
      <c r="M1210" s="50" t="str">
        <f aca="false">IF(COUNT(G1210:L1210)&lt;6,"",ROUND((G1210*Rubric!$D$5+H1210*Rubric!$D$6+I1210*Rubric!$D$7+J1210*Rubric!$D$8+K1210*Rubric!$D$9+L1210*Rubric!$D$10)/5*100,1))</f>
        <v/>
      </c>
      <c r="N1210" s="37" t="str">
        <f aca="false">IF(OR(B1210="",D1210=""),"",IFERROR(IF(IF(E1210="Primary",INDEX(Applications!$I$5:$I$600,MATCH(B1210,Applications!$A$5:$A$600,0)),IF(E1210="Secondary",INDEX(Applications!$J$5:$J$600,MATCH(B1210,Applications!$A$5:$A$600,0)),INDEX(Applications!$K$5:$K$600,MATCH(B1210,Applications!$A$5:$A$600,0))))=D1210,"OK","Not assigned"),"Check ID"))</f>
        <v/>
      </c>
      <c r="O1210" s="7"/>
    </row>
    <row r="1211" customFormat="false" ht="15" hidden="false" customHeight="false" outlineLevel="0" collapsed="false">
      <c r="A1211" s="35"/>
      <c r="B1211" s="35"/>
      <c r="C1211" s="37" t="str">
        <f aca="false">IF(B1211="","",IFERROR(INDEX(Applications!$B$5:$B$600,MATCH(B1211,Applications!$A$5:$A$600,0)),"Application ID not found"))</f>
        <v/>
      </c>
      <c r="D1211" s="35"/>
      <c r="E1211" s="35"/>
      <c r="F1211" s="36"/>
      <c r="G1211" s="35"/>
      <c r="H1211" s="35"/>
      <c r="I1211" s="35"/>
      <c r="J1211" s="35"/>
      <c r="K1211" s="35"/>
      <c r="L1211" s="35"/>
      <c r="M1211" s="50" t="str">
        <f aca="false">IF(COUNT(G1211:L1211)&lt;6,"",ROUND((G1211*Rubric!$D$5+H1211*Rubric!$D$6+I1211*Rubric!$D$7+J1211*Rubric!$D$8+K1211*Rubric!$D$9+L1211*Rubric!$D$10)/5*100,1))</f>
        <v/>
      </c>
      <c r="N1211" s="37" t="str">
        <f aca="false">IF(OR(B1211="",D1211=""),"",IFERROR(IF(IF(E1211="Primary",INDEX(Applications!$I$5:$I$600,MATCH(B1211,Applications!$A$5:$A$600,0)),IF(E1211="Secondary",INDEX(Applications!$J$5:$J$600,MATCH(B1211,Applications!$A$5:$A$600,0)),INDEX(Applications!$K$5:$K$600,MATCH(B1211,Applications!$A$5:$A$600,0))))=D1211,"OK","Not assigned"),"Check ID"))</f>
        <v/>
      </c>
      <c r="O1211" s="7"/>
    </row>
    <row r="1212" customFormat="false" ht="15" hidden="false" customHeight="false" outlineLevel="0" collapsed="false">
      <c r="A1212" s="35"/>
      <c r="B1212" s="35"/>
      <c r="C1212" s="37" t="str">
        <f aca="false">IF(B1212="","",IFERROR(INDEX(Applications!$B$5:$B$600,MATCH(B1212,Applications!$A$5:$A$600,0)),"Application ID not found"))</f>
        <v/>
      </c>
      <c r="D1212" s="35"/>
      <c r="E1212" s="35"/>
      <c r="F1212" s="36"/>
      <c r="G1212" s="35"/>
      <c r="H1212" s="35"/>
      <c r="I1212" s="35"/>
      <c r="J1212" s="35"/>
      <c r="K1212" s="35"/>
      <c r="L1212" s="35"/>
      <c r="M1212" s="50" t="str">
        <f aca="false">IF(COUNT(G1212:L1212)&lt;6,"",ROUND((G1212*Rubric!$D$5+H1212*Rubric!$D$6+I1212*Rubric!$D$7+J1212*Rubric!$D$8+K1212*Rubric!$D$9+L1212*Rubric!$D$10)/5*100,1))</f>
        <v/>
      </c>
      <c r="N1212" s="37" t="str">
        <f aca="false">IF(OR(B1212="",D1212=""),"",IFERROR(IF(IF(E1212="Primary",INDEX(Applications!$I$5:$I$600,MATCH(B1212,Applications!$A$5:$A$600,0)),IF(E1212="Secondary",INDEX(Applications!$J$5:$J$600,MATCH(B1212,Applications!$A$5:$A$600,0)),INDEX(Applications!$K$5:$K$600,MATCH(B1212,Applications!$A$5:$A$600,0))))=D1212,"OK","Not assigned"),"Check ID"))</f>
        <v/>
      </c>
      <c r="O1212" s="7"/>
    </row>
    <row r="1213" customFormat="false" ht="15" hidden="false" customHeight="false" outlineLevel="0" collapsed="false">
      <c r="A1213" s="35"/>
      <c r="B1213" s="35"/>
      <c r="C1213" s="37" t="str">
        <f aca="false">IF(B1213="","",IFERROR(INDEX(Applications!$B$5:$B$600,MATCH(B1213,Applications!$A$5:$A$600,0)),"Application ID not found"))</f>
        <v/>
      </c>
      <c r="D1213" s="35"/>
      <c r="E1213" s="35"/>
      <c r="F1213" s="36"/>
      <c r="G1213" s="35"/>
      <c r="H1213" s="35"/>
      <c r="I1213" s="35"/>
      <c r="J1213" s="35"/>
      <c r="K1213" s="35"/>
      <c r="L1213" s="35"/>
      <c r="M1213" s="50" t="str">
        <f aca="false">IF(COUNT(G1213:L1213)&lt;6,"",ROUND((G1213*Rubric!$D$5+H1213*Rubric!$D$6+I1213*Rubric!$D$7+J1213*Rubric!$D$8+K1213*Rubric!$D$9+L1213*Rubric!$D$10)/5*100,1))</f>
        <v/>
      </c>
      <c r="N1213" s="37" t="str">
        <f aca="false">IF(OR(B1213="",D1213=""),"",IFERROR(IF(IF(E1213="Primary",INDEX(Applications!$I$5:$I$600,MATCH(B1213,Applications!$A$5:$A$600,0)),IF(E1213="Secondary",INDEX(Applications!$J$5:$J$600,MATCH(B1213,Applications!$A$5:$A$600,0)),INDEX(Applications!$K$5:$K$600,MATCH(B1213,Applications!$A$5:$A$600,0))))=D1213,"OK","Not assigned"),"Check ID"))</f>
        <v/>
      </c>
      <c r="O1213" s="7"/>
    </row>
    <row r="1214" customFormat="false" ht="15" hidden="false" customHeight="false" outlineLevel="0" collapsed="false">
      <c r="A1214" s="35"/>
      <c r="B1214" s="35"/>
      <c r="C1214" s="37" t="str">
        <f aca="false">IF(B1214="","",IFERROR(INDEX(Applications!$B$5:$B$600,MATCH(B1214,Applications!$A$5:$A$600,0)),"Application ID not found"))</f>
        <v/>
      </c>
      <c r="D1214" s="35"/>
      <c r="E1214" s="35"/>
      <c r="F1214" s="36"/>
      <c r="G1214" s="35"/>
      <c r="H1214" s="35"/>
      <c r="I1214" s="35"/>
      <c r="J1214" s="35"/>
      <c r="K1214" s="35"/>
      <c r="L1214" s="35"/>
      <c r="M1214" s="50" t="str">
        <f aca="false">IF(COUNT(G1214:L1214)&lt;6,"",ROUND((G1214*Rubric!$D$5+H1214*Rubric!$D$6+I1214*Rubric!$D$7+J1214*Rubric!$D$8+K1214*Rubric!$D$9+L1214*Rubric!$D$10)/5*100,1))</f>
        <v/>
      </c>
      <c r="N1214" s="37" t="str">
        <f aca="false">IF(OR(B1214="",D1214=""),"",IFERROR(IF(IF(E1214="Primary",INDEX(Applications!$I$5:$I$600,MATCH(B1214,Applications!$A$5:$A$600,0)),IF(E1214="Secondary",INDEX(Applications!$J$5:$J$600,MATCH(B1214,Applications!$A$5:$A$600,0)),INDEX(Applications!$K$5:$K$600,MATCH(B1214,Applications!$A$5:$A$600,0))))=D1214,"OK","Not assigned"),"Check ID"))</f>
        <v/>
      </c>
      <c r="O1214" s="7"/>
    </row>
    <row r="1215" customFormat="false" ht="15" hidden="false" customHeight="false" outlineLevel="0" collapsed="false">
      <c r="A1215" s="35"/>
      <c r="B1215" s="35"/>
      <c r="C1215" s="37" t="str">
        <f aca="false">IF(B1215="","",IFERROR(INDEX(Applications!$B$5:$B$600,MATCH(B1215,Applications!$A$5:$A$600,0)),"Application ID not found"))</f>
        <v/>
      </c>
      <c r="D1215" s="35"/>
      <c r="E1215" s="35"/>
      <c r="F1215" s="36"/>
      <c r="G1215" s="35"/>
      <c r="H1215" s="35"/>
      <c r="I1215" s="35"/>
      <c r="J1215" s="35"/>
      <c r="K1215" s="35"/>
      <c r="L1215" s="35"/>
      <c r="M1215" s="50" t="str">
        <f aca="false">IF(COUNT(G1215:L1215)&lt;6,"",ROUND((G1215*Rubric!$D$5+H1215*Rubric!$D$6+I1215*Rubric!$D$7+J1215*Rubric!$D$8+K1215*Rubric!$D$9+L1215*Rubric!$D$10)/5*100,1))</f>
        <v/>
      </c>
      <c r="N1215" s="37" t="str">
        <f aca="false">IF(OR(B1215="",D1215=""),"",IFERROR(IF(IF(E1215="Primary",INDEX(Applications!$I$5:$I$600,MATCH(B1215,Applications!$A$5:$A$600,0)),IF(E1215="Secondary",INDEX(Applications!$J$5:$J$600,MATCH(B1215,Applications!$A$5:$A$600,0)),INDEX(Applications!$K$5:$K$600,MATCH(B1215,Applications!$A$5:$A$600,0))))=D1215,"OK","Not assigned"),"Check ID"))</f>
        <v/>
      </c>
      <c r="O1215" s="7"/>
    </row>
    <row r="1216" customFormat="false" ht="15" hidden="false" customHeight="false" outlineLevel="0" collapsed="false">
      <c r="A1216" s="35"/>
      <c r="B1216" s="35"/>
      <c r="C1216" s="37" t="str">
        <f aca="false">IF(B1216="","",IFERROR(INDEX(Applications!$B$5:$B$600,MATCH(B1216,Applications!$A$5:$A$600,0)),"Application ID not found"))</f>
        <v/>
      </c>
      <c r="D1216" s="35"/>
      <c r="E1216" s="35"/>
      <c r="F1216" s="36"/>
      <c r="G1216" s="35"/>
      <c r="H1216" s="35"/>
      <c r="I1216" s="35"/>
      <c r="J1216" s="35"/>
      <c r="K1216" s="35"/>
      <c r="L1216" s="35"/>
      <c r="M1216" s="50" t="str">
        <f aca="false">IF(COUNT(G1216:L1216)&lt;6,"",ROUND((G1216*Rubric!$D$5+H1216*Rubric!$D$6+I1216*Rubric!$D$7+J1216*Rubric!$D$8+K1216*Rubric!$D$9+L1216*Rubric!$D$10)/5*100,1))</f>
        <v/>
      </c>
      <c r="N1216" s="37" t="str">
        <f aca="false">IF(OR(B1216="",D1216=""),"",IFERROR(IF(IF(E1216="Primary",INDEX(Applications!$I$5:$I$600,MATCH(B1216,Applications!$A$5:$A$600,0)),IF(E1216="Secondary",INDEX(Applications!$J$5:$J$600,MATCH(B1216,Applications!$A$5:$A$600,0)),INDEX(Applications!$K$5:$K$600,MATCH(B1216,Applications!$A$5:$A$600,0))))=D1216,"OK","Not assigned"),"Check ID"))</f>
        <v/>
      </c>
      <c r="O1216" s="7"/>
    </row>
    <row r="1217" customFormat="false" ht="15" hidden="false" customHeight="false" outlineLevel="0" collapsed="false">
      <c r="A1217" s="35"/>
      <c r="B1217" s="35"/>
      <c r="C1217" s="37" t="str">
        <f aca="false">IF(B1217="","",IFERROR(INDEX(Applications!$B$5:$B$600,MATCH(B1217,Applications!$A$5:$A$600,0)),"Application ID not found"))</f>
        <v/>
      </c>
      <c r="D1217" s="35"/>
      <c r="E1217" s="35"/>
      <c r="F1217" s="36"/>
      <c r="G1217" s="35"/>
      <c r="H1217" s="35"/>
      <c r="I1217" s="35"/>
      <c r="J1217" s="35"/>
      <c r="K1217" s="35"/>
      <c r="L1217" s="35"/>
      <c r="M1217" s="50" t="str">
        <f aca="false">IF(COUNT(G1217:L1217)&lt;6,"",ROUND((G1217*Rubric!$D$5+H1217*Rubric!$D$6+I1217*Rubric!$D$7+J1217*Rubric!$D$8+K1217*Rubric!$D$9+L1217*Rubric!$D$10)/5*100,1))</f>
        <v/>
      </c>
      <c r="N1217" s="37" t="str">
        <f aca="false">IF(OR(B1217="",D1217=""),"",IFERROR(IF(IF(E1217="Primary",INDEX(Applications!$I$5:$I$600,MATCH(B1217,Applications!$A$5:$A$600,0)),IF(E1217="Secondary",INDEX(Applications!$J$5:$J$600,MATCH(B1217,Applications!$A$5:$A$600,0)),INDEX(Applications!$K$5:$K$600,MATCH(B1217,Applications!$A$5:$A$600,0))))=D1217,"OK","Not assigned"),"Check ID"))</f>
        <v/>
      </c>
      <c r="O1217" s="7"/>
    </row>
    <row r="1218" customFormat="false" ht="15" hidden="false" customHeight="false" outlineLevel="0" collapsed="false">
      <c r="A1218" s="35"/>
      <c r="B1218" s="35"/>
      <c r="C1218" s="37" t="str">
        <f aca="false">IF(B1218="","",IFERROR(INDEX(Applications!$B$5:$B$600,MATCH(B1218,Applications!$A$5:$A$600,0)),"Application ID not found"))</f>
        <v/>
      </c>
      <c r="D1218" s="35"/>
      <c r="E1218" s="35"/>
      <c r="F1218" s="36"/>
      <c r="G1218" s="35"/>
      <c r="H1218" s="35"/>
      <c r="I1218" s="35"/>
      <c r="J1218" s="35"/>
      <c r="K1218" s="35"/>
      <c r="L1218" s="35"/>
      <c r="M1218" s="50" t="str">
        <f aca="false">IF(COUNT(G1218:L1218)&lt;6,"",ROUND((G1218*Rubric!$D$5+H1218*Rubric!$D$6+I1218*Rubric!$D$7+J1218*Rubric!$D$8+K1218*Rubric!$D$9+L1218*Rubric!$D$10)/5*100,1))</f>
        <v/>
      </c>
      <c r="N1218" s="37" t="str">
        <f aca="false">IF(OR(B1218="",D1218=""),"",IFERROR(IF(IF(E1218="Primary",INDEX(Applications!$I$5:$I$600,MATCH(B1218,Applications!$A$5:$A$600,0)),IF(E1218="Secondary",INDEX(Applications!$J$5:$J$600,MATCH(B1218,Applications!$A$5:$A$600,0)),INDEX(Applications!$K$5:$K$600,MATCH(B1218,Applications!$A$5:$A$600,0))))=D1218,"OK","Not assigned"),"Check ID"))</f>
        <v/>
      </c>
      <c r="O1218" s="7"/>
    </row>
    <row r="1219" customFormat="false" ht="15" hidden="false" customHeight="false" outlineLevel="0" collapsed="false">
      <c r="A1219" s="35"/>
      <c r="B1219" s="35"/>
      <c r="C1219" s="37" t="str">
        <f aca="false">IF(B1219="","",IFERROR(INDEX(Applications!$B$5:$B$600,MATCH(B1219,Applications!$A$5:$A$600,0)),"Application ID not found"))</f>
        <v/>
      </c>
      <c r="D1219" s="35"/>
      <c r="E1219" s="35"/>
      <c r="F1219" s="36"/>
      <c r="G1219" s="35"/>
      <c r="H1219" s="35"/>
      <c r="I1219" s="35"/>
      <c r="J1219" s="35"/>
      <c r="K1219" s="35"/>
      <c r="L1219" s="35"/>
      <c r="M1219" s="50" t="str">
        <f aca="false">IF(COUNT(G1219:L1219)&lt;6,"",ROUND((G1219*Rubric!$D$5+H1219*Rubric!$D$6+I1219*Rubric!$D$7+J1219*Rubric!$D$8+K1219*Rubric!$D$9+L1219*Rubric!$D$10)/5*100,1))</f>
        <v/>
      </c>
      <c r="N1219" s="37" t="str">
        <f aca="false">IF(OR(B1219="",D1219=""),"",IFERROR(IF(IF(E1219="Primary",INDEX(Applications!$I$5:$I$600,MATCH(B1219,Applications!$A$5:$A$600,0)),IF(E1219="Secondary",INDEX(Applications!$J$5:$J$600,MATCH(B1219,Applications!$A$5:$A$600,0)),INDEX(Applications!$K$5:$K$600,MATCH(B1219,Applications!$A$5:$A$600,0))))=D1219,"OK","Not assigned"),"Check ID"))</f>
        <v/>
      </c>
      <c r="O1219" s="7"/>
    </row>
    <row r="1220" customFormat="false" ht="15" hidden="false" customHeight="false" outlineLevel="0" collapsed="false">
      <c r="A1220" s="35"/>
      <c r="B1220" s="35"/>
      <c r="C1220" s="37" t="str">
        <f aca="false">IF(B1220="","",IFERROR(INDEX(Applications!$B$5:$B$600,MATCH(B1220,Applications!$A$5:$A$600,0)),"Application ID not found"))</f>
        <v/>
      </c>
      <c r="D1220" s="35"/>
      <c r="E1220" s="35"/>
      <c r="F1220" s="36"/>
      <c r="G1220" s="35"/>
      <c r="H1220" s="35"/>
      <c r="I1220" s="35"/>
      <c r="J1220" s="35"/>
      <c r="K1220" s="35"/>
      <c r="L1220" s="35"/>
      <c r="M1220" s="50" t="str">
        <f aca="false">IF(COUNT(G1220:L1220)&lt;6,"",ROUND((G1220*Rubric!$D$5+H1220*Rubric!$D$6+I1220*Rubric!$D$7+J1220*Rubric!$D$8+K1220*Rubric!$D$9+L1220*Rubric!$D$10)/5*100,1))</f>
        <v/>
      </c>
      <c r="N1220" s="37" t="str">
        <f aca="false">IF(OR(B1220="",D1220=""),"",IFERROR(IF(IF(E1220="Primary",INDEX(Applications!$I$5:$I$600,MATCH(B1220,Applications!$A$5:$A$600,0)),IF(E1220="Secondary",INDEX(Applications!$J$5:$J$600,MATCH(B1220,Applications!$A$5:$A$600,0)),INDEX(Applications!$K$5:$K$600,MATCH(B1220,Applications!$A$5:$A$600,0))))=D1220,"OK","Not assigned"),"Check ID"))</f>
        <v/>
      </c>
      <c r="O1220" s="7"/>
    </row>
    <row r="1221" customFormat="false" ht="15" hidden="false" customHeight="false" outlineLevel="0" collapsed="false">
      <c r="A1221" s="35"/>
      <c r="B1221" s="35"/>
      <c r="C1221" s="37" t="str">
        <f aca="false">IF(B1221="","",IFERROR(INDEX(Applications!$B$5:$B$600,MATCH(B1221,Applications!$A$5:$A$600,0)),"Application ID not found"))</f>
        <v/>
      </c>
      <c r="D1221" s="35"/>
      <c r="E1221" s="35"/>
      <c r="F1221" s="36"/>
      <c r="G1221" s="35"/>
      <c r="H1221" s="35"/>
      <c r="I1221" s="35"/>
      <c r="J1221" s="35"/>
      <c r="K1221" s="35"/>
      <c r="L1221" s="35"/>
      <c r="M1221" s="50" t="str">
        <f aca="false">IF(COUNT(G1221:L1221)&lt;6,"",ROUND((G1221*Rubric!$D$5+H1221*Rubric!$D$6+I1221*Rubric!$D$7+J1221*Rubric!$D$8+K1221*Rubric!$D$9+L1221*Rubric!$D$10)/5*100,1))</f>
        <v/>
      </c>
      <c r="N1221" s="37" t="str">
        <f aca="false">IF(OR(B1221="",D1221=""),"",IFERROR(IF(IF(E1221="Primary",INDEX(Applications!$I$5:$I$600,MATCH(B1221,Applications!$A$5:$A$600,0)),IF(E1221="Secondary",INDEX(Applications!$J$5:$J$600,MATCH(B1221,Applications!$A$5:$A$600,0)),INDEX(Applications!$K$5:$K$600,MATCH(B1221,Applications!$A$5:$A$600,0))))=D1221,"OK","Not assigned"),"Check ID"))</f>
        <v/>
      </c>
      <c r="O1221" s="7"/>
    </row>
    <row r="1222" customFormat="false" ht="15" hidden="false" customHeight="false" outlineLevel="0" collapsed="false">
      <c r="A1222" s="35"/>
      <c r="B1222" s="35"/>
      <c r="C1222" s="37" t="str">
        <f aca="false">IF(B1222="","",IFERROR(INDEX(Applications!$B$5:$B$600,MATCH(B1222,Applications!$A$5:$A$600,0)),"Application ID not found"))</f>
        <v/>
      </c>
      <c r="D1222" s="35"/>
      <c r="E1222" s="35"/>
      <c r="F1222" s="36"/>
      <c r="G1222" s="35"/>
      <c r="H1222" s="35"/>
      <c r="I1222" s="35"/>
      <c r="J1222" s="35"/>
      <c r="K1222" s="35"/>
      <c r="L1222" s="35"/>
      <c r="M1222" s="50" t="str">
        <f aca="false">IF(COUNT(G1222:L1222)&lt;6,"",ROUND((G1222*Rubric!$D$5+H1222*Rubric!$D$6+I1222*Rubric!$D$7+J1222*Rubric!$D$8+K1222*Rubric!$D$9+L1222*Rubric!$D$10)/5*100,1))</f>
        <v/>
      </c>
      <c r="N1222" s="37" t="str">
        <f aca="false">IF(OR(B1222="",D1222=""),"",IFERROR(IF(IF(E1222="Primary",INDEX(Applications!$I$5:$I$600,MATCH(B1222,Applications!$A$5:$A$600,0)),IF(E1222="Secondary",INDEX(Applications!$J$5:$J$600,MATCH(B1222,Applications!$A$5:$A$600,0)),INDEX(Applications!$K$5:$K$600,MATCH(B1222,Applications!$A$5:$A$600,0))))=D1222,"OK","Not assigned"),"Check ID"))</f>
        <v/>
      </c>
      <c r="O1222" s="7"/>
    </row>
    <row r="1223" customFormat="false" ht="15" hidden="false" customHeight="false" outlineLevel="0" collapsed="false">
      <c r="A1223" s="35"/>
      <c r="B1223" s="35"/>
      <c r="C1223" s="37" t="str">
        <f aca="false">IF(B1223="","",IFERROR(INDEX(Applications!$B$5:$B$600,MATCH(B1223,Applications!$A$5:$A$600,0)),"Application ID not found"))</f>
        <v/>
      </c>
      <c r="D1223" s="35"/>
      <c r="E1223" s="35"/>
      <c r="F1223" s="36"/>
      <c r="G1223" s="35"/>
      <c r="H1223" s="35"/>
      <c r="I1223" s="35"/>
      <c r="J1223" s="35"/>
      <c r="K1223" s="35"/>
      <c r="L1223" s="35"/>
      <c r="M1223" s="50" t="str">
        <f aca="false">IF(COUNT(G1223:L1223)&lt;6,"",ROUND((G1223*Rubric!$D$5+H1223*Rubric!$D$6+I1223*Rubric!$D$7+J1223*Rubric!$D$8+K1223*Rubric!$D$9+L1223*Rubric!$D$10)/5*100,1))</f>
        <v/>
      </c>
      <c r="N1223" s="37" t="str">
        <f aca="false">IF(OR(B1223="",D1223=""),"",IFERROR(IF(IF(E1223="Primary",INDEX(Applications!$I$5:$I$600,MATCH(B1223,Applications!$A$5:$A$600,0)),IF(E1223="Secondary",INDEX(Applications!$J$5:$J$600,MATCH(B1223,Applications!$A$5:$A$600,0)),INDEX(Applications!$K$5:$K$600,MATCH(B1223,Applications!$A$5:$A$600,0))))=D1223,"OK","Not assigned"),"Check ID"))</f>
        <v/>
      </c>
      <c r="O1223" s="7"/>
    </row>
    <row r="1224" customFormat="false" ht="15" hidden="false" customHeight="false" outlineLevel="0" collapsed="false">
      <c r="A1224" s="35"/>
      <c r="B1224" s="35"/>
      <c r="C1224" s="37" t="str">
        <f aca="false">IF(B1224="","",IFERROR(INDEX(Applications!$B$5:$B$600,MATCH(B1224,Applications!$A$5:$A$600,0)),"Application ID not found"))</f>
        <v/>
      </c>
      <c r="D1224" s="35"/>
      <c r="E1224" s="35"/>
      <c r="F1224" s="36"/>
      <c r="G1224" s="35"/>
      <c r="H1224" s="35"/>
      <c r="I1224" s="35"/>
      <c r="J1224" s="35"/>
      <c r="K1224" s="35"/>
      <c r="L1224" s="35"/>
      <c r="M1224" s="50" t="str">
        <f aca="false">IF(COUNT(G1224:L1224)&lt;6,"",ROUND((G1224*Rubric!$D$5+H1224*Rubric!$D$6+I1224*Rubric!$D$7+J1224*Rubric!$D$8+K1224*Rubric!$D$9+L1224*Rubric!$D$10)/5*100,1))</f>
        <v/>
      </c>
      <c r="N1224" s="37" t="str">
        <f aca="false">IF(OR(B1224="",D1224=""),"",IFERROR(IF(IF(E1224="Primary",INDEX(Applications!$I$5:$I$600,MATCH(B1224,Applications!$A$5:$A$600,0)),IF(E1224="Secondary",INDEX(Applications!$J$5:$J$600,MATCH(B1224,Applications!$A$5:$A$600,0)),INDEX(Applications!$K$5:$K$600,MATCH(B1224,Applications!$A$5:$A$600,0))))=D1224,"OK","Not assigned"),"Check ID"))</f>
        <v/>
      </c>
      <c r="O1224" s="7"/>
    </row>
    <row r="1225" customFormat="false" ht="15" hidden="false" customHeight="false" outlineLevel="0" collapsed="false">
      <c r="A1225" s="35"/>
      <c r="B1225" s="35"/>
      <c r="C1225" s="37" t="str">
        <f aca="false">IF(B1225="","",IFERROR(INDEX(Applications!$B$5:$B$600,MATCH(B1225,Applications!$A$5:$A$600,0)),"Application ID not found"))</f>
        <v/>
      </c>
      <c r="D1225" s="35"/>
      <c r="E1225" s="35"/>
      <c r="F1225" s="36"/>
      <c r="G1225" s="35"/>
      <c r="H1225" s="35"/>
      <c r="I1225" s="35"/>
      <c r="J1225" s="35"/>
      <c r="K1225" s="35"/>
      <c r="L1225" s="35"/>
      <c r="M1225" s="50" t="str">
        <f aca="false">IF(COUNT(G1225:L1225)&lt;6,"",ROUND((G1225*Rubric!$D$5+H1225*Rubric!$D$6+I1225*Rubric!$D$7+J1225*Rubric!$D$8+K1225*Rubric!$D$9+L1225*Rubric!$D$10)/5*100,1))</f>
        <v/>
      </c>
      <c r="N1225" s="37" t="str">
        <f aca="false">IF(OR(B1225="",D1225=""),"",IFERROR(IF(IF(E1225="Primary",INDEX(Applications!$I$5:$I$600,MATCH(B1225,Applications!$A$5:$A$600,0)),IF(E1225="Secondary",INDEX(Applications!$J$5:$J$600,MATCH(B1225,Applications!$A$5:$A$600,0)),INDEX(Applications!$K$5:$K$600,MATCH(B1225,Applications!$A$5:$A$600,0))))=D1225,"OK","Not assigned"),"Check ID"))</f>
        <v/>
      </c>
      <c r="O1225" s="7"/>
    </row>
    <row r="1226" customFormat="false" ht="15" hidden="false" customHeight="false" outlineLevel="0" collapsed="false">
      <c r="A1226" s="35"/>
      <c r="B1226" s="35"/>
      <c r="C1226" s="37" t="str">
        <f aca="false">IF(B1226="","",IFERROR(INDEX(Applications!$B$5:$B$600,MATCH(B1226,Applications!$A$5:$A$600,0)),"Application ID not found"))</f>
        <v/>
      </c>
      <c r="D1226" s="35"/>
      <c r="E1226" s="35"/>
      <c r="F1226" s="36"/>
      <c r="G1226" s="35"/>
      <c r="H1226" s="35"/>
      <c r="I1226" s="35"/>
      <c r="J1226" s="35"/>
      <c r="K1226" s="35"/>
      <c r="L1226" s="35"/>
      <c r="M1226" s="50" t="str">
        <f aca="false">IF(COUNT(G1226:L1226)&lt;6,"",ROUND((G1226*Rubric!$D$5+H1226*Rubric!$D$6+I1226*Rubric!$D$7+J1226*Rubric!$D$8+K1226*Rubric!$D$9+L1226*Rubric!$D$10)/5*100,1))</f>
        <v/>
      </c>
      <c r="N1226" s="37" t="str">
        <f aca="false">IF(OR(B1226="",D1226=""),"",IFERROR(IF(IF(E1226="Primary",INDEX(Applications!$I$5:$I$600,MATCH(B1226,Applications!$A$5:$A$600,0)),IF(E1226="Secondary",INDEX(Applications!$J$5:$J$600,MATCH(B1226,Applications!$A$5:$A$600,0)),INDEX(Applications!$K$5:$K$600,MATCH(B1226,Applications!$A$5:$A$600,0))))=D1226,"OK","Not assigned"),"Check ID"))</f>
        <v/>
      </c>
      <c r="O1226" s="7"/>
    </row>
    <row r="1227" customFormat="false" ht="15" hidden="false" customHeight="false" outlineLevel="0" collapsed="false">
      <c r="A1227" s="35"/>
      <c r="B1227" s="35"/>
      <c r="C1227" s="37" t="str">
        <f aca="false">IF(B1227="","",IFERROR(INDEX(Applications!$B$5:$B$600,MATCH(B1227,Applications!$A$5:$A$600,0)),"Application ID not found"))</f>
        <v/>
      </c>
      <c r="D1227" s="35"/>
      <c r="E1227" s="35"/>
      <c r="F1227" s="36"/>
      <c r="G1227" s="35"/>
      <c r="H1227" s="35"/>
      <c r="I1227" s="35"/>
      <c r="J1227" s="35"/>
      <c r="K1227" s="35"/>
      <c r="L1227" s="35"/>
      <c r="M1227" s="50" t="str">
        <f aca="false">IF(COUNT(G1227:L1227)&lt;6,"",ROUND((G1227*Rubric!$D$5+H1227*Rubric!$D$6+I1227*Rubric!$D$7+J1227*Rubric!$D$8+K1227*Rubric!$D$9+L1227*Rubric!$D$10)/5*100,1))</f>
        <v/>
      </c>
      <c r="N1227" s="37" t="str">
        <f aca="false">IF(OR(B1227="",D1227=""),"",IFERROR(IF(IF(E1227="Primary",INDEX(Applications!$I$5:$I$600,MATCH(B1227,Applications!$A$5:$A$600,0)),IF(E1227="Secondary",INDEX(Applications!$J$5:$J$600,MATCH(B1227,Applications!$A$5:$A$600,0)),INDEX(Applications!$K$5:$K$600,MATCH(B1227,Applications!$A$5:$A$600,0))))=D1227,"OK","Not assigned"),"Check ID"))</f>
        <v/>
      </c>
      <c r="O1227" s="7"/>
    </row>
    <row r="1228" customFormat="false" ht="15" hidden="false" customHeight="false" outlineLevel="0" collapsed="false">
      <c r="A1228" s="35"/>
      <c r="B1228" s="35"/>
      <c r="C1228" s="37" t="str">
        <f aca="false">IF(B1228="","",IFERROR(INDEX(Applications!$B$5:$B$600,MATCH(B1228,Applications!$A$5:$A$600,0)),"Application ID not found"))</f>
        <v/>
      </c>
      <c r="D1228" s="35"/>
      <c r="E1228" s="35"/>
      <c r="F1228" s="36"/>
      <c r="G1228" s="35"/>
      <c r="H1228" s="35"/>
      <c r="I1228" s="35"/>
      <c r="J1228" s="35"/>
      <c r="K1228" s="35"/>
      <c r="L1228" s="35"/>
      <c r="M1228" s="50" t="str">
        <f aca="false">IF(COUNT(G1228:L1228)&lt;6,"",ROUND((G1228*Rubric!$D$5+H1228*Rubric!$D$6+I1228*Rubric!$D$7+J1228*Rubric!$D$8+K1228*Rubric!$D$9+L1228*Rubric!$D$10)/5*100,1))</f>
        <v/>
      </c>
      <c r="N1228" s="37" t="str">
        <f aca="false">IF(OR(B1228="",D1228=""),"",IFERROR(IF(IF(E1228="Primary",INDEX(Applications!$I$5:$I$600,MATCH(B1228,Applications!$A$5:$A$600,0)),IF(E1228="Secondary",INDEX(Applications!$J$5:$J$600,MATCH(B1228,Applications!$A$5:$A$600,0)),INDEX(Applications!$K$5:$K$600,MATCH(B1228,Applications!$A$5:$A$600,0))))=D1228,"OK","Not assigned"),"Check ID"))</f>
        <v/>
      </c>
      <c r="O1228" s="7"/>
    </row>
    <row r="1229" customFormat="false" ht="15" hidden="false" customHeight="false" outlineLevel="0" collapsed="false">
      <c r="A1229" s="35"/>
      <c r="B1229" s="35"/>
      <c r="C1229" s="37" t="str">
        <f aca="false">IF(B1229="","",IFERROR(INDEX(Applications!$B$5:$B$600,MATCH(B1229,Applications!$A$5:$A$600,0)),"Application ID not found"))</f>
        <v/>
      </c>
      <c r="D1229" s="35"/>
      <c r="E1229" s="35"/>
      <c r="F1229" s="36"/>
      <c r="G1229" s="35"/>
      <c r="H1229" s="35"/>
      <c r="I1229" s="35"/>
      <c r="J1229" s="35"/>
      <c r="K1229" s="35"/>
      <c r="L1229" s="35"/>
      <c r="M1229" s="50" t="str">
        <f aca="false">IF(COUNT(G1229:L1229)&lt;6,"",ROUND((G1229*Rubric!$D$5+H1229*Rubric!$D$6+I1229*Rubric!$D$7+J1229*Rubric!$D$8+K1229*Rubric!$D$9+L1229*Rubric!$D$10)/5*100,1))</f>
        <v/>
      </c>
      <c r="N1229" s="37" t="str">
        <f aca="false">IF(OR(B1229="",D1229=""),"",IFERROR(IF(IF(E1229="Primary",INDEX(Applications!$I$5:$I$600,MATCH(B1229,Applications!$A$5:$A$600,0)),IF(E1229="Secondary",INDEX(Applications!$J$5:$J$600,MATCH(B1229,Applications!$A$5:$A$600,0)),INDEX(Applications!$K$5:$K$600,MATCH(B1229,Applications!$A$5:$A$600,0))))=D1229,"OK","Not assigned"),"Check ID"))</f>
        <v/>
      </c>
      <c r="O1229" s="7"/>
    </row>
    <row r="1230" customFormat="false" ht="15" hidden="false" customHeight="false" outlineLevel="0" collapsed="false">
      <c r="A1230" s="35"/>
      <c r="B1230" s="35"/>
      <c r="C1230" s="37" t="str">
        <f aca="false">IF(B1230="","",IFERROR(INDEX(Applications!$B$5:$B$600,MATCH(B1230,Applications!$A$5:$A$600,0)),"Application ID not found"))</f>
        <v/>
      </c>
      <c r="D1230" s="35"/>
      <c r="E1230" s="35"/>
      <c r="F1230" s="36"/>
      <c r="G1230" s="35"/>
      <c r="H1230" s="35"/>
      <c r="I1230" s="35"/>
      <c r="J1230" s="35"/>
      <c r="K1230" s="35"/>
      <c r="L1230" s="35"/>
      <c r="M1230" s="50" t="str">
        <f aca="false">IF(COUNT(G1230:L1230)&lt;6,"",ROUND((G1230*Rubric!$D$5+H1230*Rubric!$D$6+I1230*Rubric!$D$7+J1230*Rubric!$D$8+K1230*Rubric!$D$9+L1230*Rubric!$D$10)/5*100,1))</f>
        <v/>
      </c>
      <c r="N1230" s="37" t="str">
        <f aca="false">IF(OR(B1230="",D1230=""),"",IFERROR(IF(IF(E1230="Primary",INDEX(Applications!$I$5:$I$600,MATCH(B1230,Applications!$A$5:$A$600,0)),IF(E1230="Secondary",INDEX(Applications!$J$5:$J$600,MATCH(B1230,Applications!$A$5:$A$600,0)),INDEX(Applications!$K$5:$K$600,MATCH(B1230,Applications!$A$5:$A$600,0))))=D1230,"OK","Not assigned"),"Check ID"))</f>
        <v/>
      </c>
      <c r="O1230" s="7"/>
    </row>
    <row r="1231" customFormat="false" ht="15" hidden="false" customHeight="false" outlineLevel="0" collapsed="false">
      <c r="A1231" s="35"/>
      <c r="B1231" s="35"/>
      <c r="C1231" s="37" t="str">
        <f aca="false">IF(B1231="","",IFERROR(INDEX(Applications!$B$5:$B$600,MATCH(B1231,Applications!$A$5:$A$600,0)),"Application ID not found"))</f>
        <v/>
      </c>
      <c r="D1231" s="35"/>
      <c r="E1231" s="35"/>
      <c r="F1231" s="36"/>
      <c r="G1231" s="35"/>
      <c r="H1231" s="35"/>
      <c r="I1231" s="35"/>
      <c r="J1231" s="35"/>
      <c r="K1231" s="35"/>
      <c r="L1231" s="35"/>
      <c r="M1231" s="50" t="str">
        <f aca="false">IF(COUNT(G1231:L1231)&lt;6,"",ROUND((G1231*Rubric!$D$5+H1231*Rubric!$D$6+I1231*Rubric!$D$7+J1231*Rubric!$D$8+K1231*Rubric!$D$9+L1231*Rubric!$D$10)/5*100,1))</f>
        <v/>
      </c>
      <c r="N1231" s="37" t="str">
        <f aca="false">IF(OR(B1231="",D1231=""),"",IFERROR(IF(IF(E1231="Primary",INDEX(Applications!$I$5:$I$600,MATCH(B1231,Applications!$A$5:$A$600,0)),IF(E1231="Secondary",INDEX(Applications!$J$5:$J$600,MATCH(B1231,Applications!$A$5:$A$600,0)),INDEX(Applications!$K$5:$K$600,MATCH(B1231,Applications!$A$5:$A$600,0))))=D1231,"OK","Not assigned"),"Check ID"))</f>
        <v/>
      </c>
      <c r="O1231" s="7"/>
    </row>
    <row r="1232" customFormat="false" ht="15" hidden="false" customHeight="false" outlineLevel="0" collapsed="false">
      <c r="A1232" s="35"/>
      <c r="B1232" s="35"/>
      <c r="C1232" s="37" t="str">
        <f aca="false">IF(B1232="","",IFERROR(INDEX(Applications!$B$5:$B$600,MATCH(B1232,Applications!$A$5:$A$600,0)),"Application ID not found"))</f>
        <v/>
      </c>
      <c r="D1232" s="35"/>
      <c r="E1232" s="35"/>
      <c r="F1232" s="36"/>
      <c r="G1232" s="35"/>
      <c r="H1232" s="35"/>
      <c r="I1232" s="35"/>
      <c r="J1232" s="35"/>
      <c r="K1232" s="35"/>
      <c r="L1232" s="35"/>
      <c r="M1232" s="50" t="str">
        <f aca="false">IF(COUNT(G1232:L1232)&lt;6,"",ROUND((G1232*Rubric!$D$5+H1232*Rubric!$D$6+I1232*Rubric!$D$7+J1232*Rubric!$D$8+K1232*Rubric!$D$9+L1232*Rubric!$D$10)/5*100,1))</f>
        <v/>
      </c>
      <c r="N1232" s="37" t="str">
        <f aca="false">IF(OR(B1232="",D1232=""),"",IFERROR(IF(IF(E1232="Primary",INDEX(Applications!$I$5:$I$600,MATCH(B1232,Applications!$A$5:$A$600,0)),IF(E1232="Secondary",INDEX(Applications!$J$5:$J$600,MATCH(B1232,Applications!$A$5:$A$600,0)),INDEX(Applications!$K$5:$K$600,MATCH(B1232,Applications!$A$5:$A$600,0))))=D1232,"OK","Not assigned"),"Check ID"))</f>
        <v/>
      </c>
      <c r="O1232" s="7"/>
    </row>
    <row r="1233" customFormat="false" ht="15" hidden="false" customHeight="false" outlineLevel="0" collapsed="false">
      <c r="A1233" s="35"/>
      <c r="B1233" s="35"/>
      <c r="C1233" s="37" t="str">
        <f aca="false">IF(B1233="","",IFERROR(INDEX(Applications!$B$5:$B$600,MATCH(B1233,Applications!$A$5:$A$600,0)),"Application ID not found"))</f>
        <v/>
      </c>
      <c r="D1233" s="35"/>
      <c r="E1233" s="35"/>
      <c r="F1233" s="36"/>
      <c r="G1233" s="35"/>
      <c r="H1233" s="35"/>
      <c r="I1233" s="35"/>
      <c r="J1233" s="35"/>
      <c r="K1233" s="35"/>
      <c r="L1233" s="35"/>
      <c r="M1233" s="50" t="str">
        <f aca="false">IF(COUNT(G1233:L1233)&lt;6,"",ROUND((G1233*Rubric!$D$5+H1233*Rubric!$D$6+I1233*Rubric!$D$7+J1233*Rubric!$D$8+K1233*Rubric!$D$9+L1233*Rubric!$D$10)/5*100,1))</f>
        <v/>
      </c>
      <c r="N1233" s="37" t="str">
        <f aca="false">IF(OR(B1233="",D1233=""),"",IFERROR(IF(IF(E1233="Primary",INDEX(Applications!$I$5:$I$600,MATCH(B1233,Applications!$A$5:$A$600,0)),IF(E1233="Secondary",INDEX(Applications!$J$5:$J$600,MATCH(B1233,Applications!$A$5:$A$600,0)),INDEX(Applications!$K$5:$K$600,MATCH(B1233,Applications!$A$5:$A$600,0))))=D1233,"OK","Not assigned"),"Check ID"))</f>
        <v/>
      </c>
      <c r="O1233" s="7"/>
    </row>
    <row r="1234" customFormat="false" ht="15" hidden="false" customHeight="false" outlineLevel="0" collapsed="false">
      <c r="A1234" s="35"/>
      <c r="B1234" s="35"/>
      <c r="C1234" s="37" t="str">
        <f aca="false">IF(B1234="","",IFERROR(INDEX(Applications!$B$5:$B$600,MATCH(B1234,Applications!$A$5:$A$600,0)),"Application ID not found"))</f>
        <v/>
      </c>
      <c r="D1234" s="35"/>
      <c r="E1234" s="35"/>
      <c r="F1234" s="36"/>
      <c r="G1234" s="35"/>
      <c r="H1234" s="35"/>
      <c r="I1234" s="35"/>
      <c r="J1234" s="35"/>
      <c r="K1234" s="35"/>
      <c r="L1234" s="35"/>
      <c r="M1234" s="50" t="str">
        <f aca="false">IF(COUNT(G1234:L1234)&lt;6,"",ROUND((G1234*Rubric!$D$5+H1234*Rubric!$D$6+I1234*Rubric!$D$7+J1234*Rubric!$D$8+K1234*Rubric!$D$9+L1234*Rubric!$D$10)/5*100,1))</f>
        <v/>
      </c>
      <c r="N1234" s="37" t="str">
        <f aca="false">IF(OR(B1234="",D1234=""),"",IFERROR(IF(IF(E1234="Primary",INDEX(Applications!$I$5:$I$600,MATCH(B1234,Applications!$A$5:$A$600,0)),IF(E1234="Secondary",INDEX(Applications!$J$5:$J$600,MATCH(B1234,Applications!$A$5:$A$600,0)),INDEX(Applications!$K$5:$K$600,MATCH(B1234,Applications!$A$5:$A$600,0))))=D1234,"OK","Not assigned"),"Check ID"))</f>
        <v/>
      </c>
      <c r="O1234" s="7"/>
    </row>
    <row r="1235" customFormat="false" ht="15" hidden="false" customHeight="false" outlineLevel="0" collapsed="false">
      <c r="A1235" s="35"/>
      <c r="B1235" s="35"/>
      <c r="C1235" s="37" t="str">
        <f aca="false">IF(B1235="","",IFERROR(INDEX(Applications!$B$5:$B$600,MATCH(B1235,Applications!$A$5:$A$600,0)),"Application ID not found"))</f>
        <v/>
      </c>
      <c r="D1235" s="35"/>
      <c r="E1235" s="35"/>
      <c r="F1235" s="36"/>
      <c r="G1235" s="35"/>
      <c r="H1235" s="35"/>
      <c r="I1235" s="35"/>
      <c r="J1235" s="35"/>
      <c r="K1235" s="35"/>
      <c r="L1235" s="35"/>
      <c r="M1235" s="50" t="str">
        <f aca="false">IF(COUNT(G1235:L1235)&lt;6,"",ROUND((G1235*Rubric!$D$5+H1235*Rubric!$D$6+I1235*Rubric!$D$7+J1235*Rubric!$D$8+K1235*Rubric!$D$9+L1235*Rubric!$D$10)/5*100,1))</f>
        <v/>
      </c>
      <c r="N1235" s="37" t="str">
        <f aca="false">IF(OR(B1235="",D1235=""),"",IFERROR(IF(IF(E1235="Primary",INDEX(Applications!$I$5:$I$600,MATCH(B1235,Applications!$A$5:$A$600,0)),IF(E1235="Secondary",INDEX(Applications!$J$5:$J$600,MATCH(B1235,Applications!$A$5:$A$600,0)),INDEX(Applications!$K$5:$K$600,MATCH(B1235,Applications!$A$5:$A$600,0))))=D1235,"OK","Not assigned"),"Check ID"))</f>
        <v/>
      </c>
      <c r="O1235" s="7"/>
    </row>
    <row r="1236" customFormat="false" ht="15" hidden="false" customHeight="false" outlineLevel="0" collapsed="false">
      <c r="A1236" s="35"/>
      <c r="B1236" s="35"/>
      <c r="C1236" s="37" t="str">
        <f aca="false">IF(B1236="","",IFERROR(INDEX(Applications!$B$5:$B$600,MATCH(B1236,Applications!$A$5:$A$600,0)),"Application ID not found"))</f>
        <v/>
      </c>
      <c r="D1236" s="35"/>
      <c r="E1236" s="35"/>
      <c r="F1236" s="36"/>
      <c r="G1236" s="35"/>
      <c r="H1236" s="35"/>
      <c r="I1236" s="35"/>
      <c r="J1236" s="35"/>
      <c r="K1236" s="35"/>
      <c r="L1236" s="35"/>
      <c r="M1236" s="50" t="str">
        <f aca="false">IF(COUNT(G1236:L1236)&lt;6,"",ROUND((G1236*Rubric!$D$5+H1236*Rubric!$D$6+I1236*Rubric!$D$7+J1236*Rubric!$D$8+K1236*Rubric!$D$9+L1236*Rubric!$D$10)/5*100,1))</f>
        <v/>
      </c>
      <c r="N1236" s="37" t="str">
        <f aca="false">IF(OR(B1236="",D1236=""),"",IFERROR(IF(IF(E1236="Primary",INDEX(Applications!$I$5:$I$600,MATCH(B1236,Applications!$A$5:$A$600,0)),IF(E1236="Secondary",INDEX(Applications!$J$5:$J$600,MATCH(B1236,Applications!$A$5:$A$600,0)),INDEX(Applications!$K$5:$K$600,MATCH(B1236,Applications!$A$5:$A$600,0))))=D1236,"OK","Not assigned"),"Check ID"))</f>
        <v/>
      </c>
      <c r="O1236" s="7"/>
    </row>
    <row r="1237" customFormat="false" ht="15" hidden="false" customHeight="false" outlineLevel="0" collapsed="false">
      <c r="A1237" s="35"/>
      <c r="B1237" s="35"/>
      <c r="C1237" s="37" t="str">
        <f aca="false">IF(B1237="","",IFERROR(INDEX(Applications!$B$5:$B$600,MATCH(B1237,Applications!$A$5:$A$600,0)),"Application ID not found"))</f>
        <v/>
      </c>
      <c r="D1237" s="35"/>
      <c r="E1237" s="35"/>
      <c r="F1237" s="36"/>
      <c r="G1237" s="35"/>
      <c r="H1237" s="35"/>
      <c r="I1237" s="35"/>
      <c r="J1237" s="35"/>
      <c r="K1237" s="35"/>
      <c r="L1237" s="35"/>
      <c r="M1237" s="50" t="str">
        <f aca="false">IF(COUNT(G1237:L1237)&lt;6,"",ROUND((G1237*Rubric!$D$5+H1237*Rubric!$D$6+I1237*Rubric!$D$7+J1237*Rubric!$D$8+K1237*Rubric!$D$9+L1237*Rubric!$D$10)/5*100,1))</f>
        <v/>
      </c>
      <c r="N1237" s="37" t="str">
        <f aca="false">IF(OR(B1237="",D1237=""),"",IFERROR(IF(IF(E1237="Primary",INDEX(Applications!$I$5:$I$600,MATCH(B1237,Applications!$A$5:$A$600,0)),IF(E1237="Secondary",INDEX(Applications!$J$5:$J$600,MATCH(B1237,Applications!$A$5:$A$600,0)),INDEX(Applications!$K$5:$K$600,MATCH(B1237,Applications!$A$5:$A$600,0))))=D1237,"OK","Not assigned"),"Check ID"))</f>
        <v/>
      </c>
      <c r="O1237" s="7"/>
    </row>
    <row r="1238" customFormat="false" ht="15" hidden="false" customHeight="false" outlineLevel="0" collapsed="false">
      <c r="A1238" s="35"/>
      <c r="B1238" s="35"/>
      <c r="C1238" s="37" t="str">
        <f aca="false">IF(B1238="","",IFERROR(INDEX(Applications!$B$5:$B$600,MATCH(B1238,Applications!$A$5:$A$600,0)),"Application ID not found"))</f>
        <v/>
      </c>
      <c r="D1238" s="35"/>
      <c r="E1238" s="35"/>
      <c r="F1238" s="36"/>
      <c r="G1238" s="35"/>
      <c r="H1238" s="35"/>
      <c r="I1238" s="35"/>
      <c r="J1238" s="35"/>
      <c r="K1238" s="35"/>
      <c r="L1238" s="35"/>
      <c r="M1238" s="50" t="str">
        <f aca="false">IF(COUNT(G1238:L1238)&lt;6,"",ROUND((G1238*Rubric!$D$5+H1238*Rubric!$D$6+I1238*Rubric!$D$7+J1238*Rubric!$D$8+K1238*Rubric!$D$9+L1238*Rubric!$D$10)/5*100,1))</f>
        <v/>
      </c>
      <c r="N1238" s="37" t="str">
        <f aca="false">IF(OR(B1238="",D1238=""),"",IFERROR(IF(IF(E1238="Primary",INDEX(Applications!$I$5:$I$600,MATCH(B1238,Applications!$A$5:$A$600,0)),IF(E1238="Secondary",INDEX(Applications!$J$5:$J$600,MATCH(B1238,Applications!$A$5:$A$600,0)),INDEX(Applications!$K$5:$K$600,MATCH(B1238,Applications!$A$5:$A$600,0))))=D1238,"OK","Not assigned"),"Check ID"))</f>
        <v/>
      </c>
      <c r="O1238" s="7"/>
    </row>
    <row r="1239" customFormat="false" ht="15" hidden="false" customHeight="false" outlineLevel="0" collapsed="false">
      <c r="A1239" s="35"/>
      <c r="B1239" s="35"/>
      <c r="C1239" s="37" t="str">
        <f aca="false">IF(B1239="","",IFERROR(INDEX(Applications!$B$5:$B$600,MATCH(B1239,Applications!$A$5:$A$600,0)),"Application ID not found"))</f>
        <v/>
      </c>
      <c r="D1239" s="35"/>
      <c r="E1239" s="35"/>
      <c r="F1239" s="36"/>
      <c r="G1239" s="35"/>
      <c r="H1239" s="35"/>
      <c r="I1239" s="35"/>
      <c r="J1239" s="35"/>
      <c r="K1239" s="35"/>
      <c r="L1239" s="35"/>
      <c r="M1239" s="50" t="str">
        <f aca="false">IF(COUNT(G1239:L1239)&lt;6,"",ROUND((G1239*Rubric!$D$5+H1239*Rubric!$D$6+I1239*Rubric!$D$7+J1239*Rubric!$D$8+K1239*Rubric!$D$9+L1239*Rubric!$D$10)/5*100,1))</f>
        <v/>
      </c>
      <c r="N1239" s="37" t="str">
        <f aca="false">IF(OR(B1239="",D1239=""),"",IFERROR(IF(IF(E1239="Primary",INDEX(Applications!$I$5:$I$600,MATCH(B1239,Applications!$A$5:$A$600,0)),IF(E1239="Secondary",INDEX(Applications!$J$5:$J$600,MATCH(B1239,Applications!$A$5:$A$600,0)),INDEX(Applications!$K$5:$K$600,MATCH(B1239,Applications!$A$5:$A$600,0))))=D1239,"OK","Not assigned"),"Check ID"))</f>
        <v/>
      </c>
      <c r="O1239" s="7"/>
    </row>
    <row r="1240" customFormat="false" ht="15" hidden="false" customHeight="false" outlineLevel="0" collapsed="false">
      <c r="A1240" s="35"/>
      <c r="B1240" s="35"/>
      <c r="C1240" s="37" t="str">
        <f aca="false">IF(B1240="","",IFERROR(INDEX(Applications!$B$5:$B$600,MATCH(B1240,Applications!$A$5:$A$600,0)),"Application ID not found"))</f>
        <v/>
      </c>
      <c r="D1240" s="35"/>
      <c r="E1240" s="35"/>
      <c r="F1240" s="36"/>
      <c r="G1240" s="35"/>
      <c r="H1240" s="35"/>
      <c r="I1240" s="35"/>
      <c r="J1240" s="35"/>
      <c r="K1240" s="35"/>
      <c r="L1240" s="35"/>
      <c r="M1240" s="50" t="str">
        <f aca="false">IF(COUNT(G1240:L1240)&lt;6,"",ROUND((G1240*Rubric!$D$5+H1240*Rubric!$D$6+I1240*Rubric!$D$7+J1240*Rubric!$D$8+K1240*Rubric!$D$9+L1240*Rubric!$D$10)/5*100,1))</f>
        <v/>
      </c>
      <c r="N1240" s="37" t="str">
        <f aca="false">IF(OR(B1240="",D1240=""),"",IFERROR(IF(IF(E1240="Primary",INDEX(Applications!$I$5:$I$600,MATCH(B1240,Applications!$A$5:$A$600,0)),IF(E1240="Secondary",INDEX(Applications!$J$5:$J$600,MATCH(B1240,Applications!$A$5:$A$600,0)),INDEX(Applications!$K$5:$K$600,MATCH(B1240,Applications!$A$5:$A$600,0))))=D1240,"OK","Not assigned"),"Check ID"))</f>
        <v/>
      </c>
      <c r="O1240" s="7"/>
    </row>
    <row r="1241" customFormat="false" ht="15" hidden="false" customHeight="false" outlineLevel="0" collapsed="false">
      <c r="A1241" s="35"/>
      <c r="B1241" s="35"/>
      <c r="C1241" s="37" t="str">
        <f aca="false">IF(B1241="","",IFERROR(INDEX(Applications!$B$5:$B$600,MATCH(B1241,Applications!$A$5:$A$600,0)),"Application ID not found"))</f>
        <v/>
      </c>
      <c r="D1241" s="35"/>
      <c r="E1241" s="35"/>
      <c r="F1241" s="36"/>
      <c r="G1241" s="35"/>
      <c r="H1241" s="35"/>
      <c r="I1241" s="35"/>
      <c r="J1241" s="35"/>
      <c r="K1241" s="35"/>
      <c r="L1241" s="35"/>
      <c r="M1241" s="50" t="str">
        <f aca="false">IF(COUNT(G1241:L1241)&lt;6,"",ROUND((G1241*Rubric!$D$5+H1241*Rubric!$D$6+I1241*Rubric!$D$7+J1241*Rubric!$D$8+K1241*Rubric!$D$9+L1241*Rubric!$D$10)/5*100,1))</f>
        <v/>
      </c>
      <c r="N1241" s="37" t="str">
        <f aca="false">IF(OR(B1241="",D1241=""),"",IFERROR(IF(IF(E1241="Primary",INDEX(Applications!$I$5:$I$600,MATCH(B1241,Applications!$A$5:$A$600,0)),IF(E1241="Secondary",INDEX(Applications!$J$5:$J$600,MATCH(B1241,Applications!$A$5:$A$600,0)),INDEX(Applications!$K$5:$K$600,MATCH(B1241,Applications!$A$5:$A$600,0))))=D1241,"OK","Not assigned"),"Check ID"))</f>
        <v/>
      </c>
      <c r="O1241" s="7"/>
    </row>
    <row r="1242" customFormat="false" ht="15" hidden="false" customHeight="false" outlineLevel="0" collapsed="false">
      <c r="A1242" s="35"/>
      <c r="B1242" s="35"/>
      <c r="C1242" s="37" t="str">
        <f aca="false">IF(B1242="","",IFERROR(INDEX(Applications!$B$5:$B$600,MATCH(B1242,Applications!$A$5:$A$600,0)),"Application ID not found"))</f>
        <v/>
      </c>
      <c r="D1242" s="35"/>
      <c r="E1242" s="35"/>
      <c r="F1242" s="36"/>
      <c r="G1242" s="35"/>
      <c r="H1242" s="35"/>
      <c r="I1242" s="35"/>
      <c r="J1242" s="35"/>
      <c r="K1242" s="35"/>
      <c r="L1242" s="35"/>
      <c r="M1242" s="50" t="str">
        <f aca="false">IF(COUNT(G1242:L1242)&lt;6,"",ROUND((G1242*Rubric!$D$5+H1242*Rubric!$D$6+I1242*Rubric!$D$7+J1242*Rubric!$D$8+K1242*Rubric!$D$9+L1242*Rubric!$D$10)/5*100,1))</f>
        <v/>
      </c>
      <c r="N1242" s="37" t="str">
        <f aca="false">IF(OR(B1242="",D1242=""),"",IFERROR(IF(IF(E1242="Primary",INDEX(Applications!$I$5:$I$600,MATCH(B1242,Applications!$A$5:$A$600,0)),IF(E1242="Secondary",INDEX(Applications!$J$5:$J$600,MATCH(B1242,Applications!$A$5:$A$600,0)),INDEX(Applications!$K$5:$K$600,MATCH(B1242,Applications!$A$5:$A$600,0))))=D1242,"OK","Not assigned"),"Check ID"))</f>
        <v/>
      </c>
      <c r="O1242" s="7"/>
    </row>
    <row r="1243" customFormat="false" ht="15" hidden="false" customHeight="false" outlineLevel="0" collapsed="false">
      <c r="A1243" s="35"/>
      <c r="B1243" s="35"/>
      <c r="C1243" s="37" t="str">
        <f aca="false">IF(B1243="","",IFERROR(INDEX(Applications!$B$5:$B$600,MATCH(B1243,Applications!$A$5:$A$600,0)),"Application ID not found"))</f>
        <v/>
      </c>
      <c r="D1243" s="35"/>
      <c r="E1243" s="35"/>
      <c r="F1243" s="36"/>
      <c r="G1243" s="35"/>
      <c r="H1243" s="35"/>
      <c r="I1243" s="35"/>
      <c r="J1243" s="35"/>
      <c r="K1243" s="35"/>
      <c r="L1243" s="35"/>
      <c r="M1243" s="50" t="str">
        <f aca="false">IF(COUNT(G1243:L1243)&lt;6,"",ROUND((G1243*Rubric!$D$5+H1243*Rubric!$D$6+I1243*Rubric!$D$7+J1243*Rubric!$D$8+K1243*Rubric!$D$9+L1243*Rubric!$D$10)/5*100,1))</f>
        <v/>
      </c>
      <c r="N1243" s="37" t="str">
        <f aca="false">IF(OR(B1243="",D1243=""),"",IFERROR(IF(IF(E1243="Primary",INDEX(Applications!$I$5:$I$600,MATCH(B1243,Applications!$A$5:$A$600,0)),IF(E1243="Secondary",INDEX(Applications!$J$5:$J$600,MATCH(B1243,Applications!$A$5:$A$600,0)),INDEX(Applications!$K$5:$K$600,MATCH(B1243,Applications!$A$5:$A$600,0))))=D1243,"OK","Not assigned"),"Check ID"))</f>
        <v/>
      </c>
      <c r="O1243" s="7"/>
    </row>
    <row r="1244" customFormat="false" ht="15" hidden="false" customHeight="false" outlineLevel="0" collapsed="false">
      <c r="A1244" s="35"/>
      <c r="B1244" s="35"/>
      <c r="C1244" s="37" t="str">
        <f aca="false">IF(B1244="","",IFERROR(INDEX(Applications!$B$5:$B$600,MATCH(B1244,Applications!$A$5:$A$600,0)),"Application ID not found"))</f>
        <v/>
      </c>
      <c r="D1244" s="35"/>
      <c r="E1244" s="35"/>
      <c r="F1244" s="36"/>
      <c r="G1244" s="35"/>
      <c r="H1244" s="35"/>
      <c r="I1244" s="35"/>
      <c r="J1244" s="35"/>
      <c r="K1244" s="35"/>
      <c r="L1244" s="35"/>
      <c r="M1244" s="50" t="str">
        <f aca="false">IF(COUNT(G1244:L1244)&lt;6,"",ROUND((G1244*Rubric!$D$5+H1244*Rubric!$D$6+I1244*Rubric!$D$7+J1244*Rubric!$D$8+K1244*Rubric!$D$9+L1244*Rubric!$D$10)/5*100,1))</f>
        <v/>
      </c>
      <c r="N1244" s="37" t="str">
        <f aca="false">IF(OR(B1244="",D1244=""),"",IFERROR(IF(IF(E1244="Primary",INDEX(Applications!$I$5:$I$600,MATCH(B1244,Applications!$A$5:$A$600,0)),IF(E1244="Secondary",INDEX(Applications!$J$5:$J$600,MATCH(B1244,Applications!$A$5:$A$600,0)),INDEX(Applications!$K$5:$K$600,MATCH(B1244,Applications!$A$5:$A$600,0))))=D1244,"OK","Not assigned"),"Check ID"))</f>
        <v/>
      </c>
      <c r="O1244" s="7"/>
    </row>
    <row r="1245" customFormat="false" ht="15" hidden="false" customHeight="false" outlineLevel="0" collapsed="false">
      <c r="A1245" s="35"/>
      <c r="B1245" s="35"/>
      <c r="C1245" s="37" t="str">
        <f aca="false">IF(B1245="","",IFERROR(INDEX(Applications!$B$5:$B$600,MATCH(B1245,Applications!$A$5:$A$600,0)),"Application ID not found"))</f>
        <v/>
      </c>
      <c r="D1245" s="35"/>
      <c r="E1245" s="35"/>
      <c r="F1245" s="36"/>
      <c r="G1245" s="35"/>
      <c r="H1245" s="35"/>
      <c r="I1245" s="35"/>
      <c r="J1245" s="35"/>
      <c r="K1245" s="35"/>
      <c r="L1245" s="35"/>
      <c r="M1245" s="50" t="str">
        <f aca="false">IF(COUNT(G1245:L1245)&lt;6,"",ROUND((G1245*Rubric!$D$5+H1245*Rubric!$D$6+I1245*Rubric!$D$7+J1245*Rubric!$D$8+K1245*Rubric!$D$9+L1245*Rubric!$D$10)/5*100,1))</f>
        <v/>
      </c>
      <c r="N1245" s="37" t="str">
        <f aca="false">IF(OR(B1245="",D1245=""),"",IFERROR(IF(IF(E1245="Primary",INDEX(Applications!$I$5:$I$600,MATCH(B1245,Applications!$A$5:$A$600,0)),IF(E1245="Secondary",INDEX(Applications!$J$5:$J$600,MATCH(B1245,Applications!$A$5:$A$600,0)),INDEX(Applications!$K$5:$K$600,MATCH(B1245,Applications!$A$5:$A$600,0))))=D1245,"OK","Not assigned"),"Check ID"))</f>
        <v/>
      </c>
      <c r="O1245" s="7"/>
    </row>
    <row r="1246" customFormat="false" ht="15" hidden="false" customHeight="false" outlineLevel="0" collapsed="false">
      <c r="A1246" s="35"/>
      <c r="B1246" s="35"/>
      <c r="C1246" s="37" t="str">
        <f aca="false">IF(B1246="","",IFERROR(INDEX(Applications!$B$5:$B$600,MATCH(B1246,Applications!$A$5:$A$600,0)),"Application ID not found"))</f>
        <v/>
      </c>
      <c r="D1246" s="35"/>
      <c r="E1246" s="35"/>
      <c r="F1246" s="36"/>
      <c r="G1246" s="35"/>
      <c r="H1246" s="35"/>
      <c r="I1246" s="35"/>
      <c r="J1246" s="35"/>
      <c r="K1246" s="35"/>
      <c r="L1246" s="35"/>
      <c r="M1246" s="50" t="str">
        <f aca="false">IF(COUNT(G1246:L1246)&lt;6,"",ROUND((G1246*Rubric!$D$5+H1246*Rubric!$D$6+I1246*Rubric!$D$7+J1246*Rubric!$D$8+K1246*Rubric!$D$9+L1246*Rubric!$D$10)/5*100,1))</f>
        <v/>
      </c>
      <c r="N1246" s="37" t="str">
        <f aca="false">IF(OR(B1246="",D1246=""),"",IFERROR(IF(IF(E1246="Primary",INDEX(Applications!$I$5:$I$600,MATCH(B1246,Applications!$A$5:$A$600,0)),IF(E1246="Secondary",INDEX(Applications!$J$5:$J$600,MATCH(B1246,Applications!$A$5:$A$600,0)),INDEX(Applications!$K$5:$K$600,MATCH(B1246,Applications!$A$5:$A$600,0))))=D1246,"OK","Not assigned"),"Check ID"))</f>
        <v/>
      </c>
      <c r="O1246" s="7"/>
    </row>
    <row r="1247" customFormat="false" ht="15" hidden="false" customHeight="false" outlineLevel="0" collapsed="false">
      <c r="A1247" s="35"/>
      <c r="B1247" s="35"/>
      <c r="C1247" s="37" t="str">
        <f aca="false">IF(B1247="","",IFERROR(INDEX(Applications!$B$5:$B$600,MATCH(B1247,Applications!$A$5:$A$600,0)),"Application ID not found"))</f>
        <v/>
      </c>
      <c r="D1247" s="35"/>
      <c r="E1247" s="35"/>
      <c r="F1247" s="36"/>
      <c r="G1247" s="35"/>
      <c r="H1247" s="35"/>
      <c r="I1247" s="35"/>
      <c r="J1247" s="35"/>
      <c r="K1247" s="35"/>
      <c r="L1247" s="35"/>
      <c r="M1247" s="50" t="str">
        <f aca="false">IF(COUNT(G1247:L1247)&lt;6,"",ROUND((G1247*Rubric!$D$5+H1247*Rubric!$D$6+I1247*Rubric!$D$7+J1247*Rubric!$D$8+K1247*Rubric!$D$9+L1247*Rubric!$D$10)/5*100,1))</f>
        <v/>
      </c>
      <c r="N1247" s="37" t="str">
        <f aca="false">IF(OR(B1247="",D1247=""),"",IFERROR(IF(IF(E1247="Primary",INDEX(Applications!$I$5:$I$600,MATCH(B1247,Applications!$A$5:$A$600,0)),IF(E1247="Secondary",INDEX(Applications!$J$5:$J$600,MATCH(B1247,Applications!$A$5:$A$600,0)),INDEX(Applications!$K$5:$K$600,MATCH(B1247,Applications!$A$5:$A$600,0))))=D1247,"OK","Not assigned"),"Check ID"))</f>
        <v/>
      </c>
      <c r="O1247" s="7"/>
    </row>
    <row r="1248" customFormat="false" ht="15" hidden="false" customHeight="false" outlineLevel="0" collapsed="false">
      <c r="A1248" s="35"/>
      <c r="B1248" s="35"/>
      <c r="C1248" s="37" t="str">
        <f aca="false">IF(B1248="","",IFERROR(INDEX(Applications!$B$5:$B$600,MATCH(B1248,Applications!$A$5:$A$600,0)),"Application ID not found"))</f>
        <v/>
      </c>
      <c r="D1248" s="35"/>
      <c r="E1248" s="35"/>
      <c r="F1248" s="36"/>
      <c r="G1248" s="35"/>
      <c r="H1248" s="35"/>
      <c r="I1248" s="35"/>
      <c r="J1248" s="35"/>
      <c r="K1248" s="35"/>
      <c r="L1248" s="35"/>
      <c r="M1248" s="50" t="str">
        <f aca="false">IF(COUNT(G1248:L1248)&lt;6,"",ROUND((G1248*Rubric!$D$5+H1248*Rubric!$D$6+I1248*Rubric!$D$7+J1248*Rubric!$D$8+K1248*Rubric!$D$9+L1248*Rubric!$D$10)/5*100,1))</f>
        <v/>
      </c>
      <c r="N1248" s="37" t="str">
        <f aca="false">IF(OR(B1248="",D1248=""),"",IFERROR(IF(IF(E1248="Primary",INDEX(Applications!$I$5:$I$600,MATCH(B1248,Applications!$A$5:$A$600,0)),IF(E1248="Secondary",INDEX(Applications!$J$5:$J$600,MATCH(B1248,Applications!$A$5:$A$600,0)),INDEX(Applications!$K$5:$K$600,MATCH(B1248,Applications!$A$5:$A$600,0))))=D1248,"OK","Not assigned"),"Check ID"))</f>
        <v/>
      </c>
      <c r="O1248" s="7"/>
    </row>
    <row r="1249" customFormat="false" ht="15" hidden="false" customHeight="false" outlineLevel="0" collapsed="false">
      <c r="A1249" s="35"/>
      <c r="B1249" s="35"/>
      <c r="C1249" s="37" t="str">
        <f aca="false">IF(B1249="","",IFERROR(INDEX(Applications!$B$5:$B$600,MATCH(B1249,Applications!$A$5:$A$600,0)),"Application ID not found"))</f>
        <v/>
      </c>
      <c r="D1249" s="35"/>
      <c r="E1249" s="35"/>
      <c r="F1249" s="36"/>
      <c r="G1249" s="35"/>
      <c r="H1249" s="35"/>
      <c r="I1249" s="35"/>
      <c r="J1249" s="35"/>
      <c r="K1249" s="35"/>
      <c r="L1249" s="35"/>
      <c r="M1249" s="50" t="str">
        <f aca="false">IF(COUNT(G1249:L1249)&lt;6,"",ROUND((G1249*Rubric!$D$5+H1249*Rubric!$D$6+I1249*Rubric!$D$7+J1249*Rubric!$D$8+K1249*Rubric!$D$9+L1249*Rubric!$D$10)/5*100,1))</f>
        <v/>
      </c>
      <c r="N1249" s="37" t="str">
        <f aca="false">IF(OR(B1249="",D1249=""),"",IFERROR(IF(IF(E1249="Primary",INDEX(Applications!$I$5:$I$600,MATCH(B1249,Applications!$A$5:$A$600,0)),IF(E1249="Secondary",INDEX(Applications!$J$5:$J$600,MATCH(B1249,Applications!$A$5:$A$600,0)),INDEX(Applications!$K$5:$K$600,MATCH(B1249,Applications!$A$5:$A$600,0))))=D1249,"OK","Not assigned"),"Check ID"))</f>
        <v/>
      </c>
      <c r="O1249" s="7"/>
    </row>
    <row r="1250" customFormat="false" ht="15" hidden="false" customHeight="false" outlineLevel="0" collapsed="false">
      <c r="A1250" s="35"/>
      <c r="B1250" s="35"/>
      <c r="C1250" s="37" t="str">
        <f aca="false">IF(B1250="","",IFERROR(INDEX(Applications!$B$5:$B$600,MATCH(B1250,Applications!$A$5:$A$600,0)),"Application ID not found"))</f>
        <v/>
      </c>
      <c r="D1250" s="35"/>
      <c r="E1250" s="35"/>
      <c r="F1250" s="36"/>
      <c r="G1250" s="35"/>
      <c r="H1250" s="35"/>
      <c r="I1250" s="35"/>
      <c r="J1250" s="35"/>
      <c r="K1250" s="35"/>
      <c r="L1250" s="35"/>
      <c r="M1250" s="50" t="str">
        <f aca="false">IF(COUNT(G1250:L1250)&lt;6,"",ROUND((G1250*Rubric!$D$5+H1250*Rubric!$D$6+I1250*Rubric!$D$7+J1250*Rubric!$D$8+K1250*Rubric!$D$9+L1250*Rubric!$D$10)/5*100,1))</f>
        <v/>
      </c>
      <c r="N1250" s="37" t="str">
        <f aca="false">IF(OR(B1250="",D1250=""),"",IFERROR(IF(IF(E1250="Primary",INDEX(Applications!$I$5:$I$600,MATCH(B1250,Applications!$A$5:$A$600,0)),IF(E1250="Secondary",INDEX(Applications!$J$5:$J$600,MATCH(B1250,Applications!$A$5:$A$600,0)),INDEX(Applications!$K$5:$K$600,MATCH(B1250,Applications!$A$5:$A$600,0))))=D1250,"OK","Not assigned"),"Check ID"))</f>
        <v/>
      </c>
      <c r="O1250" s="7"/>
    </row>
    <row r="1251" customFormat="false" ht="15" hidden="false" customHeight="false" outlineLevel="0" collapsed="false">
      <c r="A1251" s="35"/>
      <c r="B1251" s="35"/>
      <c r="C1251" s="37" t="str">
        <f aca="false">IF(B1251="","",IFERROR(INDEX(Applications!$B$5:$B$600,MATCH(B1251,Applications!$A$5:$A$600,0)),"Application ID not found"))</f>
        <v/>
      </c>
      <c r="D1251" s="35"/>
      <c r="E1251" s="35"/>
      <c r="F1251" s="36"/>
      <c r="G1251" s="35"/>
      <c r="H1251" s="35"/>
      <c r="I1251" s="35"/>
      <c r="J1251" s="35"/>
      <c r="K1251" s="35"/>
      <c r="L1251" s="35"/>
      <c r="M1251" s="50" t="str">
        <f aca="false">IF(COUNT(G1251:L1251)&lt;6,"",ROUND((G1251*Rubric!$D$5+H1251*Rubric!$D$6+I1251*Rubric!$D$7+J1251*Rubric!$D$8+K1251*Rubric!$D$9+L1251*Rubric!$D$10)/5*100,1))</f>
        <v/>
      </c>
      <c r="N1251" s="37" t="str">
        <f aca="false">IF(OR(B1251="",D1251=""),"",IFERROR(IF(IF(E1251="Primary",INDEX(Applications!$I$5:$I$600,MATCH(B1251,Applications!$A$5:$A$600,0)),IF(E1251="Secondary",INDEX(Applications!$J$5:$J$600,MATCH(B1251,Applications!$A$5:$A$600,0)),INDEX(Applications!$K$5:$K$600,MATCH(B1251,Applications!$A$5:$A$600,0))))=D1251,"OK","Not assigned"),"Check ID"))</f>
        <v/>
      </c>
      <c r="O1251" s="7"/>
    </row>
    <row r="1252" customFormat="false" ht="15" hidden="false" customHeight="false" outlineLevel="0" collapsed="false">
      <c r="A1252" s="35"/>
      <c r="B1252" s="35"/>
      <c r="C1252" s="37" t="str">
        <f aca="false">IF(B1252="","",IFERROR(INDEX(Applications!$B$5:$B$600,MATCH(B1252,Applications!$A$5:$A$600,0)),"Application ID not found"))</f>
        <v/>
      </c>
      <c r="D1252" s="35"/>
      <c r="E1252" s="35"/>
      <c r="F1252" s="36"/>
      <c r="G1252" s="35"/>
      <c r="H1252" s="35"/>
      <c r="I1252" s="35"/>
      <c r="J1252" s="35"/>
      <c r="K1252" s="35"/>
      <c r="L1252" s="35"/>
      <c r="M1252" s="50" t="str">
        <f aca="false">IF(COUNT(G1252:L1252)&lt;6,"",ROUND((G1252*Rubric!$D$5+H1252*Rubric!$D$6+I1252*Rubric!$D$7+J1252*Rubric!$D$8+K1252*Rubric!$D$9+L1252*Rubric!$D$10)/5*100,1))</f>
        <v/>
      </c>
      <c r="N1252" s="37" t="str">
        <f aca="false">IF(OR(B1252="",D1252=""),"",IFERROR(IF(IF(E1252="Primary",INDEX(Applications!$I$5:$I$600,MATCH(B1252,Applications!$A$5:$A$600,0)),IF(E1252="Secondary",INDEX(Applications!$J$5:$J$600,MATCH(B1252,Applications!$A$5:$A$600,0)),INDEX(Applications!$K$5:$K$600,MATCH(B1252,Applications!$A$5:$A$600,0))))=D1252,"OK","Not assigned"),"Check ID"))</f>
        <v/>
      </c>
      <c r="O1252" s="7"/>
    </row>
    <row r="1253" customFormat="false" ht="15" hidden="false" customHeight="false" outlineLevel="0" collapsed="false">
      <c r="A1253" s="35"/>
      <c r="B1253" s="35"/>
      <c r="C1253" s="37" t="str">
        <f aca="false">IF(B1253="","",IFERROR(INDEX(Applications!$B$5:$B$600,MATCH(B1253,Applications!$A$5:$A$600,0)),"Application ID not found"))</f>
        <v/>
      </c>
      <c r="D1253" s="35"/>
      <c r="E1253" s="35"/>
      <c r="F1253" s="36"/>
      <c r="G1253" s="35"/>
      <c r="H1253" s="35"/>
      <c r="I1253" s="35"/>
      <c r="J1253" s="35"/>
      <c r="K1253" s="35"/>
      <c r="L1253" s="35"/>
      <c r="M1253" s="50" t="str">
        <f aca="false">IF(COUNT(G1253:L1253)&lt;6,"",ROUND((G1253*Rubric!$D$5+H1253*Rubric!$D$6+I1253*Rubric!$D$7+J1253*Rubric!$D$8+K1253*Rubric!$D$9+L1253*Rubric!$D$10)/5*100,1))</f>
        <v/>
      </c>
      <c r="N1253" s="37" t="str">
        <f aca="false">IF(OR(B1253="",D1253=""),"",IFERROR(IF(IF(E1253="Primary",INDEX(Applications!$I$5:$I$600,MATCH(B1253,Applications!$A$5:$A$600,0)),IF(E1253="Secondary",INDEX(Applications!$J$5:$J$600,MATCH(B1253,Applications!$A$5:$A$600,0)),INDEX(Applications!$K$5:$K$600,MATCH(B1253,Applications!$A$5:$A$600,0))))=D1253,"OK","Not assigned"),"Check ID"))</f>
        <v/>
      </c>
      <c r="O1253" s="7"/>
    </row>
    <row r="1254" customFormat="false" ht="15" hidden="false" customHeight="false" outlineLevel="0" collapsed="false">
      <c r="A1254" s="35"/>
      <c r="B1254" s="35"/>
      <c r="C1254" s="37" t="str">
        <f aca="false">IF(B1254="","",IFERROR(INDEX(Applications!$B$5:$B$600,MATCH(B1254,Applications!$A$5:$A$600,0)),"Application ID not found"))</f>
        <v/>
      </c>
      <c r="D1254" s="35"/>
      <c r="E1254" s="35"/>
      <c r="F1254" s="36"/>
      <c r="G1254" s="35"/>
      <c r="H1254" s="35"/>
      <c r="I1254" s="35"/>
      <c r="J1254" s="35"/>
      <c r="K1254" s="35"/>
      <c r="L1254" s="35"/>
      <c r="M1254" s="50" t="str">
        <f aca="false">IF(COUNT(G1254:L1254)&lt;6,"",ROUND((G1254*Rubric!$D$5+H1254*Rubric!$D$6+I1254*Rubric!$D$7+J1254*Rubric!$D$8+K1254*Rubric!$D$9+L1254*Rubric!$D$10)/5*100,1))</f>
        <v/>
      </c>
      <c r="N1254" s="37" t="str">
        <f aca="false">IF(OR(B1254="",D1254=""),"",IFERROR(IF(IF(E1254="Primary",INDEX(Applications!$I$5:$I$600,MATCH(B1254,Applications!$A$5:$A$600,0)),IF(E1254="Secondary",INDEX(Applications!$J$5:$J$600,MATCH(B1254,Applications!$A$5:$A$600,0)),INDEX(Applications!$K$5:$K$600,MATCH(B1254,Applications!$A$5:$A$600,0))))=D1254,"OK","Not assigned"),"Check ID"))</f>
        <v/>
      </c>
      <c r="O1254" s="7"/>
    </row>
    <row r="1255" customFormat="false" ht="15" hidden="false" customHeight="false" outlineLevel="0" collapsed="false">
      <c r="A1255" s="35"/>
      <c r="B1255" s="35"/>
      <c r="C1255" s="37" t="str">
        <f aca="false">IF(B1255="","",IFERROR(INDEX(Applications!$B$5:$B$600,MATCH(B1255,Applications!$A$5:$A$600,0)),"Application ID not found"))</f>
        <v/>
      </c>
      <c r="D1255" s="35"/>
      <c r="E1255" s="35"/>
      <c r="F1255" s="36"/>
      <c r="G1255" s="35"/>
      <c r="H1255" s="35"/>
      <c r="I1255" s="35"/>
      <c r="J1255" s="35"/>
      <c r="K1255" s="35"/>
      <c r="L1255" s="35"/>
      <c r="M1255" s="50" t="str">
        <f aca="false">IF(COUNT(G1255:L1255)&lt;6,"",ROUND((G1255*Rubric!$D$5+H1255*Rubric!$D$6+I1255*Rubric!$D$7+J1255*Rubric!$D$8+K1255*Rubric!$D$9+L1255*Rubric!$D$10)/5*100,1))</f>
        <v/>
      </c>
      <c r="N1255" s="37" t="str">
        <f aca="false">IF(OR(B1255="",D1255=""),"",IFERROR(IF(IF(E1255="Primary",INDEX(Applications!$I$5:$I$600,MATCH(B1255,Applications!$A$5:$A$600,0)),IF(E1255="Secondary",INDEX(Applications!$J$5:$J$600,MATCH(B1255,Applications!$A$5:$A$600,0)),INDEX(Applications!$K$5:$K$600,MATCH(B1255,Applications!$A$5:$A$600,0))))=D1255,"OK","Not assigned"),"Check ID"))</f>
        <v/>
      </c>
      <c r="O1255" s="7"/>
    </row>
    <row r="1256" customFormat="false" ht="15" hidden="false" customHeight="false" outlineLevel="0" collapsed="false">
      <c r="A1256" s="35"/>
      <c r="B1256" s="35"/>
      <c r="C1256" s="37" t="str">
        <f aca="false">IF(B1256="","",IFERROR(INDEX(Applications!$B$5:$B$600,MATCH(B1256,Applications!$A$5:$A$600,0)),"Application ID not found"))</f>
        <v/>
      </c>
      <c r="D1256" s="35"/>
      <c r="E1256" s="35"/>
      <c r="F1256" s="36"/>
      <c r="G1256" s="35"/>
      <c r="H1256" s="35"/>
      <c r="I1256" s="35"/>
      <c r="J1256" s="35"/>
      <c r="K1256" s="35"/>
      <c r="L1256" s="35"/>
      <c r="M1256" s="50" t="str">
        <f aca="false">IF(COUNT(G1256:L1256)&lt;6,"",ROUND((G1256*Rubric!$D$5+H1256*Rubric!$D$6+I1256*Rubric!$D$7+J1256*Rubric!$D$8+K1256*Rubric!$D$9+L1256*Rubric!$D$10)/5*100,1))</f>
        <v/>
      </c>
      <c r="N1256" s="37" t="str">
        <f aca="false">IF(OR(B1256="",D1256=""),"",IFERROR(IF(IF(E1256="Primary",INDEX(Applications!$I$5:$I$600,MATCH(B1256,Applications!$A$5:$A$600,0)),IF(E1256="Secondary",INDEX(Applications!$J$5:$J$600,MATCH(B1256,Applications!$A$5:$A$600,0)),INDEX(Applications!$K$5:$K$600,MATCH(B1256,Applications!$A$5:$A$600,0))))=D1256,"OK","Not assigned"),"Check ID"))</f>
        <v/>
      </c>
      <c r="O1256" s="7"/>
    </row>
    <row r="1257" customFormat="false" ht="15" hidden="false" customHeight="false" outlineLevel="0" collapsed="false">
      <c r="A1257" s="35"/>
      <c r="B1257" s="35"/>
      <c r="C1257" s="37" t="str">
        <f aca="false">IF(B1257="","",IFERROR(INDEX(Applications!$B$5:$B$600,MATCH(B1257,Applications!$A$5:$A$600,0)),"Application ID not found"))</f>
        <v/>
      </c>
      <c r="D1257" s="35"/>
      <c r="E1257" s="35"/>
      <c r="F1257" s="36"/>
      <c r="G1257" s="35"/>
      <c r="H1257" s="35"/>
      <c r="I1257" s="35"/>
      <c r="J1257" s="35"/>
      <c r="K1257" s="35"/>
      <c r="L1257" s="35"/>
      <c r="M1257" s="50" t="str">
        <f aca="false">IF(COUNT(G1257:L1257)&lt;6,"",ROUND((G1257*Rubric!$D$5+H1257*Rubric!$D$6+I1257*Rubric!$D$7+J1257*Rubric!$D$8+K1257*Rubric!$D$9+L1257*Rubric!$D$10)/5*100,1))</f>
        <v/>
      </c>
      <c r="N1257" s="37" t="str">
        <f aca="false">IF(OR(B1257="",D1257=""),"",IFERROR(IF(IF(E1257="Primary",INDEX(Applications!$I$5:$I$600,MATCH(B1257,Applications!$A$5:$A$600,0)),IF(E1257="Secondary",INDEX(Applications!$J$5:$J$600,MATCH(B1257,Applications!$A$5:$A$600,0)),INDEX(Applications!$K$5:$K$600,MATCH(B1257,Applications!$A$5:$A$600,0))))=D1257,"OK","Not assigned"),"Check ID"))</f>
        <v/>
      </c>
      <c r="O1257" s="7"/>
    </row>
    <row r="1258" customFormat="false" ht="15" hidden="false" customHeight="false" outlineLevel="0" collapsed="false">
      <c r="A1258" s="35"/>
      <c r="B1258" s="35"/>
      <c r="C1258" s="37" t="str">
        <f aca="false">IF(B1258="","",IFERROR(INDEX(Applications!$B$5:$B$600,MATCH(B1258,Applications!$A$5:$A$600,0)),"Application ID not found"))</f>
        <v/>
      </c>
      <c r="D1258" s="35"/>
      <c r="E1258" s="35"/>
      <c r="F1258" s="36"/>
      <c r="G1258" s="35"/>
      <c r="H1258" s="35"/>
      <c r="I1258" s="35"/>
      <c r="J1258" s="35"/>
      <c r="K1258" s="35"/>
      <c r="L1258" s="35"/>
      <c r="M1258" s="50" t="str">
        <f aca="false">IF(COUNT(G1258:L1258)&lt;6,"",ROUND((G1258*Rubric!$D$5+H1258*Rubric!$D$6+I1258*Rubric!$D$7+J1258*Rubric!$D$8+K1258*Rubric!$D$9+L1258*Rubric!$D$10)/5*100,1))</f>
        <v/>
      </c>
      <c r="N1258" s="37" t="str">
        <f aca="false">IF(OR(B1258="",D1258=""),"",IFERROR(IF(IF(E1258="Primary",INDEX(Applications!$I$5:$I$600,MATCH(B1258,Applications!$A$5:$A$600,0)),IF(E1258="Secondary",INDEX(Applications!$J$5:$J$600,MATCH(B1258,Applications!$A$5:$A$600,0)),INDEX(Applications!$K$5:$K$600,MATCH(B1258,Applications!$A$5:$A$600,0))))=D1258,"OK","Not assigned"),"Check ID"))</f>
        <v/>
      </c>
      <c r="O1258" s="7"/>
    </row>
    <row r="1259" customFormat="false" ht="15" hidden="false" customHeight="false" outlineLevel="0" collapsed="false">
      <c r="A1259" s="35"/>
      <c r="B1259" s="35"/>
      <c r="C1259" s="37" t="str">
        <f aca="false">IF(B1259="","",IFERROR(INDEX(Applications!$B$5:$B$600,MATCH(B1259,Applications!$A$5:$A$600,0)),"Application ID not found"))</f>
        <v/>
      </c>
      <c r="D1259" s="35"/>
      <c r="E1259" s="35"/>
      <c r="F1259" s="36"/>
      <c r="G1259" s="35"/>
      <c r="H1259" s="35"/>
      <c r="I1259" s="35"/>
      <c r="J1259" s="35"/>
      <c r="K1259" s="35"/>
      <c r="L1259" s="35"/>
      <c r="M1259" s="50" t="str">
        <f aca="false">IF(COUNT(G1259:L1259)&lt;6,"",ROUND((G1259*Rubric!$D$5+H1259*Rubric!$D$6+I1259*Rubric!$D$7+J1259*Rubric!$D$8+K1259*Rubric!$D$9+L1259*Rubric!$D$10)/5*100,1))</f>
        <v/>
      </c>
      <c r="N1259" s="37" t="str">
        <f aca="false">IF(OR(B1259="",D1259=""),"",IFERROR(IF(IF(E1259="Primary",INDEX(Applications!$I$5:$I$600,MATCH(B1259,Applications!$A$5:$A$600,0)),IF(E1259="Secondary",INDEX(Applications!$J$5:$J$600,MATCH(B1259,Applications!$A$5:$A$600,0)),INDEX(Applications!$K$5:$K$600,MATCH(B1259,Applications!$A$5:$A$600,0))))=D1259,"OK","Not assigned"),"Check ID"))</f>
        <v/>
      </c>
      <c r="O1259" s="7"/>
    </row>
    <row r="1260" customFormat="false" ht="15" hidden="false" customHeight="false" outlineLevel="0" collapsed="false">
      <c r="A1260" s="35"/>
      <c r="B1260" s="35"/>
      <c r="C1260" s="37" t="str">
        <f aca="false">IF(B1260="","",IFERROR(INDEX(Applications!$B$5:$B$600,MATCH(B1260,Applications!$A$5:$A$600,0)),"Application ID not found"))</f>
        <v/>
      </c>
      <c r="D1260" s="35"/>
      <c r="E1260" s="35"/>
      <c r="F1260" s="36"/>
      <c r="G1260" s="35"/>
      <c r="H1260" s="35"/>
      <c r="I1260" s="35"/>
      <c r="J1260" s="35"/>
      <c r="K1260" s="35"/>
      <c r="L1260" s="35"/>
      <c r="M1260" s="50" t="str">
        <f aca="false">IF(COUNT(G1260:L1260)&lt;6,"",ROUND((G1260*Rubric!$D$5+H1260*Rubric!$D$6+I1260*Rubric!$D$7+J1260*Rubric!$D$8+K1260*Rubric!$D$9+L1260*Rubric!$D$10)/5*100,1))</f>
        <v/>
      </c>
      <c r="N1260" s="37" t="str">
        <f aca="false">IF(OR(B1260="",D1260=""),"",IFERROR(IF(IF(E1260="Primary",INDEX(Applications!$I$5:$I$600,MATCH(B1260,Applications!$A$5:$A$600,0)),IF(E1260="Secondary",INDEX(Applications!$J$5:$J$600,MATCH(B1260,Applications!$A$5:$A$600,0)),INDEX(Applications!$K$5:$K$600,MATCH(B1260,Applications!$A$5:$A$600,0))))=D1260,"OK","Not assigned"),"Check ID"))</f>
        <v/>
      </c>
      <c r="O1260" s="7"/>
    </row>
    <row r="1261" customFormat="false" ht="15" hidden="false" customHeight="false" outlineLevel="0" collapsed="false">
      <c r="A1261" s="35"/>
      <c r="B1261" s="35"/>
      <c r="C1261" s="37" t="str">
        <f aca="false">IF(B1261="","",IFERROR(INDEX(Applications!$B$5:$B$600,MATCH(B1261,Applications!$A$5:$A$600,0)),"Application ID not found"))</f>
        <v/>
      </c>
      <c r="D1261" s="35"/>
      <c r="E1261" s="35"/>
      <c r="F1261" s="36"/>
      <c r="G1261" s="35"/>
      <c r="H1261" s="35"/>
      <c r="I1261" s="35"/>
      <c r="J1261" s="35"/>
      <c r="K1261" s="35"/>
      <c r="L1261" s="35"/>
      <c r="M1261" s="50" t="str">
        <f aca="false">IF(COUNT(G1261:L1261)&lt;6,"",ROUND((G1261*Rubric!$D$5+H1261*Rubric!$D$6+I1261*Rubric!$D$7+J1261*Rubric!$D$8+K1261*Rubric!$D$9+L1261*Rubric!$D$10)/5*100,1))</f>
        <v/>
      </c>
      <c r="N1261" s="37" t="str">
        <f aca="false">IF(OR(B1261="",D1261=""),"",IFERROR(IF(IF(E1261="Primary",INDEX(Applications!$I$5:$I$600,MATCH(B1261,Applications!$A$5:$A$600,0)),IF(E1261="Secondary",INDEX(Applications!$J$5:$J$600,MATCH(B1261,Applications!$A$5:$A$600,0)),INDEX(Applications!$K$5:$K$600,MATCH(B1261,Applications!$A$5:$A$600,0))))=D1261,"OK","Not assigned"),"Check ID"))</f>
        <v/>
      </c>
      <c r="O1261" s="7"/>
    </row>
    <row r="1262" customFormat="false" ht="15" hidden="false" customHeight="false" outlineLevel="0" collapsed="false">
      <c r="A1262" s="35"/>
      <c r="B1262" s="35"/>
      <c r="C1262" s="37" t="str">
        <f aca="false">IF(B1262="","",IFERROR(INDEX(Applications!$B$5:$B$600,MATCH(B1262,Applications!$A$5:$A$600,0)),"Application ID not found"))</f>
        <v/>
      </c>
      <c r="D1262" s="35"/>
      <c r="E1262" s="35"/>
      <c r="F1262" s="36"/>
      <c r="G1262" s="35"/>
      <c r="H1262" s="35"/>
      <c r="I1262" s="35"/>
      <c r="J1262" s="35"/>
      <c r="K1262" s="35"/>
      <c r="L1262" s="35"/>
      <c r="M1262" s="50" t="str">
        <f aca="false">IF(COUNT(G1262:L1262)&lt;6,"",ROUND((G1262*Rubric!$D$5+H1262*Rubric!$D$6+I1262*Rubric!$D$7+J1262*Rubric!$D$8+K1262*Rubric!$D$9+L1262*Rubric!$D$10)/5*100,1))</f>
        <v/>
      </c>
      <c r="N1262" s="37" t="str">
        <f aca="false">IF(OR(B1262="",D1262=""),"",IFERROR(IF(IF(E1262="Primary",INDEX(Applications!$I$5:$I$600,MATCH(B1262,Applications!$A$5:$A$600,0)),IF(E1262="Secondary",INDEX(Applications!$J$5:$J$600,MATCH(B1262,Applications!$A$5:$A$600,0)),INDEX(Applications!$K$5:$K$600,MATCH(B1262,Applications!$A$5:$A$600,0))))=D1262,"OK","Not assigned"),"Check ID"))</f>
        <v/>
      </c>
      <c r="O1262" s="7"/>
    </row>
    <row r="1263" customFormat="false" ht="15" hidden="false" customHeight="false" outlineLevel="0" collapsed="false">
      <c r="A1263" s="35"/>
      <c r="B1263" s="35"/>
      <c r="C1263" s="37" t="str">
        <f aca="false">IF(B1263="","",IFERROR(INDEX(Applications!$B$5:$B$600,MATCH(B1263,Applications!$A$5:$A$600,0)),"Application ID not found"))</f>
        <v/>
      </c>
      <c r="D1263" s="35"/>
      <c r="E1263" s="35"/>
      <c r="F1263" s="36"/>
      <c r="G1263" s="35"/>
      <c r="H1263" s="35"/>
      <c r="I1263" s="35"/>
      <c r="J1263" s="35"/>
      <c r="K1263" s="35"/>
      <c r="L1263" s="35"/>
      <c r="M1263" s="50" t="str">
        <f aca="false">IF(COUNT(G1263:L1263)&lt;6,"",ROUND((G1263*Rubric!$D$5+H1263*Rubric!$D$6+I1263*Rubric!$D$7+J1263*Rubric!$D$8+K1263*Rubric!$D$9+L1263*Rubric!$D$10)/5*100,1))</f>
        <v/>
      </c>
      <c r="N1263" s="37" t="str">
        <f aca="false">IF(OR(B1263="",D1263=""),"",IFERROR(IF(IF(E1263="Primary",INDEX(Applications!$I$5:$I$600,MATCH(B1263,Applications!$A$5:$A$600,0)),IF(E1263="Secondary",INDEX(Applications!$J$5:$J$600,MATCH(B1263,Applications!$A$5:$A$600,0)),INDEX(Applications!$K$5:$K$600,MATCH(B1263,Applications!$A$5:$A$600,0))))=D1263,"OK","Not assigned"),"Check ID"))</f>
        <v/>
      </c>
      <c r="O1263" s="7"/>
    </row>
    <row r="1264" customFormat="false" ht="15" hidden="false" customHeight="false" outlineLevel="0" collapsed="false">
      <c r="A1264" s="35"/>
      <c r="B1264" s="35"/>
      <c r="C1264" s="37" t="str">
        <f aca="false">IF(B1264="","",IFERROR(INDEX(Applications!$B$5:$B$600,MATCH(B1264,Applications!$A$5:$A$600,0)),"Application ID not found"))</f>
        <v/>
      </c>
      <c r="D1264" s="35"/>
      <c r="E1264" s="35"/>
      <c r="F1264" s="36"/>
      <c r="G1264" s="35"/>
      <c r="H1264" s="35"/>
      <c r="I1264" s="35"/>
      <c r="J1264" s="35"/>
      <c r="K1264" s="35"/>
      <c r="L1264" s="35"/>
      <c r="M1264" s="50" t="str">
        <f aca="false">IF(COUNT(G1264:L1264)&lt;6,"",ROUND((G1264*Rubric!$D$5+H1264*Rubric!$D$6+I1264*Rubric!$D$7+J1264*Rubric!$D$8+K1264*Rubric!$D$9+L1264*Rubric!$D$10)/5*100,1))</f>
        <v/>
      </c>
      <c r="N1264" s="37" t="str">
        <f aca="false">IF(OR(B1264="",D1264=""),"",IFERROR(IF(IF(E1264="Primary",INDEX(Applications!$I$5:$I$600,MATCH(B1264,Applications!$A$5:$A$600,0)),IF(E1264="Secondary",INDEX(Applications!$J$5:$J$600,MATCH(B1264,Applications!$A$5:$A$600,0)),INDEX(Applications!$K$5:$K$600,MATCH(B1264,Applications!$A$5:$A$600,0))))=D1264,"OK","Not assigned"),"Check ID"))</f>
        <v/>
      </c>
      <c r="O1264" s="7"/>
    </row>
    <row r="1265" customFormat="false" ht="15" hidden="false" customHeight="false" outlineLevel="0" collapsed="false">
      <c r="A1265" s="35"/>
      <c r="B1265" s="35"/>
      <c r="C1265" s="37" t="str">
        <f aca="false">IF(B1265="","",IFERROR(INDEX(Applications!$B$5:$B$600,MATCH(B1265,Applications!$A$5:$A$600,0)),"Application ID not found"))</f>
        <v/>
      </c>
      <c r="D1265" s="35"/>
      <c r="E1265" s="35"/>
      <c r="F1265" s="36"/>
      <c r="G1265" s="35"/>
      <c r="H1265" s="35"/>
      <c r="I1265" s="35"/>
      <c r="J1265" s="35"/>
      <c r="K1265" s="35"/>
      <c r="L1265" s="35"/>
      <c r="M1265" s="50" t="str">
        <f aca="false">IF(COUNT(G1265:L1265)&lt;6,"",ROUND((G1265*Rubric!$D$5+H1265*Rubric!$D$6+I1265*Rubric!$D$7+J1265*Rubric!$D$8+K1265*Rubric!$D$9+L1265*Rubric!$D$10)/5*100,1))</f>
        <v/>
      </c>
      <c r="N1265" s="37" t="str">
        <f aca="false">IF(OR(B1265="",D1265=""),"",IFERROR(IF(IF(E1265="Primary",INDEX(Applications!$I$5:$I$600,MATCH(B1265,Applications!$A$5:$A$600,0)),IF(E1265="Secondary",INDEX(Applications!$J$5:$J$600,MATCH(B1265,Applications!$A$5:$A$600,0)),INDEX(Applications!$K$5:$K$600,MATCH(B1265,Applications!$A$5:$A$600,0))))=D1265,"OK","Not assigned"),"Check ID"))</f>
        <v/>
      </c>
      <c r="O1265" s="7"/>
    </row>
    <row r="1266" customFormat="false" ht="15" hidden="false" customHeight="false" outlineLevel="0" collapsed="false">
      <c r="A1266" s="35"/>
      <c r="B1266" s="35"/>
      <c r="C1266" s="37" t="str">
        <f aca="false">IF(B1266="","",IFERROR(INDEX(Applications!$B$5:$B$600,MATCH(B1266,Applications!$A$5:$A$600,0)),"Application ID not found"))</f>
        <v/>
      </c>
      <c r="D1266" s="35"/>
      <c r="E1266" s="35"/>
      <c r="F1266" s="36"/>
      <c r="G1266" s="35"/>
      <c r="H1266" s="35"/>
      <c r="I1266" s="35"/>
      <c r="J1266" s="35"/>
      <c r="K1266" s="35"/>
      <c r="L1266" s="35"/>
      <c r="M1266" s="50" t="str">
        <f aca="false">IF(COUNT(G1266:L1266)&lt;6,"",ROUND((G1266*Rubric!$D$5+H1266*Rubric!$D$6+I1266*Rubric!$D$7+J1266*Rubric!$D$8+K1266*Rubric!$D$9+L1266*Rubric!$D$10)/5*100,1))</f>
        <v/>
      </c>
      <c r="N1266" s="37" t="str">
        <f aca="false">IF(OR(B1266="",D1266=""),"",IFERROR(IF(IF(E1266="Primary",INDEX(Applications!$I$5:$I$600,MATCH(B1266,Applications!$A$5:$A$600,0)),IF(E1266="Secondary",INDEX(Applications!$J$5:$J$600,MATCH(B1266,Applications!$A$5:$A$600,0)),INDEX(Applications!$K$5:$K$600,MATCH(B1266,Applications!$A$5:$A$600,0))))=D1266,"OK","Not assigned"),"Check ID"))</f>
        <v/>
      </c>
      <c r="O1266" s="7"/>
    </row>
    <row r="1267" customFormat="false" ht="15" hidden="false" customHeight="false" outlineLevel="0" collapsed="false">
      <c r="A1267" s="35"/>
      <c r="B1267" s="35"/>
      <c r="C1267" s="37" t="str">
        <f aca="false">IF(B1267="","",IFERROR(INDEX(Applications!$B$5:$B$600,MATCH(B1267,Applications!$A$5:$A$600,0)),"Application ID not found"))</f>
        <v/>
      </c>
      <c r="D1267" s="35"/>
      <c r="E1267" s="35"/>
      <c r="F1267" s="36"/>
      <c r="G1267" s="35"/>
      <c r="H1267" s="35"/>
      <c r="I1267" s="35"/>
      <c r="J1267" s="35"/>
      <c r="K1267" s="35"/>
      <c r="L1267" s="35"/>
      <c r="M1267" s="50" t="str">
        <f aca="false">IF(COUNT(G1267:L1267)&lt;6,"",ROUND((G1267*Rubric!$D$5+H1267*Rubric!$D$6+I1267*Rubric!$D$7+J1267*Rubric!$D$8+K1267*Rubric!$D$9+L1267*Rubric!$D$10)/5*100,1))</f>
        <v/>
      </c>
      <c r="N1267" s="37" t="str">
        <f aca="false">IF(OR(B1267="",D1267=""),"",IFERROR(IF(IF(E1267="Primary",INDEX(Applications!$I$5:$I$600,MATCH(B1267,Applications!$A$5:$A$600,0)),IF(E1267="Secondary",INDEX(Applications!$J$5:$J$600,MATCH(B1267,Applications!$A$5:$A$600,0)),INDEX(Applications!$K$5:$K$600,MATCH(B1267,Applications!$A$5:$A$600,0))))=D1267,"OK","Not assigned"),"Check ID"))</f>
        <v/>
      </c>
      <c r="O1267" s="7"/>
    </row>
    <row r="1268" customFormat="false" ht="15" hidden="false" customHeight="false" outlineLevel="0" collapsed="false">
      <c r="A1268" s="35"/>
      <c r="B1268" s="35"/>
      <c r="C1268" s="37" t="str">
        <f aca="false">IF(B1268="","",IFERROR(INDEX(Applications!$B$5:$B$600,MATCH(B1268,Applications!$A$5:$A$600,0)),"Application ID not found"))</f>
        <v/>
      </c>
      <c r="D1268" s="35"/>
      <c r="E1268" s="35"/>
      <c r="F1268" s="36"/>
      <c r="G1268" s="35"/>
      <c r="H1268" s="35"/>
      <c r="I1268" s="35"/>
      <c r="J1268" s="35"/>
      <c r="K1268" s="35"/>
      <c r="L1268" s="35"/>
      <c r="M1268" s="50" t="str">
        <f aca="false">IF(COUNT(G1268:L1268)&lt;6,"",ROUND((G1268*Rubric!$D$5+H1268*Rubric!$D$6+I1268*Rubric!$D$7+J1268*Rubric!$D$8+K1268*Rubric!$D$9+L1268*Rubric!$D$10)/5*100,1))</f>
        <v/>
      </c>
      <c r="N1268" s="37" t="str">
        <f aca="false">IF(OR(B1268="",D1268=""),"",IFERROR(IF(IF(E1268="Primary",INDEX(Applications!$I$5:$I$600,MATCH(B1268,Applications!$A$5:$A$600,0)),IF(E1268="Secondary",INDEX(Applications!$J$5:$J$600,MATCH(B1268,Applications!$A$5:$A$600,0)),INDEX(Applications!$K$5:$K$600,MATCH(B1268,Applications!$A$5:$A$600,0))))=D1268,"OK","Not assigned"),"Check ID"))</f>
        <v/>
      </c>
      <c r="O1268" s="7"/>
    </row>
    <row r="1269" customFormat="false" ht="15" hidden="false" customHeight="false" outlineLevel="0" collapsed="false">
      <c r="A1269" s="35"/>
      <c r="B1269" s="35"/>
      <c r="C1269" s="37" t="str">
        <f aca="false">IF(B1269="","",IFERROR(INDEX(Applications!$B$5:$B$600,MATCH(B1269,Applications!$A$5:$A$600,0)),"Application ID not found"))</f>
        <v/>
      </c>
      <c r="D1269" s="35"/>
      <c r="E1269" s="35"/>
      <c r="F1269" s="36"/>
      <c r="G1269" s="35"/>
      <c r="H1269" s="35"/>
      <c r="I1269" s="35"/>
      <c r="J1269" s="35"/>
      <c r="K1269" s="35"/>
      <c r="L1269" s="35"/>
      <c r="M1269" s="50" t="str">
        <f aca="false">IF(COUNT(G1269:L1269)&lt;6,"",ROUND((G1269*Rubric!$D$5+H1269*Rubric!$D$6+I1269*Rubric!$D$7+J1269*Rubric!$D$8+K1269*Rubric!$D$9+L1269*Rubric!$D$10)/5*100,1))</f>
        <v/>
      </c>
      <c r="N1269" s="37" t="str">
        <f aca="false">IF(OR(B1269="",D1269=""),"",IFERROR(IF(IF(E1269="Primary",INDEX(Applications!$I$5:$I$600,MATCH(B1269,Applications!$A$5:$A$600,0)),IF(E1269="Secondary",INDEX(Applications!$J$5:$J$600,MATCH(B1269,Applications!$A$5:$A$600,0)),INDEX(Applications!$K$5:$K$600,MATCH(B1269,Applications!$A$5:$A$600,0))))=D1269,"OK","Not assigned"),"Check ID"))</f>
        <v/>
      </c>
      <c r="O1269" s="7"/>
    </row>
    <row r="1270" customFormat="false" ht="15" hidden="false" customHeight="false" outlineLevel="0" collapsed="false">
      <c r="A1270" s="35"/>
      <c r="B1270" s="35"/>
      <c r="C1270" s="37" t="str">
        <f aca="false">IF(B1270="","",IFERROR(INDEX(Applications!$B$5:$B$600,MATCH(B1270,Applications!$A$5:$A$600,0)),"Application ID not found"))</f>
        <v/>
      </c>
      <c r="D1270" s="35"/>
      <c r="E1270" s="35"/>
      <c r="F1270" s="36"/>
      <c r="G1270" s="35"/>
      <c r="H1270" s="35"/>
      <c r="I1270" s="35"/>
      <c r="J1270" s="35"/>
      <c r="K1270" s="35"/>
      <c r="L1270" s="35"/>
      <c r="M1270" s="50" t="str">
        <f aca="false">IF(COUNT(G1270:L1270)&lt;6,"",ROUND((G1270*Rubric!$D$5+H1270*Rubric!$D$6+I1270*Rubric!$D$7+J1270*Rubric!$D$8+K1270*Rubric!$D$9+L1270*Rubric!$D$10)/5*100,1))</f>
        <v/>
      </c>
      <c r="N1270" s="37" t="str">
        <f aca="false">IF(OR(B1270="",D1270=""),"",IFERROR(IF(IF(E1270="Primary",INDEX(Applications!$I$5:$I$600,MATCH(B1270,Applications!$A$5:$A$600,0)),IF(E1270="Secondary",INDEX(Applications!$J$5:$J$600,MATCH(B1270,Applications!$A$5:$A$600,0)),INDEX(Applications!$K$5:$K$600,MATCH(B1270,Applications!$A$5:$A$600,0))))=D1270,"OK","Not assigned"),"Check ID"))</f>
        <v/>
      </c>
      <c r="O1270" s="7"/>
    </row>
    <row r="1271" customFormat="false" ht="15" hidden="false" customHeight="false" outlineLevel="0" collapsed="false">
      <c r="A1271" s="35"/>
      <c r="B1271" s="35"/>
      <c r="C1271" s="37" t="str">
        <f aca="false">IF(B1271="","",IFERROR(INDEX(Applications!$B$5:$B$600,MATCH(B1271,Applications!$A$5:$A$600,0)),"Application ID not found"))</f>
        <v/>
      </c>
      <c r="D1271" s="35"/>
      <c r="E1271" s="35"/>
      <c r="F1271" s="36"/>
      <c r="G1271" s="35"/>
      <c r="H1271" s="35"/>
      <c r="I1271" s="35"/>
      <c r="J1271" s="35"/>
      <c r="K1271" s="35"/>
      <c r="L1271" s="35"/>
      <c r="M1271" s="50" t="str">
        <f aca="false">IF(COUNT(G1271:L1271)&lt;6,"",ROUND((G1271*Rubric!$D$5+H1271*Rubric!$D$6+I1271*Rubric!$D$7+J1271*Rubric!$D$8+K1271*Rubric!$D$9+L1271*Rubric!$D$10)/5*100,1))</f>
        <v/>
      </c>
      <c r="N1271" s="37" t="str">
        <f aca="false">IF(OR(B1271="",D1271=""),"",IFERROR(IF(IF(E1271="Primary",INDEX(Applications!$I$5:$I$600,MATCH(B1271,Applications!$A$5:$A$600,0)),IF(E1271="Secondary",INDEX(Applications!$J$5:$J$600,MATCH(B1271,Applications!$A$5:$A$600,0)),INDEX(Applications!$K$5:$K$600,MATCH(B1271,Applications!$A$5:$A$600,0))))=D1271,"OK","Not assigned"),"Check ID"))</f>
        <v/>
      </c>
      <c r="O1271" s="7"/>
    </row>
    <row r="1272" customFormat="false" ht="15" hidden="false" customHeight="false" outlineLevel="0" collapsed="false">
      <c r="A1272" s="35"/>
      <c r="B1272" s="35"/>
      <c r="C1272" s="37" t="str">
        <f aca="false">IF(B1272="","",IFERROR(INDEX(Applications!$B$5:$B$600,MATCH(B1272,Applications!$A$5:$A$600,0)),"Application ID not found"))</f>
        <v/>
      </c>
      <c r="D1272" s="35"/>
      <c r="E1272" s="35"/>
      <c r="F1272" s="36"/>
      <c r="G1272" s="35"/>
      <c r="H1272" s="35"/>
      <c r="I1272" s="35"/>
      <c r="J1272" s="35"/>
      <c r="K1272" s="35"/>
      <c r="L1272" s="35"/>
      <c r="M1272" s="50" t="str">
        <f aca="false">IF(COUNT(G1272:L1272)&lt;6,"",ROUND((G1272*Rubric!$D$5+H1272*Rubric!$D$6+I1272*Rubric!$D$7+J1272*Rubric!$D$8+K1272*Rubric!$D$9+L1272*Rubric!$D$10)/5*100,1))</f>
        <v/>
      </c>
      <c r="N1272" s="37" t="str">
        <f aca="false">IF(OR(B1272="",D1272=""),"",IFERROR(IF(IF(E1272="Primary",INDEX(Applications!$I$5:$I$600,MATCH(B1272,Applications!$A$5:$A$600,0)),IF(E1272="Secondary",INDEX(Applications!$J$5:$J$600,MATCH(B1272,Applications!$A$5:$A$600,0)),INDEX(Applications!$K$5:$K$600,MATCH(B1272,Applications!$A$5:$A$600,0))))=D1272,"OK","Not assigned"),"Check ID"))</f>
        <v/>
      </c>
      <c r="O1272" s="7"/>
    </row>
    <row r="1273" customFormat="false" ht="15" hidden="false" customHeight="false" outlineLevel="0" collapsed="false">
      <c r="A1273" s="35"/>
      <c r="B1273" s="35"/>
      <c r="C1273" s="37" t="str">
        <f aca="false">IF(B1273="","",IFERROR(INDEX(Applications!$B$5:$B$600,MATCH(B1273,Applications!$A$5:$A$600,0)),"Application ID not found"))</f>
        <v/>
      </c>
      <c r="D1273" s="35"/>
      <c r="E1273" s="35"/>
      <c r="F1273" s="36"/>
      <c r="G1273" s="35"/>
      <c r="H1273" s="35"/>
      <c r="I1273" s="35"/>
      <c r="J1273" s="35"/>
      <c r="K1273" s="35"/>
      <c r="L1273" s="35"/>
      <c r="M1273" s="50" t="str">
        <f aca="false">IF(COUNT(G1273:L1273)&lt;6,"",ROUND((G1273*Rubric!$D$5+H1273*Rubric!$D$6+I1273*Rubric!$D$7+J1273*Rubric!$D$8+K1273*Rubric!$D$9+L1273*Rubric!$D$10)/5*100,1))</f>
        <v/>
      </c>
      <c r="N1273" s="37" t="str">
        <f aca="false">IF(OR(B1273="",D1273=""),"",IFERROR(IF(IF(E1273="Primary",INDEX(Applications!$I$5:$I$600,MATCH(B1273,Applications!$A$5:$A$600,0)),IF(E1273="Secondary",INDEX(Applications!$J$5:$J$600,MATCH(B1273,Applications!$A$5:$A$600,0)),INDEX(Applications!$K$5:$K$600,MATCH(B1273,Applications!$A$5:$A$600,0))))=D1273,"OK","Not assigned"),"Check ID"))</f>
        <v/>
      </c>
      <c r="O1273" s="7"/>
    </row>
    <row r="1274" customFormat="false" ht="15" hidden="false" customHeight="false" outlineLevel="0" collapsed="false">
      <c r="A1274" s="35"/>
      <c r="B1274" s="35"/>
      <c r="C1274" s="37" t="str">
        <f aca="false">IF(B1274="","",IFERROR(INDEX(Applications!$B$5:$B$600,MATCH(B1274,Applications!$A$5:$A$600,0)),"Application ID not found"))</f>
        <v/>
      </c>
      <c r="D1274" s="35"/>
      <c r="E1274" s="35"/>
      <c r="F1274" s="36"/>
      <c r="G1274" s="35"/>
      <c r="H1274" s="35"/>
      <c r="I1274" s="35"/>
      <c r="J1274" s="35"/>
      <c r="K1274" s="35"/>
      <c r="L1274" s="35"/>
      <c r="M1274" s="50" t="str">
        <f aca="false">IF(COUNT(G1274:L1274)&lt;6,"",ROUND((G1274*Rubric!$D$5+H1274*Rubric!$D$6+I1274*Rubric!$D$7+J1274*Rubric!$D$8+K1274*Rubric!$D$9+L1274*Rubric!$D$10)/5*100,1))</f>
        <v/>
      </c>
      <c r="N1274" s="37" t="str">
        <f aca="false">IF(OR(B1274="",D1274=""),"",IFERROR(IF(IF(E1274="Primary",INDEX(Applications!$I$5:$I$600,MATCH(B1274,Applications!$A$5:$A$600,0)),IF(E1274="Secondary",INDEX(Applications!$J$5:$J$600,MATCH(B1274,Applications!$A$5:$A$600,0)),INDEX(Applications!$K$5:$K$600,MATCH(B1274,Applications!$A$5:$A$600,0))))=D1274,"OK","Not assigned"),"Check ID"))</f>
        <v/>
      </c>
      <c r="O1274" s="7"/>
    </row>
    <row r="1275" customFormat="false" ht="15" hidden="false" customHeight="false" outlineLevel="0" collapsed="false">
      <c r="A1275" s="35"/>
      <c r="B1275" s="35"/>
      <c r="C1275" s="37" t="str">
        <f aca="false">IF(B1275="","",IFERROR(INDEX(Applications!$B$5:$B$600,MATCH(B1275,Applications!$A$5:$A$600,0)),"Application ID not found"))</f>
        <v/>
      </c>
      <c r="D1275" s="35"/>
      <c r="E1275" s="35"/>
      <c r="F1275" s="36"/>
      <c r="G1275" s="35"/>
      <c r="H1275" s="35"/>
      <c r="I1275" s="35"/>
      <c r="J1275" s="35"/>
      <c r="K1275" s="35"/>
      <c r="L1275" s="35"/>
      <c r="M1275" s="50" t="str">
        <f aca="false">IF(COUNT(G1275:L1275)&lt;6,"",ROUND((G1275*Rubric!$D$5+H1275*Rubric!$D$6+I1275*Rubric!$D$7+J1275*Rubric!$D$8+K1275*Rubric!$D$9+L1275*Rubric!$D$10)/5*100,1))</f>
        <v/>
      </c>
      <c r="N1275" s="37" t="str">
        <f aca="false">IF(OR(B1275="",D1275=""),"",IFERROR(IF(IF(E1275="Primary",INDEX(Applications!$I$5:$I$600,MATCH(B1275,Applications!$A$5:$A$600,0)),IF(E1275="Secondary",INDEX(Applications!$J$5:$J$600,MATCH(B1275,Applications!$A$5:$A$600,0)),INDEX(Applications!$K$5:$K$600,MATCH(B1275,Applications!$A$5:$A$600,0))))=D1275,"OK","Not assigned"),"Check ID"))</f>
        <v/>
      </c>
      <c r="O1275" s="7"/>
    </row>
    <row r="1276" customFormat="false" ht="15" hidden="false" customHeight="false" outlineLevel="0" collapsed="false">
      <c r="A1276" s="35"/>
      <c r="B1276" s="35"/>
      <c r="C1276" s="37" t="str">
        <f aca="false">IF(B1276="","",IFERROR(INDEX(Applications!$B$5:$B$600,MATCH(B1276,Applications!$A$5:$A$600,0)),"Application ID not found"))</f>
        <v/>
      </c>
      <c r="D1276" s="35"/>
      <c r="E1276" s="35"/>
      <c r="F1276" s="36"/>
      <c r="G1276" s="35"/>
      <c r="H1276" s="35"/>
      <c r="I1276" s="35"/>
      <c r="J1276" s="35"/>
      <c r="K1276" s="35"/>
      <c r="L1276" s="35"/>
      <c r="M1276" s="50" t="str">
        <f aca="false">IF(COUNT(G1276:L1276)&lt;6,"",ROUND((G1276*Rubric!$D$5+H1276*Rubric!$D$6+I1276*Rubric!$D$7+J1276*Rubric!$D$8+K1276*Rubric!$D$9+L1276*Rubric!$D$10)/5*100,1))</f>
        <v/>
      </c>
      <c r="N1276" s="37" t="str">
        <f aca="false">IF(OR(B1276="",D1276=""),"",IFERROR(IF(IF(E1276="Primary",INDEX(Applications!$I$5:$I$600,MATCH(B1276,Applications!$A$5:$A$600,0)),IF(E1276="Secondary",INDEX(Applications!$J$5:$J$600,MATCH(B1276,Applications!$A$5:$A$600,0)),INDEX(Applications!$K$5:$K$600,MATCH(B1276,Applications!$A$5:$A$600,0))))=D1276,"OK","Not assigned"),"Check ID"))</f>
        <v/>
      </c>
      <c r="O1276" s="7"/>
    </row>
  </sheetData>
  <conditionalFormatting sqref="N5:N1276">
    <cfRule type="cellIs" priority="2" operator="equal" aboveAverage="0" equalAverage="0" bottom="0" percent="0" rank="0" text="" dxfId="1">
      <formula>"Not assigned"</formula>
    </cfRule>
    <cfRule type="cellIs" priority="3" operator="equal" aboveAverage="0" equalAverage="0" bottom="0" percent="0" rank="0" text="" dxfId="30">
      <formula>"OK"</formula>
    </cfRule>
  </conditionalFormatting>
  <conditionalFormatting sqref="G5:L1276">
    <cfRule type="colorScale" priority="4">
      <colorScale>
        <cfvo type="num" val="1"/>
        <cfvo type="num" val="3"/>
        <cfvo type="num" val="5"/>
        <color rgb="FFF7E9EC"/>
        <color rgb="FFFFFFFF"/>
        <color rgb="FFDCEFE3"/>
      </colorScale>
    </cfRule>
  </conditionalFormatting>
  <dataValidations count="5">
    <dataValidation allowBlank="true" error="Scores must be whole numbers from 1 to 5." errorStyle="stop" errorTitle="Score out of range" operator="between" prompt="1 = weak, 3 = adequate, 5 = strong" promptTitle="Score 1 to 5" showDropDown="false" showErrorMessage="true" showInputMessage="true" sqref="G5:L1776" type="whole">
      <formula1>1</formula1>
      <formula2>5</formula2>
    </dataValidation>
    <dataValidation allowBlank="true" errorStyle="stop" operator="between" showDropDown="false" showErrorMessage="false" showInputMessage="false" sqref="D5:D1776" type="list">
      <formula1>ReviewerList</formula1>
      <formula2>0</formula2>
    </dataValidation>
    <dataValidation allowBlank="true" errorStyle="stop" operator="between" showDropDown="false" showErrorMessage="false" showInputMessage="false" sqref="E5:E1776" type="list">
      <formula1>RoleList</formula1>
      <formula2>0</formula2>
    </dataValidation>
    <dataValidation allowBlank="true" error="Choose an application ID from the Applications sheet." errorStyle="stop" errorTitle="Unknown application" operator="between" showDropDown="false" showErrorMessage="true" showInputMessage="false" sqref="B5:B1776" type="list">
      <formula1>Applications!$A$5:$A$600</formula1>
      <formula2>0</formula2>
    </dataValidation>
    <dataValidation allowBlank="true" error="The date must fall near the scoring window set on the Settings sheet." errorStyle="stop" errorTitle="Date outside the window" operator="between" showDropDown="false" showErrorMessage="true" showInputMessage="false" sqref="F5:F1776" type="date">
      <formula1>WindowStart-5</formula1>
      <formula2>WindowEnd+15</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Sample data. All names, organizations, and figures are fictional.</oddFooter>
  </headerFooter>
  <tableParts>
    <tablePart r:id="rId1"/>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5204F"/>
    <pageSetUpPr fitToPage="true"/>
  </sheetPr>
  <dimension ref="A1:N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7"/>
    <col collapsed="false" customWidth="true" hidden="false" outlineLevel="0" max="4" min="3" style="0" width="11"/>
    <col collapsed="false" customWidth="true" hidden="false" outlineLevel="0" max="5" min="5" style="0" width="13"/>
    <col collapsed="false" customWidth="true" hidden="false" outlineLevel="0" max="6" min="6" style="0" width="11"/>
    <col collapsed="false" customWidth="true" hidden="false" outlineLevel="0" max="7" min="7" style="0" width="13"/>
    <col collapsed="false" customWidth="true" hidden="false" outlineLevel="0" max="8" min="8" style="0" width="11"/>
    <col collapsed="false" customWidth="true" hidden="false" outlineLevel="0" max="9" min="9" style="0" width="14"/>
    <col collapsed="false" customWidth="true" hidden="false" outlineLevel="0" max="10" min="10" style="0" width="12"/>
    <col collapsed="false" customWidth="true" hidden="false" outlineLevel="0" max="11" min="11" style="0" width="11"/>
    <col collapsed="false" customWidth="true" hidden="false" outlineLevel="0" max="14" min="12" style="0" width="12"/>
  </cols>
  <sheetData>
    <row r="1" customFormat="false" ht="19.7" hidden="false" customHeight="false" outlineLevel="0" collapsed="false">
      <c r="A1" s="1" t="s">
        <v>2524</v>
      </c>
    </row>
    <row r="2" customFormat="false" ht="15" hidden="false" customHeight="false" outlineLevel="0" collapsed="false">
      <c r="A2" s="2" t="s">
        <v>2525</v>
      </c>
    </row>
    <row r="4" customFormat="false" ht="30" hidden="false" customHeight="true" outlineLevel="0" collapsed="false">
      <c r="B4" s="33" t="s">
        <v>61</v>
      </c>
      <c r="C4" s="33" t="s">
        <v>2526</v>
      </c>
      <c r="D4" s="33" t="s">
        <v>2527</v>
      </c>
      <c r="E4" s="33" t="s">
        <v>2528</v>
      </c>
      <c r="F4" s="33" t="s">
        <v>2529</v>
      </c>
      <c r="G4" s="33" t="s">
        <v>2530</v>
      </c>
      <c r="H4" s="33" t="s">
        <v>2531</v>
      </c>
      <c r="I4" s="33" t="s">
        <v>66</v>
      </c>
      <c r="J4" s="33" t="s">
        <v>2532</v>
      </c>
      <c r="K4" s="33" t="s">
        <v>2533</v>
      </c>
      <c r="L4" s="33" t="s">
        <v>2534</v>
      </c>
      <c r="M4" s="33" t="s">
        <v>2535</v>
      </c>
      <c r="N4" s="33" t="s">
        <v>65</v>
      </c>
    </row>
    <row r="5" customFormat="false" ht="15" hidden="false" customHeight="false" outlineLevel="0" collapsed="false">
      <c r="B5" s="23" t="str">
        <f aca="false">INDEX(ReviewerList,1)</f>
        <v>Alicia Moreno</v>
      </c>
      <c r="C5" s="24" t="n">
        <f aca="false">COUNTIFS(Applications!$I$5:$I$600,B5,Applications!$H$5:$H$600,"Eligible")</f>
        <v>87</v>
      </c>
      <c r="D5" s="24" t="n">
        <f aca="false">COUNTIFS(Applications!$J$5:$J$600,B5,Applications!$H$5:$H$600,"Eligible")</f>
        <v>102</v>
      </c>
      <c r="E5" s="24" t="n">
        <f aca="false">C5+D5</f>
        <v>189</v>
      </c>
      <c r="F5" s="51" t="n">
        <f aca="false">SUM($E$5:$E$10)/ReviewerCount</f>
        <v>186</v>
      </c>
      <c r="G5" s="52" t="n">
        <f aca="false">E5-F5</f>
        <v>3</v>
      </c>
      <c r="H5" s="53" t="n">
        <f aca="false">IF(F5=0,0,G5/F5)</f>
        <v>0.0161290322580645</v>
      </c>
      <c r="I5" s="31" t="str">
        <f aca="false">IF(ABS(H5)&gt;Tolerance,IF(H5&gt;0,"Over average","Under average"),"Balanced")</f>
        <v>Balanced</v>
      </c>
      <c r="J5" s="24" t="n">
        <f aca="false">COUNTIF(Applications!$K$5:$K$600,B5)</f>
        <v>13</v>
      </c>
      <c r="K5" s="24" t="n">
        <f aca="false">E5+J5</f>
        <v>202</v>
      </c>
      <c r="L5" s="24" t="n">
        <f aca="false">COUNTIFS('Score Entry'!$D$5:$D$1276,B5,'Score Entry'!$M$5:$M$1276,"&gt;0")</f>
        <v>197</v>
      </c>
      <c r="M5" s="24" t="n">
        <f aca="false">MAX(0,K5-L5)</f>
        <v>5</v>
      </c>
      <c r="N5" s="27" t="n">
        <f aca="false">IF(K5=0,0,L5/K5)</f>
        <v>0.975247524752475</v>
      </c>
    </row>
    <row r="6" customFormat="false" ht="15" hidden="false" customHeight="false" outlineLevel="0" collapsed="false">
      <c r="B6" s="23" t="str">
        <f aca="false">INDEX(ReviewerList,2)</f>
        <v>Ben Okafor</v>
      </c>
      <c r="C6" s="24" t="n">
        <f aca="false">COUNTIFS(Applications!$I$5:$I$600,B6,Applications!$H$5:$H$600,"Eligible")</f>
        <v>94</v>
      </c>
      <c r="D6" s="24" t="n">
        <f aca="false">COUNTIFS(Applications!$J$5:$J$600,B6,Applications!$H$5:$H$600,"Eligible")</f>
        <v>95</v>
      </c>
      <c r="E6" s="24" t="n">
        <f aca="false">C6+D6</f>
        <v>189</v>
      </c>
      <c r="F6" s="51" t="n">
        <f aca="false">SUM($E$5:$E$10)/ReviewerCount</f>
        <v>186</v>
      </c>
      <c r="G6" s="52" t="n">
        <f aca="false">E6-F6</f>
        <v>3</v>
      </c>
      <c r="H6" s="53" t="n">
        <f aca="false">IF(F6=0,0,G6/F6)</f>
        <v>0.0161290322580645</v>
      </c>
      <c r="I6" s="31" t="str">
        <f aca="false">IF(ABS(H6)&gt;Tolerance,IF(H6&gt;0,"Over average","Under average"),"Balanced")</f>
        <v>Balanced</v>
      </c>
      <c r="J6" s="24" t="n">
        <f aca="false">COUNTIF(Applications!$K$5:$K$600,B6)</f>
        <v>14</v>
      </c>
      <c r="K6" s="24" t="n">
        <f aca="false">E6+J6</f>
        <v>203</v>
      </c>
      <c r="L6" s="24" t="n">
        <f aca="false">COUNTIFS('Score Entry'!$D$5:$D$1276,B6,'Score Entry'!$M$5:$M$1276,"&gt;0")</f>
        <v>193</v>
      </c>
      <c r="M6" s="24" t="n">
        <f aca="false">MAX(0,K6-L6)</f>
        <v>10</v>
      </c>
      <c r="N6" s="27" t="n">
        <f aca="false">IF(K6=0,0,L6/K6)</f>
        <v>0.950738916256158</v>
      </c>
    </row>
    <row r="7" customFormat="false" ht="15" hidden="false" customHeight="false" outlineLevel="0" collapsed="false">
      <c r="B7" s="23" t="str">
        <f aca="false">INDEX(ReviewerList,3)</f>
        <v>Rafael Ortiz</v>
      </c>
      <c r="C7" s="24" t="n">
        <f aca="false">COUNTIFS(Applications!$I$5:$I$600,B7,Applications!$H$5:$H$600,"Eligible")</f>
        <v>126</v>
      </c>
      <c r="D7" s="24" t="n">
        <f aca="false">COUNTIFS(Applications!$J$5:$J$600,B7,Applications!$H$5:$H$600,"Eligible")</f>
        <v>105</v>
      </c>
      <c r="E7" s="24" t="n">
        <f aca="false">C7+D7</f>
        <v>231</v>
      </c>
      <c r="F7" s="51" t="n">
        <f aca="false">SUM($E$5:$E$10)/ReviewerCount</f>
        <v>186</v>
      </c>
      <c r="G7" s="52" t="n">
        <f aca="false">E7-F7</f>
        <v>45</v>
      </c>
      <c r="H7" s="53" t="n">
        <f aca="false">IF(F7=0,0,G7/F7)</f>
        <v>0.241935483870968</v>
      </c>
      <c r="I7" s="31" t="str">
        <f aca="false">IF(ABS(H7)&gt;Tolerance,IF(H7&gt;0,"Over average","Under average"),"Balanced")</f>
        <v>Over average</v>
      </c>
      <c r="J7" s="24" t="n">
        <f aca="false">COUNTIF(Applications!$K$5:$K$600,B7)</f>
        <v>15</v>
      </c>
      <c r="K7" s="24" t="n">
        <f aca="false">E7+J7</f>
        <v>246</v>
      </c>
      <c r="L7" s="24" t="n">
        <f aca="false">COUNTIFS('Score Entry'!$D$5:$D$1276,B7,'Score Entry'!$M$5:$M$1276,"&gt;0")</f>
        <v>241</v>
      </c>
      <c r="M7" s="24" t="n">
        <f aca="false">MAX(0,K7-L7)</f>
        <v>5</v>
      </c>
      <c r="N7" s="27" t="n">
        <f aca="false">IF(K7=0,0,L7/K7)</f>
        <v>0.979674796747967</v>
      </c>
    </row>
    <row r="8" customFormat="false" ht="15" hidden="false" customHeight="false" outlineLevel="0" collapsed="false">
      <c r="B8" s="23" t="str">
        <f aca="false">INDEX(ReviewerList,4)</f>
        <v>Erin Walsh</v>
      </c>
      <c r="C8" s="24" t="n">
        <f aca="false">COUNTIFS(Applications!$I$5:$I$600,B8,Applications!$H$5:$H$600,"Eligible")</f>
        <v>98</v>
      </c>
      <c r="D8" s="24" t="n">
        <f aca="false">COUNTIFS(Applications!$J$5:$J$600,B8,Applications!$H$5:$H$600,"Eligible")</f>
        <v>89</v>
      </c>
      <c r="E8" s="24" t="n">
        <f aca="false">C8+D8</f>
        <v>187</v>
      </c>
      <c r="F8" s="51" t="n">
        <f aca="false">SUM($E$5:$E$10)/ReviewerCount</f>
        <v>186</v>
      </c>
      <c r="G8" s="52" t="n">
        <f aca="false">E8-F8</f>
        <v>1</v>
      </c>
      <c r="H8" s="53" t="n">
        <f aca="false">IF(F8=0,0,G8/F8)</f>
        <v>0.00537634408602151</v>
      </c>
      <c r="I8" s="31" t="str">
        <f aca="false">IF(ABS(H8)&gt;Tolerance,IF(H8&gt;0,"Over average","Under average"),"Balanced")</f>
        <v>Balanced</v>
      </c>
      <c r="J8" s="24" t="n">
        <f aca="false">COUNTIF(Applications!$K$5:$K$600,B8)</f>
        <v>14</v>
      </c>
      <c r="K8" s="24" t="n">
        <f aca="false">E8+J8</f>
        <v>201</v>
      </c>
      <c r="L8" s="24" t="n">
        <f aca="false">COUNTIFS('Score Entry'!$D$5:$D$1276,B8,'Score Entry'!$M$5:$M$1276,"&gt;0")</f>
        <v>188</v>
      </c>
      <c r="M8" s="24" t="n">
        <f aca="false">MAX(0,K8-L8)</f>
        <v>13</v>
      </c>
      <c r="N8" s="27" t="n">
        <f aca="false">IF(K8=0,0,L8/K8)</f>
        <v>0.935323383084577</v>
      </c>
    </row>
    <row r="9" customFormat="false" ht="15" hidden="false" customHeight="false" outlineLevel="0" collapsed="false">
      <c r="B9" s="23" t="str">
        <f aca="false">INDEX(ReviewerList,5)</f>
        <v>Frank Delgado</v>
      </c>
      <c r="C9" s="24" t="n">
        <f aca="false">COUNTIFS(Applications!$I$5:$I$600,B9,Applications!$H$5:$H$600,"Eligible")</f>
        <v>90</v>
      </c>
      <c r="D9" s="24" t="n">
        <f aca="false">COUNTIFS(Applications!$J$5:$J$600,B9,Applications!$H$5:$H$600,"Eligible")</f>
        <v>97</v>
      </c>
      <c r="E9" s="24" t="n">
        <f aca="false">C9+D9</f>
        <v>187</v>
      </c>
      <c r="F9" s="51" t="n">
        <f aca="false">SUM($E$5:$E$10)/ReviewerCount</f>
        <v>186</v>
      </c>
      <c r="G9" s="52" t="n">
        <f aca="false">E9-F9</f>
        <v>1</v>
      </c>
      <c r="H9" s="53" t="n">
        <f aca="false">IF(F9=0,0,G9/F9)</f>
        <v>0.00537634408602151</v>
      </c>
      <c r="I9" s="31" t="str">
        <f aca="false">IF(ABS(H9)&gt;Tolerance,IF(H9&gt;0,"Over average","Under average"),"Balanced")</f>
        <v>Balanced</v>
      </c>
      <c r="J9" s="24" t="n">
        <f aca="false">COUNTIF(Applications!$K$5:$K$600,B9)</f>
        <v>0</v>
      </c>
      <c r="K9" s="24" t="n">
        <f aca="false">E9+J9</f>
        <v>187</v>
      </c>
      <c r="L9" s="24" t="n">
        <f aca="false">COUNTIFS('Score Entry'!$D$5:$D$1276,B9,'Score Entry'!$M$5:$M$1276,"&gt;0")</f>
        <v>161</v>
      </c>
      <c r="M9" s="24" t="n">
        <f aca="false">MAX(0,K9-L9)</f>
        <v>26</v>
      </c>
      <c r="N9" s="27" t="n">
        <f aca="false">IF(K9=0,0,L9/K9)</f>
        <v>0.86096256684492</v>
      </c>
    </row>
    <row r="10" customFormat="false" ht="15" hidden="false" customHeight="false" outlineLevel="0" collapsed="false">
      <c r="B10" s="23" t="str">
        <f aca="false">INDEX(ReviewerList,6)</f>
        <v>Grace Kim</v>
      </c>
      <c r="C10" s="24" t="n">
        <f aca="false">COUNTIFS(Applications!$I$5:$I$600,B10,Applications!$H$5:$H$600,"Eligible")</f>
        <v>63</v>
      </c>
      <c r="D10" s="24" t="n">
        <f aca="false">COUNTIFS(Applications!$J$5:$J$600,B10,Applications!$H$5:$H$600,"Eligible")</f>
        <v>70</v>
      </c>
      <c r="E10" s="24" t="n">
        <f aca="false">C10+D10</f>
        <v>133</v>
      </c>
      <c r="F10" s="51" t="n">
        <f aca="false">SUM($E$5:$E$10)/ReviewerCount</f>
        <v>186</v>
      </c>
      <c r="G10" s="52" t="n">
        <f aca="false">E10-F10</f>
        <v>-53</v>
      </c>
      <c r="H10" s="53" t="n">
        <f aca="false">IF(F10=0,0,G10/F10)</f>
        <v>-0.28494623655914</v>
      </c>
      <c r="I10" s="31" t="str">
        <f aca="false">IF(ABS(H10)&gt;Tolerance,IF(H10&gt;0,"Over average","Under average"),"Balanced")</f>
        <v>Under average</v>
      </c>
      <c r="J10" s="24" t="n">
        <f aca="false">COUNTIF(Applications!$K$5:$K$600,B10)</f>
        <v>15</v>
      </c>
      <c r="K10" s="24" t="n">
        <f aca="false">E10+J10</f>
        <v>148</v>
      </c>
      <c r="L10" s="24" t="n">
        <f aca="false">COUNTIFS('Score Entry'!$D$5:$D$1276,B10,'Score Entry'!$M$5:$M$1276,"&gt;0")</f>
        <v>142</v>
      </c>
      <c r="M10" s="24" t="n">
        <f aca="false">MAX(0,K10-L10)</f>
        <v>6</v>
      </c>
      <c r="N10" s="27" t="n">
        <f aca="false">IF(K10=0,0,L10/K10)</f>
        <v>0.959459459459459</v>
      </c>
    </row>
    <row r="11" customFormat="false" ht="15" hidden="false" customHeight="false" outlineLevel="0" collapsed="false">
      <c r="B11" s="43" t="s">
        <v>107</v>
      </c>
      <c r="C11" s="43" t="n">
        <f aca="false">SUM(C5:C10)</f>
        <v>558</v>
      </c>
      <c r="D11" s="43" t="n">
        <f aca="false">SUM(D5:D10)</f>
        <v>558</v>
      </c>
      <c r="E11" s="43" t="n">
        <f aca="false">SUM(E5:E10)</f>
        <v>1116</v>
      </c>
      <c r="J11" s="43" t="n">
        <f aca="false">SUM(J5:J10)</f>
        <v>71</v>
      </c>
      <c r="K11" s="43" t="n">
        <f aca="false">SUM(K5:K10)</f>
        <v>1187</v>
      </c>
      <c r="L11" s="43" t="n">
        <f aca="false">SUM(L5:L10)</f>
        <v>1122</v>
      </c>
      <c r="M11" s="43" t="n">
        <f aca="false">SUM(M5:M10)</f>
        <v>65</v>
      </c>
      <c r="N11" s="47" t="n">
        <f aca="false">IF(K11=0,0,L11/K11)</f>
        <v>0.945240101095198</v>
      </c>
    </row>
    <row r="13" customFormat="false" ht="15" hidden="false" customHeight="false" outlineLevel="0" collapsed="false">
      <c r="B13" s="10" t="s">
        <v>2536</v>
      </c>
    </row>
    <row r="14" customFormat="false" ht="30" hidden="false" customHeight="true" outlineLevel="0" collapsed="false">
      <c r="B14" s="54" t="s">
        <v>2537</v>
      </c>
      <c r="C14" s="54"/>
      <c r="D14" s="54"/>
      <c r="E14" s="54"/>
      <c r="F14" s="54"/>
      <c r="G14" s="54"/>
      <c r="H14" s="33" t="s">
        <v>2538</v>
      </c>
      <c r="I14" s="33" t="s">
        <v>2539</v>
      </c>
    </row>
    <row r="15" customFormat="false" ht="15" hidden="false" customHeight="false" outlineLevel="0" collapsed="false">
      <c r="B15" s="31" t="s">
        <v>2540</v>
      </c>
      <c r="C15" s="31"/>
      <c r="D15" s="31"/>
      <c r="E15" s="31"/>
      <c r="F15" s="31"/>
      <c r="G15" s="31"/>
      <c r="H15" s="23" t="n">
        <f aca="false">SUMPRODUCT((Applications!$I$5:$I$600&lt;&gt;"")*(Applications!$I$5:$I$600=Applications!$J$5:$J$600))</f>
        <v>2</v>
      </c>
      <c r="I15" s="23" t="str">
        <f aca="false">IF(H15=0,"OK","Fix")</f>
        <v>Fix</v>
      </c>
    </row>
    <row r="16" customFormat="false" ht="15" hidden="false" customHeight="false" outlineLevel="0" collapsed="false">
      <c r="B16" s="31" t="s">
        <v>2541</v>
      </c>
      <c r="C16" s="31"/>
      <c r="D16" s="31"/>
      <c r="E16" s="31"/>
      <c r="F16" s="31"/>
      <c r="G16" s="31"/>
      <c r="H16" s="23" t="n">
        <f aca="false">COUNTIFS(Applications!$H$5:$H$600,"Eligible",Applications!$I$5:$I$600,"")+COUNTIFS(Applications!$H$5:$H$600,"Eligible",Applications!$J$5:$J$600,"")</f>
        <v>0</v>
      </c>
      <c r="I16" s="23" t="str">
        <f aca="false">IF(H16=0,"OK","Fix")</f>
        <v>OK</v>
      </c>
    </row>
    <row r="17" customFormat="false" ht="15" hidden="false" customHeight="false" outlineLevel="0" collapsed="false">
      <c r="B17" s="31" t="s">
        <v>2542</v>
      </c>
      <c r="C17" s="31"/>
      <c r="D17" s="31"/>
      <c r="E17" s="31"/>
      <c r="F17" s="31"/>
      <c r="G17" s="31"/>
      <c r="H17" s="23" t="n">
        <f aca="false">COUNTIFS(Applications!$O$5:$O$600,"Yes",Applications!$K$5:$K$600,"")</f>
        <v>0</v>
      </c>
      <c r="I17" s="23" t="str">
        <f aca="false">IF(H17=0,"OK","Fix")</f>
        <v>OK</v>
      </c>
    </row>
    <row r="18" customFormat="false" ht="15" hidden="false" customHeight="false" outlineLevel="0" collapsed="false">
      <c r="B18" s="31" t="s">
        <v>2543</v>
      </c>
      <c r="C18" s="31"/>
      <c r="D18" s="31"/>
      <c r="E18" s="31"/>
      <c r="F18" s="31"/>
      <c r="G18" s="31"/>
      <c r="H18" s="23" t="n">
        <f aca="false">SUMPRODUCT((Applications!$K$5:$K$600&lt;&gt;"")*(((Applications!$K$5:$K$600=Applications!$I$5:$I$600)+(Applications!$K$5:$K$600=Applications!$J$5:$J$600))&gt;0))</f>
        <v>0</v>
      </c>
      <c r="I18" s="23" t="str">
        <f aca="false">IF(H18=0,"OK","Fix")</f>
        <v>OK</v>
      </c>
    </row>
    <row r="19" customFormat="false" ht="15" hidden="false" customHeight="false" outlineLevel="0" collapsed="false">
      <c r="B19" s="31" t="s">
        <v>2544</v>
      </c>
      <c r="C19" s="31"/>
      <c r="D19" s="31"/>
      <c r="E19" s="31"/>
      <c r="F19" s="31"/>
      <c r="G19" s="31"/>
      <c r="H19" s="23" t="n">
        <f aca="false">COUNTIF('Score Entry'!$N$5:$N$1276,"Not assigned")</f>
        <v>1</v>
      </c>
      <c r="I19" s="23" t="str">
        <f aca="false">IF(H19=0,"OK","Fix")</f>
        <v>Fix</v>
      </c>
    </row>
    <row r="20" customFormat="false" ht="15" hidden="false" customHeight="false" outlineLevel="0" collapsed="false">
      <c r="B20" s="31" t="s">
        <v>2545</v>
      </c>
      <c r="C20" s="31"/>
      <c r="D20" s="31"/>
      <c r="E20" s="31"/>
      <c r="F20" s="31"/>
      <c r="G20" s="31"/>
      <c r="H20" s="23" t="n">
        <f aca="false">COUNTIF(I5:I10,"&lt;&gt;Balanced")</f>
        <v>2</v>
      </c>
      <c r="I20" s="23" t="str">
        <f aca="false">IF(H20=0,"OK","Fix")</f>
        <v>Fix</v>
      </c>
    </row>
    <row r="22" customFormat="false" ht="27.75" hidden="false" customHeight="true" outlineLevel="0" collapsed="false">
      <c r="B22" s="55" t="s">
        <v>2546</v>
      </c>
      <c r="C22" s="55"/>
      <c r="D22" s="55"/>
      <c r="E22" s="55"/>
      <c r="F22" s="55"/>
      <c r="G22" s="55"/>
      <c r="H22" s="55"/>
      <c r="I22" s="55"/>
    </row>
  </sheetData>
  <mergeCells count="8">
    <mergeCell ref="B14:G14"/>
    <mergeCell ref="B15:G15"/>
    <mergeCell ref="B16:G16"/>
    <mergeCell ref="B17:G17"/>
    <mergeCell ref="B18:G18"/>
    <mergeCell ref="B19:G19"/>
    <mergeCell ref="B20:G20"/>
    <mergeCell ref="B22:I22"/>
  </mergeCells>
  <conditionalFormatting sqref="I5:I10">
    <cfRule type="cellIs" priority="2" operator="notEqual" aboveAverage="0" equalAverage="0" bottom="0" percent="0" rank="0" text="" dxfId="20">
      <formula>"Balanced"</formula>
    </cfRule>
    <cfRule type="cellIs" priority="3" operator="equal" aboveAverage="0" equalAverage="0" bottom="0" percent="0" rank="0" text="" dxfId="30">
      <formula>"Balanced"</formula>
    </cfRule>
  </conditionalFormatting>
  <conditionalFormatting sqref="N5:N10">
    <cfRule type="dataBar" priority="4">
      <dataBar showValue="1" minLength="10" maxLength="90">
        <cfvo type="num" val="0"/>
        <cfvo type="num" val="1"/>
        <color rgb="FF9A6AAA"/>
      </dataBar>
      <extLst>
        <ext xmlns:x14="http://schemas.microsoft.com/office/spreadsheetml/2009/9/main" uri="{B025F937-C7B1-47D3-B67F-A62EFF666E3E}">
          <x14:id>{A0A0D29B-5070-4D40-AAC3-5279CE86CF1A}</x14:id>
        </ext>
      </extLst>
    </cfRule>
  </conditionalFormatting>
  <conditionalFormatting sqref="I15:I20">
    <cfRule type="cellIs" priority="5" operator="equal" aboveAverage="0" equalAverage="0" bottom="0" percent="0" rank="0" text="" dxfId="1">
      <formula>"Fix"</formula>
    </cfRule>
    <cfRule type="cellIs" priority="6" operator="equal" aboveAverage="0" equalAverage="0" bottom="0" percent="0" rank="0" text="" dxfId="31">
      <formula>"OK"</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Sample data. All names, organizations, and figures are fictional.</oddFooter>
  </headerFooter>
  <drawing r:id="rId1"/>
  <extLst>
    <ext xmlns:x14="http://schemas.microsoft.com/office/spreadsheetml/2009/9/main" uri="{78C0D931-6437-407d-A8EE-F0AAD7539E65}">
      <x14:conditionalFormattings>
        <x14:conditionalFormatting xmlns:xm="http://schemas.microsoft.com/office/excel/2006/main">
          <x14:cfRule type="dataBar" id="{A0A0D29B-5070-4D40-AAC3-5279CE86CF1A}">
            <x14:dataBar minLength="10" maxLength="90" axisPosition="none" gradient="true">
              <x14:cfvo type="num">
                <xm:f>0</xm:f>
              </x14:cfvo>
              <x14:cfvo type="num">
                <xm:f>1</xm:f>
              </x14:cfvo>
              <x14:negativeFillColor rgb="FF9A6AAA"/>
              <x14:axisColor rgb="FF000000"/>
            </x14:dataBar>
          </x14:cfRule>
          <xm:sqref>N5:N10</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5204F"/>
    <pageSetUpPr fitToPage="true"/>
  </sheetPr>
  <dimension ref="A1:S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5"/>
    <col collapsed="false" customWidth="true" hidden="false" outlineLevel="0" max="3" min="3" style="0" width="13"/>
    <col collapsed="false" customWidth="true" hidden="false" outlineLevel="0" max="5" min="4" style="0" width="11"/>
    <col collapsed="false" customWidth="true" hidden="false" outlineLevel="0" max="7" min="6" style="0" width="12"/>
    <col collapsed="false" customWidth="true" hidden="false" outlineLevel="0" max="9" min="8" style="0" width="11"/>
    <col collapsed="false" customWidth="true" hidden="false" outlineLevel="0" max="10" min="10" style="0" width="12"/>
    <col collapsed="false" customWidth="true" hidden="false" outlineLevel="0" max="18" min="11" style="0" width="13"/>
  </cols>
  <sheetData>
    <row r="1" customFormat="false" ht="19.7" hidden="false" customHeight="false" outlineLevel="0" collapsed="false">
      <c r="A1" s="1" t="s">
        <v>2547</v>
      </c>
    </row>
    <row r="2" customFormat="false" ht="15" hidden="false" customHeight="false" outlineLevel="0" collapsed="false">
      <c r="A2" s="2" t="s">
        <v>2548</v>
      </c>
    </row>
    <row r="4" customFormat="false" ht="15" hidden="false" customHeight="false" outlineLevel="0" collapsed="false">
      <c r="B4" s="10" t="s">
        <v>2549</v>
      </c>
    </row>
    <row r="5" customFormat="false" ht="15" hidden="false" customHeight="false" outlineLevel="0" collapsed="false">
      <c r="B5" s="31" t="s">
        <v>2550</v>
      </c>
      <c r="C5" s="31"/>
      <c r="D5" s="31"/>
      <c r="E5" s="31"/>
      <c r="F5" s="56" t="n">
        <f aca="false">Assignments!E11</f>
        <v>1116</v>
      </c>
      <c r="G5" s="56"/>
    </row>
    <row r="6" customFormat="false" ht="15" hidden="false" customHeight="false" outlineLevel="0" collapsed="false">
      <c r="B6" s="31" t="s">
        <v>2551</v>
      </c>
      <c r="C6" s="31"/>
      <c r="D6" s="31"/>
      <c r="E6" s="31"/>
      <c r="F6" s="57" t="n">
        <f aca="false">F5/WorkDays</f>
        <v>74.4</v>
      </c>
      <c r="G6" s="57"/>
    </row>
    <row r="7" customFormat="false" ht="15" hidden="false" customHeight="false" outlineLevel="0" collapsed="false">
      <c r="B7" s="31" t="s">
        <v>2552</v>
      </c>
      <c r="C7" s="31"/>
      <c r="D7" s="31"/>
      <c r="E7" s="31"/>
      <c r="F7" s="56" t="n">
        <f aca="false">COUNTIFS('Score Entry'!$E$5:$E$1276,"&lt;&gt;Third",'Score Entry'!$M$5:$M$1276,"&gt;0",'Score Entry'!$F$5:$F$1276,"&lt;="&amp;StatusDate)</f>
        <v>1078</v>
      </c>
      <c r="G7" s="56"/>
    </row>
    <row r="8" customFormat="false" ht="15" hidden="false" customHeight="false" outlineLevel="0" collapsed="false">
      <c r="B8" s="31" t="s">
        <v>64</v>
      </c>
      <c r="C8" s="31"/>
      <c r="D8" s="31"/>
      <c r="E8" s="31"/>
      <c r="F8" s="56" t="n">
        <f aca="false">F5-F7</f>
        <v>38</v>
      </c>
      <c r="G8" s="56"/>
    </row>
    <row r="9" customFormat="false" ht="15" hidden="false" customHeight="false" outlineLevel="0" collapsed="false">
      <c r="B9" s="31" t="s">
        <v>2553</v>
      </c>
      <c r="C9" s="31"/>
      <c r="D9" s="31"/>
      <c r="E9" s="31"/>
      <c r="F9" s="57" t="n">
        <f aca="false">COUNTIFS('Score Entry'!$E$5:$E$1276,"&lt;&gt;Third",'Score Entry'!$M$5:$M$1276,"&gt;0",'Score Entry'!$F$5:$F$1276,"&gt;"&amp;WORKDAY(StatusDate,-5),'Score Entry'!$F$5:$F$1276,"&lt;="&amp;StatusDate)/5</f>
        <v>76.8</v>
      </c>
      <c r="G9" s="57"/>
    </row>
    <row r="10" customFormat="false" ht="15" hidden="false" customHeight="false" outlineLevel="0" collapsed="false">
      <c r="B10" s="31" t="s">
        <v>2554</v>
      </c>
      <c r="C10" s="31"/>
      <c r="D10" s="31"/>
      <c r="E10" s="31"/>
      <c r="F10" s="58" t="n">
        <f aca="false">IF(F8=0,StatusDate,WORKDAY(StatusDate,ROUNDUP(F8/MAX(1,F9),0)))</f>
        <v>45957</v>
      </c>
      <c r="G10" s="58"/>
    </row>
    <row r="13" customFormat="false" ht="15" hidden="false" customHeight="false" outlineLevel="0" collapsed="false">
      <c r="B13" s="10" t="s">
        <v>2555</v>
      </c>
    </row>
    <row r="14" customFormat="false" ht="30" hidden="false" customHeight="true" outlineLevel="0" collapsed="false">
      <c r="B14" s="33" t="s">
        <v>2556</v>
      </c>
      <c r="C14" s="33" t="s">
        <v>2557</v>
      </c>
      <c r="D14" s="33" t="s">
        <v>2558</v>
      </c>
      <c r="E14" s="33" t="s">
        <v>63</v>
      </c>
      <c r="F14" s="33" t="s">
        <v>2559</v>
      </c>
      <c r="G14" s="33" t="s">
        <v>2560</v>
      </c>
      <c r="H14" s="33" t="s">
        <v>64</v>
      </c>
      <c r="I14" s="33" t="s">
        <v>2561</v>
      </c>
      <c r="J14" s="33" t="s">
        <v>2562</v>
      </c>
    </row>
    <row r="15" customFormat="false" ht="15" hidden="false" customHeight="false" outlineLevel="0" collapsed="false">
      <c r="B15" s="59" t="n">
        <v>1</v>
      </c>
      <c r="C15" s="60" t="n">
        <f aca="false">WORKDAY(WindowStart,B15-1)</f>
        <v>45936</v>
      </c>
      <c r="D15" s="51" t="n">
        <f aca="false">$F$6</f>
        <v>74.4</v>
      </c>
      <c r="E15" s="24" t="n">
        <f aca="false">COUNTIFS('Score Entry'!$F$5:$F$1276,C15,'Score Entry'!$E$5:$E$1276,"&lt;&gt;Third",'Score Entry'!$M$5:$M$1276,"&gt;0")</f>
        <v>36</v>
      </c>
      <c r="F15" s="24" t="n">
        <f aca="false">COUNTIFS('Score Entry'!$F$5:$F$1276,C15,'Score Entry'!$E$5:$E$1276,"Third",'Score Entry'!$M$5:$M$1276,"&gt;0")</f>
        <v>0</v>
      </c>
      <c r="G15" s="24" t="n">
        <f aca="false">SUM($E$15:E15)</f>
        <v>36</v>
      </c>
      <c r="H15" s="24" t="n">
        <f aca="false">$F$5-G15</f>
        <v>1080</v>
      </c>
      <c r="I15" s="61" t="n">
        <f aca="false">MAX(0,$F$5-$F$6*B15)</f>
        <v>1041.6</v>
      </c>
      <c r="J15" s="62" t="n">
        <f aca="false">I15-H15</f>
        <v>-38.4000000000001</v>
      </c>
    </row>
    <row r="16" customFormat="false" ht="15" hidden="false" customHeight="false" outlineLevel="0" collapsed="false">
      <c r="B16" s="59" t="n">
        <v>2</v>
      </c>
      <c r="C16" s="60" t="n">
        <f aca="false">WORKDAY(WindowStart,B16-1)</f>
        <v>45937</v>
      </c>
      <c r="D16" s="51" t="n">
        <f aca="false">$F$6</f>
        <v>74.4</v>
      </c>
      <c r="E16" s="24" t="n">
        <f aca="false">COUNTIFS('Score Entry'!$F$5:$F$1276,C16,'Score Entry'!$E$5:$E$1276,"&lt;&gt;Third",'Score Entry'!$M$5:$M$1276,"&gt;0")</f>
        <v>35</v>
      </c>
      <c r="F16" s="24" t="n">
        <f aca="false">COUNTIFS('Score Entry'!$F$5:$F$1276,C16,'Score Entry'!$E$5:$E$1276,"Third",'Score Entry'!$M$5:$M$1276,"&gt;0")</f>
        <v>0</v>
      </c>
      <c r="G16" s="24" t="n">
        <f aca="false">SUM($E$15:E16)</f>
        <v>71</v>
      </c>
      <c r="H16" s="24" t="n">
        <f aca="false">$F$5-G16</f>
        <v>1045</v>
      </c>
      <c r="I16" s="61" t="n">
        <f aca="false">MAX(0,$F$5-$F$6*B16)</f>
        <v>967.2</v>
      </c>
      <c r="J16" s="62" t="n">
        <f aca="false">I16-H16</f>
        <v>-77.8</v>
      </c>
    </row>
    <row r="17" customFormat="false" ht="15" hidden="false" customHeight="false" outlineLevel="0" collapsed="false">
      <c r="B17" s="59" t="n">
        <v>3</v>
      </c>
      <c r="C17" s="60" t="n">
        <f aca="false">WORKDAY(WindowStart,B17-1)</f>
        <v>45938</v>
      </c>
      <c r="D17" s="51" t="n">
        <f aca="false">$F$6</f>
        <v>74.4</v>
      </c>
      <c r="E17" s="24" t="n">
        <f aca="false">COUNTIFS('Score Entry'!$F$5:$F$1276,C17,'Score Entry'!$E$5:$E$1276,"&lt;&gt;Third",'Score Entry'!$M$5:$M$1276,"&gt;0")</f>
        <v>66</v>
      </c>
      <c r="F17" s="24" t="n">
        <f aca="false">COUNTIFS('Score Entry'!$F$5:$F$1276,C17,'Score Entry'!$E$5:$E$1276,"Third",'Score Entry'!$M$5:$M$1276,"&gt;0")</f>
        <v>0</v>
      </c>
      <c r="G17" s="24" t="n">
        <f aca="false">SUM($E$15:E17)</f>
        <v>137</v>
      </c>
      <c r="H17" s="24" t="n">
        <f aca="false">$F$5-G17</f>
        <v>979</v>
      </c>
      <c r="I17" s="61" t="n">
        <f aca="false">MAX(0,$F$5-$F$6*B17)</f>
        <v>892.8</v>
      </c>
      <c r="J17" s="62" t="n">
        <f aca="false">I17-H17</f>
        <v>-86.2000000000001</v>
      </c>
    </row>
    <row r="18" customFormat="false" ht="15" hidden="false" customHeight="false" outlineLevel="0" collapsed="false">
      <c r="B18" s="59" t="n">
        <v>4</v>
      </c>
      <c r="C18" s="60" t="n">
        <f aca="false">WORKDAY(WindowStart,B18-1)</f>
        <v>45939</v>
      </c>
      <c r="D18" s="51" t="n">
        <f aca="false">$F$6</f>
        <v>74.4</v>
      </c>
      <c r="E18" s="24" t="n">
        <f aca="false">COUNTIFS('Score Entry'!$F$5:$F$1276,C18,'Score Entry'!$E$5:$E$1276,"&lt;&gt;Third",'Score Entry'!$M$5:$M$1276,"&gt;0")</f>
        <v>77</v>
      </c>
      <c r="F18" s="24" t="n">
        <f aca="false">COUNTIFS('Score Entry'!$F$5:$F$1276,C18,'Score Entry'!$E$5:$E$1276,"Third",'Score Entry'!$M$5:$M$1276,"&gt;0")</f>
        <v>0</v>
      </c>
      <c r="G18" s="24" t="n">
        <f aca="false">SUM($E$15:E18)</f>
        <v>214</v>
      </c>
      <c r="H18" s="24" t="n">
        <f aca="false">$F$5-G18</f>
        <v>902</v>
      </c>
      <c r="I18" s="61" t="n">
        <f aca="false">MAX(0,$F$5-$F$6*B18)</f>
        <v>818.4</v>
      </c>
      <c r="J18" s="62" t="n">
        <f aca="false">I18-H18</f>
        <v>-83.6</v>
      </c>
    </row>
    <row r="19" customFormat="false" ht="15" hidden="false" customHeight="false" outlineLevel="0" collapsed="false">
      <c r="B19" s="59" t="n">
        <v>5</v>
      </c>
      <c r="C19" s="60" t="n">
        <f aca="false">WORKDAY(WindowStart,B19-1)</f>
        <v>45940</v>
      </c>
      <c r="D19" s="51" t="n">
        <f aca="false">$F$6</f>
        <v>74.4</v>
      </c>
      <c r="E19" s="24" t="n">
        <f aca="false">COUNTIFS('Score Entry'!$F$5:$F$1276,C19,'Score Entry'!$E$5:$E$1276,"&lt;&gt;Third",'Score Entry'!$M$5:$M$1276,"&gt;0")</f>
        <v>77</v>
      </c>
      <c r="F19" s="24" t="n">
        <f aca="false">COUNTIFS('Score Entry'!$F$5:$F$1276,C19,'Score Entry'!$E$5:$E$1276,"Third",'Score Entry'!$M$5:$M$1276,"&gt;0")</f>
        <v>0</v>
      </c>
      <c r="G19" s="24" t="n">
        <f aca="false">SUM($E$15:E19)</f>
        <v>291</v>
      </c>
      <c r="H19" s="24" t="n">
        <f aca="false">$F$5-G19</f>
        <v>825</v>
      </c>
      <c r="I19" s="61" t="n">
        <f aca="false">MAX(0,$F$5-$F$6*B19)</f>
        <v>744</v>
      </c>
      <c r="J19" s="62" t="n">
        <f aca="false">I19-H19</f>
        <v>-81</v>
      </c>
    </row>
    <row r="20" customFormat="false" ht="15" hidden="false" customHeight="false" outlineLevel="0" collapsed="false">
      <c r="B20" s="59" t="n">
        <v>6</v>
      </c>
      <c r="C20" s="60" t="n">
        <f aca="false">WORKDAY(WindowStart,B20-1)</f>
        <v>45943</v>
      </c>
      <c r="D20" s="51" t="n">
        <f aca="false">$F$6</f>
        <v>74.4</v>
      </c>
      <c r="E20" s="24" t="n">
        <f aca="false">COUNTIFS('Score Entry'!$F$5:$F$1276,C20,'Score Entry'!$E$5:$E$1276,"&lt;&gt;Third",'Score Entry'!$M$5:$M$1276,"&gt;0")</f>
        <v>77</v>
      </c>
      <c r="F20" s="24" t="n">
        <f aca="false">COUNTIFS('Score Entry'!$F$5:$F$1276,C20,'Score Entry'!$E$5:$E$1276,"Third",'Score Entry'!$M$5:$M$1276,"&gt;0")</f>
        <v>0</v>
      </c>
      <c r="G20" s="24" t="n">
        <f aca="false">SUM($E$15:E20)</f>
        <v>368</v>
      </c>
      <c r="H20" s="24" t="n">
        <f aca="false">$F$5-G20</f>
        <v>748</v>
      </c>
      <c r="I20" s="61" t="n">
        <f aca="false">MAX(0,$F$5-$F$6*B20)</f>
        <v>669.6</v>
      </c>
      <c r="J20" s="62" t="n">
        <f aca="false">I20-H20</f>
        <v>-78.4000000000001</v>
      </c>
    </row>
    <row r="21" customFormat="false" ht="15" hidden="false" customHeight="false" outlineLevel="0" collapsed="false">
      <c r="B21" s="59" t="n">
        <v>7</v>
      </c>
      <c r="C21" s="60" t="n">
        <f aca="false">WORKDAY(WindowStart,B21-1)</f>
        <v>45944</v>
      </c>
      <c r="D21" s="51" t="n">
        <f aca="false">$F$6</f>
        <v>74.4</v>
      </c>
      <c r="E21" s="24" t="n">
        <f aca="false">COUNTIFS('Score Entry'!$F$5:$F$1276,C21,'Score Entry'!$E$5:$E$1276,"&lt;&gt;Third",'Score Entry'!$M$5:$M$1276,"&gt;0")</f>
        <v>83</v>
      </c>
      <c r="F21" s="24" t="n">
        <f aca="false">COUNTIFS('Score Entry'!$F$5:$F$1276,C21,'Score Entry'!$E$5:$E$1276,"Third",'Score Entry'!$M$5:$M$1276,"&gt;0")</f>
        <v>0</v>
      </c>
      <c r="G21" s="24" t="n">
        <f aca="false">SUM($E$15:E21)</f>
        <v>451</v>
      </c>
      <c r="H21" s="24" t="n">
        <f aca="false">$F$5-G21</f>
        <v>665</v>
      </c>
      <c r="I21" s="61" t="n">
        <f aca="false">MAX(0,$F$5-$F$6*B21)</f>
        <v>595.2</v>
      </c>
      <c r="J21" s="62" t="n">
        <f aca="false">I21-H21</f>
        <v>-69.8000000000001</v>
      </c>
    </row>
    <row r="22" customFormat="false" ht="15" hidden="false" customHeight="false" outlineLevel="0" collapsed="false">
      <c r="B22" s="59" t="n">
        <v>8</v>
      </c>
      <c r="C22" s="60" t="n">
        <f aca="false">WORKDAY(WindowStart,B22-1)</f>
        <v>45945</v>
      </c>
      <c r="D22" s="51" t="n">
        <f aca="false">$F$6</f>
        <v>74.4</v>
      </c>
      <c r="E22" s="24" t="n">
        <f aca="false">COUNTIFS('Score Entry'!$F$5:$F$1276,C22,'Score Entry'!$E$5:$E$1276,"&lt;&gt;Third",'Score Entry'!$M$5:$M$1276,"&gt;0")</f>
        <v>82</v>
      </c>
      <c r="F22" s="24" t="n">
        <f aca="false">COUNTIFS('Score Entry'!$F$5:$F$1276,C22,'Score Entry'!$E$5:$E$1276,"Third",'Score Entry'!$M$5:$M$1276,"&gt;0")</f>
        <v>0</v>
      </c>
      <c r="G22" s="24" t="n">
        <f aca="false">SUM($E$15:E22)</f>
        <v>533</v>
      </c>
      <c r="H22" s="24" t="n">
        <f aca="false">$F$5-G22</f>
        <v>583</v>
      </c>
      <c r="I22" s="61" t="n">
        <f aca="false">MAX(0,$F$5-$F$6*B22)</f>
        <v>520.8</v>
      </c>
      <c r="J22" s="62" t="n">
        <f aca="false">I22-H22</f>
        <v>-62.2</v>
      </c>
    </row>
    <row r="23" customFormat="false" ht="15" hidden="false" customHeight="false" outlineLevel="0" collapsed="false">
      <c r="B23" s="59" t="n">
        <v>9</v>
      </c>
      <c r="C23" s="60" t="n">
        <f aca="false">WORKDAY(WindowStart,B23-1)</f>
        <v>45946</v>
      </c>
      <c r="D23" s="51" t="n">
        <f aca="false">$F$6</f>
        <v>74.4</v>
      </c>
      <c r="E23" s="24" t="n">
        <f aca="false">COUNTIFS('Score Entry'!$F$5:$F$1276,C23,'Score Entry'!$E$5:$E$1276,"&lt;&gt;Third",'Score Entry'!$M$5:$M$1276,"&gt;0")</f>
        <v>80</v>
      </c>
      <c r="F23" s="24" t="n">
        <f aca="false">COUNTIFS('Score Entry'!$F$5:$F$1276,C23,'Score Entry'!$E$5:$E$1276,"Third",'Score Entry'!$M$5:$M$1276,"&gt;0")</f>
        <v>0</v>
      </c>
      <c r="G23" s="24" t="n">
        <f aca="false">SUM($E$15:E23)</f>
        <v>613</v>
      </c>
      <c r="H23" s="24" t="n">
        <f aca="false">$F$5-G23</f>
        <v>503</v>
      </c>
      <c r="I23" s="61" t="n">
        <f aca="false">MAX(0,$F$5-$F$6*B23)</f>
        <v>446.4</v>
      </c>
      <c r="J23" s="62" t="n">
        <f aca="false">I23-H23</f>
        <v>-56.6</v>
      </c>
    </row>
    <row r="24" customFormat="false" ht="15" hidden="false" customHeight="false" outlineLevel="0" collapsed="false">
      <c r="B24" s="59" t="n">
        <v>10</v>
      </c>
      <c r="C24" s="60" t="n">
        <f aca="false">WORKDAY(WindowStart,B24-1)</f>
        <v>45947</v>
      </c>
      <c r="D24" s="51" t="n">
        <f aca="false">$F$6</f>
        <v>74.4</v>
      </c>
      <c r="E24" s="24" t="n">
        <f aca="false">COUNTIFS('Score Entry'!$F$5:$F$1276,C24,'Score Entry'!$E$5:$E$1276,"&lt;&gt;Third",'Score Entry'!$M$5:$M$1276,"&gt;0")</f>
        <v>81</v>
      </c>
      <c r="F24" s="24" t="n">
        <f aca="false">COUNTIFS('Score Entry'!$F$5:$F$1276,C24,'Score Entry'!$E$5:$E$1276,"Third",'Score Entry'!$M$5:$M$1276,"&gt;0")</f>
        <v>4</v>
      </c>
      <c r="G24" s="24" t="n">
        <f aca="false">SUM($E$15:E24)</f>
        <v>694</v>
      </c>
      <c r="H24" s="24" t="n">
        <f aca="false">$F$5-G24</f>
        <v>422</v>
      </c>
      <c r="I24" s="61" t="n">
        <f aca="false">MAX(0,$F$5-$F$6*B24)</f>
        <v>372</v>
      </c>
      <c r="J24" s="62" t="n">
        <f aca="false">I24-H24</f>
        <v>-50</v>
      </c>
    </row>
    <row r="25" customFormat="false" ht="15" hidden="false" customHeight="false" outlineLevel="0" collapsed="false">
      <c r="B25" s="59" t="n">
        <v>11</v>
      </c>
      <c r="C25" s="60" t="n">
        <f aca="false">WORKDAY(WindowStart,B25-1)</f>
        <v>45950</v>
      </c>
      <c r="D25" s="51" t="n">
        <f aca="false">$F$6</f>
        <v>74.4</v>
      </c>
      <c r="E25" s="24" t="n">
        <f aca="false">COUNTIFS('Score Entry'!$F$5:$F$1276,C25,'Score Entry'!$E$5:$E$1276,"&lt;&gt;Third",'Score Entry'!$M$5:$M$1276,"&gt;0")</f>
        <v>77</v>
      </c>
      <c r="F25" s="24" t="n">
        <f aca="false">COUNTIFS('Score Entry'!$F$5:$F$1276,C25,'Score Entry'!$E$5:$E$1276,"Third",'Score Entry'!$M$5:$M$1276,"&gt;0")</f>
        <v>12</v>
      </c>
      <c r="G25" s="24" t="n">
        <f aca="false">SUM($E$15:E25)</f>
        <v>771</v>
      </c>
      <c r="H25" s="24" t="n">
        <f aca="false">$F$5-G25</f>
        <v>345</v>
      </c>
      <c r="I25" s="61" t="n">
        <f aca="false">MAX(0,$F$5-$F$6*B25)</f>
        <v>297.6</v>
      </c>
      <c r="J25" s="62" t="n">
        <f aca="false">I25-H25</f>
        <v>-47.4000000000001</v>
      </c>
    </row>
    <row r="26" customFormat="false" ht="15" hidden="false" customHeight="false" outlineLevel="0" collapsed="false">
      <c r="B26" s="59" t="n">
        <v>12</v>
      </c>
      <c r="C26" s="60" t="n">
        <f aca="false">WORKDAY(WindowStart,B26-1)</f>
        <v>45951</v>
      </c>
      <c r="D26" s="51" t="n">
        <f aca="false">$F$6</f>
        <v>74.4</v>
      </c>
      <c r="E26" s="24" t="n">
        <f aca="false">COUNTIFS('Score Entry'!$F$5:$F$1276,C26,'Score Entry'!$E$5:$E$1276,"&lt;&gt;Third",'Score Entry'!$M$5:$M$1276,"&gt;0")</f>
        <v>72</v>
      </c>
      <c r="F26" s="24" t="n">
        <f aca="false">COUNTIFS('Score Entry'!$F$5:$F$1276,C26,'Score Entry'!$E$5:$E$1276,"Third",'Score Entry'!$M$5:$M$1276,"&gt;0")</f>
        <v>6</v>
      </c>
      <c r="G26" s="24" t="n">
        <f aca="false">SUM($E$15:E26)</f>
        <v>843</v>
      </c>
      <c r="H26" s="24" t="n">
        <f aca="false">$F$5-G26</f>
        <v>273</v>
      </c>
      <c r="I26" s="61" t="n">
        <f aca="false">MAX(0,$F$5-$F$6*B26)</f>
        <v>223.2</v>
      </c>
      <c r="J26" s="62" t="n">
        <f aca="false">I26-H26</f>
        <v>-49.8000000000001</v>
      </c>
    </row>
    <row r="27" customFormat="false" ht="15" hidden="false" customHeight="false" outlineLevel="0" collapsed="false">
      <c r="B27" s="59" t="n">
        <v>13</v>
      </c>
      <c r="C27" s="60" t="n">
        <f aca="false">WORKDAY(WindowStart,B27-1)</f>
        <v>45952</v>
      </c>
      <c r="D27" s="51" t="n">
        <f aca="false">$F$6</f>
        <v>74.4</v>
      </c>
      <c r="E27" s="24" t="n">
        <f aca="false">COUNTIFS('Score Entry'!$F$5:$F$1276,C27,'Score Entry'!$E$5:$E$1276,"&lt;&gt;Third",'Score Entry'!$M$5:$M$1276,"&gt;0")</f>
        <v>79</v>
      </c>
      <c r="F27" s="24" t="n">
        <f aca="false">COUNTIFS('Score Entry'!$F$5:$F$1276,C27,'Score Entry'!$E$5:$E$1276,"Third",'Score Entry'!$M$5:$M$1276,"&gt;0")</f>
        <v>8</v>
      </c>
      <c r="G27" s="24" t="n">
        <f aca="false">SUM($E$15:E27)</f>
        <v>922</v>
      </c>
      <c r="H27" s="24" t="n">
        <f aca="false">$F$5-G27</f>
        <v>194</v>
      </c>
      <c r="I27" s="61" t="n">
        <f aca="false">MAX(0,$F$5-$F$6*B27)</f>
        <v>148.8</v>
      </c>
      <c r="J27" s="62" t="n">
        <f aca="false">I27-H27</f>
        <v>-45.2</v>
      </c>
    </row>
    <row r="28" customFormat="false" ht="15" hidden="false" customHeight="false" outlineLevel="0" collapsed="false">
      <c r="B28" s="59" t="n">
        <v>14</v>
      </c>
      <c r="C28" s="60" t="n">
        <f aca="false">WORKDAY(WindowStart,B28-1)</f>
        <v>45953</v>
      </c>
      <c r="D28" s="51" t="n">
        <f aca="false">$F$6</f>
        <v>74.4</v>
      </c>
      <c r="E28" s="24" t="n">
        <f aca="false">COUNTIFS('Score Entry'!$F$5:$F$1276,C28,'Score Entry'!$E$5:$E$1276,"&lt;&gt;Third",'Score Entry'!$M$5:$M$1276,"&gt;0")</f>
        <v>76</v>
      </c>
      <c r="F28" s="24" t="n">
        <f aca="false">COUNTIFS('Score Entry'!$F$5:$F$1276,C28,'Score Entry'!$E$5:$E$1276,"Third",'Score Entry'!$M$5:$M$1276,"&gt;0")</f>
        <v>7</v>
      </c>
      <c r="G28" s="24" t="n">
        <f aca="false">SUM($E$15:E28)</f>
        <v>998</v>
      </c>
      <c r="H28" s="24" t="n">
        <f aca="false">$F$5-G28</f>
        <v>118</v>
      </c>
      <c r="I28" s="61" t="n">
        <f aca="false">MAX(0,$F$5-$F$6*B28)</f>
        <v>74.3999999999999</v>
      </c>
      <c r="J28" s="62" t="n">
        <f aca="false">I28-H28</f>
        <v>-43.6000000000001</v>
      </c>
    </row>
    <row r="29" customFormat="false" ht="15" hidden="false" customHeight="false" outlineLevel="0" collapsed="false">
      <c r="B29" s="59" t="n">
        <v>15</v>
      </c>
      <c r="C29" s="60" t="n">
        <f aca="false">WORKDAY(WindowStart,B29-1)</f>
        <v>45954</v>
      </c>
      <c r="D29" s="51" t="n">
        <f aca="false">$F$6</f>
        <v>74.4</v>
      </c>
      <c r="E29" s="24" t="n">
        <f aca="false">COUNTIFS('Score Entry'!$F$5:$F$1276,C29,'Score Entry'!$E$5:$E$1276,"&lt;&gt;Third",'Score Entry'!$M$5:$M$1276,"&gt;0")</f>
        <v>80</v>
      </c>
      <c r="F29" s="24" t="n">
        <f aca="false">COUNTIFS('Score Entry'!$F$5:$F$1276,C29,'Score Entry'!$E$5:$E$1276,"Third",'Score Entry'!$M$5:$M$1276,"&gt;0")</f>
        <v>7</v>
      </c>
      <c r="G29" s="24" t="n">
        <f aca="false">SUM($E$15:E29)</f>
        <v>1078</v>
      </c>
      <c r="H29" s="24" t="n">
        <f aca="false">$F$5-G29</f>
        <v>38</v>
      </c>
      <c r="I29" s="61" t="n">
        <f aca="false">MAX(0,$F$5-$F$6*B29)</f>
        <v>0</v>
      </c>
      <c r="J29" s="62" t="n">
        <f aca="false">I29-H29</f>
        <v>-38</v>
      </c>
    </row>
    <row r="30" customFormat="false" ht="25.5" hidden="false" customHeight="true" outlineLevel="0" collapsed="false">
      <c r="B30" s="55" t="s">
        <v>2563</v>
      </c>
      <c r="C30" s="55"/>
      <c r="D30" s="55"/>
      <c r="E30" s="55"/>
      <c r="F30" s="55"/>
      <c r="G30" s="55"/>
      <c r="H30" s="55"/>
      <c r="I30" s="55"/>
      <c r="J30" s="55"/>
    </row>
    <row r="39" customFormat="false" ht="15" hidden="false" customHeight="false" outlineLevel="0" collapsed="false">
      <c r="B39" s="10" t="s">
        <v>2564</v>
      </c>
    </row>
    <row r="40" customFormat="false" ht="30" hidden="false" customHeight="true" outlineLevel="0" collapsed="false">
      <c r="B40" s="33" t="s">
        <v>61</v>
      </c>
      <c r="C40" s="33" t="s">
        <v>2565</v>
      </c>
      <c r="D40" s="33" t="s">
        <v>2566</v>
      </c>
      <c r="E40" s="33" t="s">
        <v>2567</v>
      </c>
      <c r="F40" s="33" t="s">
        <v>2568</v>
      </c>
      <c r="G40" s="33" t="s">
        <v>2569</v>
      </c>
      <c r="H40" s="33" t="s">
        <v>2570</v>
      </c>
      <c r="I40" s="33" t="s">
        <v>2571</v>
      </c>
      <c r="J40" s="33" t="s">
        <v>2572</v>
      </c>
      <c r="K40" s="33" t="s">
        <v>2573</v>
      </c>
      <c r="L40" s="33" t="s">
        <v>2574</v>
      </c>
      <c r="M40" s="33" t="s">
        <v>2575</v>
      </c>
      <c r="N40" s="33" t="s">
        <v>2576</v>
      </c>
      <c r="O40" s="33" t="s">
        <v>2577</v>
      </c>
      <c r="P40" s="33" t="s">
        <v>2578</v>
      </c>
      <c r="Q40" s="33" t="s">
        <v>2579</v>
      </c>
      <c r="R40" s="33" t="s">
        <v>2580</v>
      </c>
      <c r="S40" s="33" t="s">
        <v>107</v>
      </c>
    </row>
    <row r="41" customFormat="false" ht="15" hidden="false" customHeight="false" outlineLevel="0" collapsed="false">
      <c r="B41" s="63" t="str">
        <f aca="false">INDEX(ReviewerList,1)</f>
        <v>Alicia Moreno</v>
      </c>
      <c r="C41" s="48" t="n">
        <f aca="false">Assignments!E5/MAX(1,WorkDays-NETWORKDAYS(WindowStart,INDEX(Settings!$G$6:$G$11,1))+1)</f>
        <v>12.6</v>
      </c>
      <c r="D41" s="37" t="n">
        <f aca="false">COUNTIFS('Score Entry'!$D$5:$D$1276,$B41,'Score Entry'!$F$5:$F$1276,WORKDAY(WindowStart,0),'Score Entry'!$E$5:$E$1276,"&lt;&gt;Third",'Score Entry'!$M$5:$M$1276,"&gt;0")</f>
        <v>6</v>
      </c>
      <c r="E41" s="37" t="n">
        <f aca="false">COUNTIFS('Score Entry'!$D$5:$D$1276,$B41,'Score Entry'!$F$5:$F$1276,WORKDAY(WindowStart,1),'Score Entry'!$E$5:$E$1276,"&lt;&gt;Third",'Score Entry'!$M$5:$M$1276,"&gt;0")</f>
        <v>7</v>
      </c>
      <c r="F41" s="37" t="n">
        <f aca="false">COUNTIFS('Score Entry'!$D$5:$D$1276,$B41,'Score Entry'!$F$5:$F$1276,WORKDAY(WindowStart,2),'Score Entry'!$E$5:$E$1276,"&lt;&gt;Third",'Score Entry'!$M$5:$M$1276,"&gt;0")</f>
        <v>12</v>
      </c>
      <c r="G41" s="37" t="n">
        <f aca="false">COUNTIFS('Score Entry'!$D$5:$D$1276,$B41,'Score Entry'!$F$5:$F$1276,WORKDAY(WindowStart,3),'Score Entry'!$E$5:$E$1276,"&lt;&gt;Third",'Score Entry'!$M$5:$M$1276,"&gt;0")</f>
        <v>14</v>
      </c>
      <c r="H41" s="37" t="n">
        <f aca="false">COUNTIFS('Score Entry'!$D$5:$D$1276,$B41,'Score Entry'!$F$5:$F$1276,WORKDAY(WindowStart,4),'Score Entry'!$E$5:$E$1276,"&lt;&gt;Third",'Score Entry'!$M$5:$M$1276,"&gt;0")</f>
        <v>14</v>
      </c>
      <c r="I41" s="37" t="n">
        <f aca="false">COUNTIFS('Score Entry'!$D$5:$D$1276,$B41,'Score Entry'!$F$5:$F$1276,WORKDAY(WindowStart,5),'Score Entry'!$E$5:$E$1276,"&lt;&gt;Third",'Score Entry'!$M$5:$M$1276,"&gt;0")</f>
        <v>13</v>
      </c>
      <c r="J41" s="37" t="n">
        <f aca="false">COUNTIFS('Score Entry'!$D$5:$D$1276,$B41,'Score Entry'!$F$5:$F$1276,WORKDAY(WindowStart,6),'Score Entry'!$E$5:$E$1276,"&lt;&gt;Third",'Score Entry'!$M$5:$M$1276,"&gt;0")</f>
        <v>13</v>
      </c>
      <c r="K41" s="37" t="n">
        <f aca="false">COUNTIFS('Score Entry'!$D$5:$D$1276,$B41,'Score Entry'!$F$5:$F$1276,WORKDAY(WindowStart,7),'Score Entry'!$E$5:$E$1276,"&lt;&gt;Third",'Score Entry'!$M$5:$M$1276,"&gt;0")</f>
        <v>13</v>
      </c>
      <c r="L41" s="37" t="n">
        <f aca="false">COUNTIFS('Score Entry'!$D$5:$D$1276,$B41,'Score Entry'!$F$5:$F$1276,WORKDAY(WindowStart,8),'Score Entry'!$E$5:$E$1276,"&lt;&gt;Third",'Score Entry'!$M$5:$M$1276,"&gt;0")</f>
        <v>14</v>
      </c>
      <c r="M41" s="37" t="n">
        <f aca="false">COUNTIFS('Score Entry'!$D$5:$D$1276,$B41,'Score Entry'!$F$5:$F$1276,WORKDAY(WindowStart,9),'Score Entry'!$E$5:$E$1276,"&lt;&gt;Third",'Score Entry'!$M$5:$M$1276,"&gt;0")</f>
        <v>12</v>
      </c>
      <c r="N41" s="37" t="n">
        <f aca="false">COUNTIFS('Score Entry'!$D$5:$D$1276,$B41,'Score Entry'!$F$5:$F$1276,WORKDAY(WindowStart,10),'Score Entry'!$E$5:$E$1276,"&lt;&gt;Third",'Score Entry'!$M$5:$M$1276,"&gt;0")</f>
        <v>12</v>
      </c>
      <c r="O41" s="37" t="n">
        <f aca="false">COUNTIFS('Score Entry'!$D$5:$D$1276,$B41,'Score Entry'!$F$5:$F$1276,WORKDAY(WindowStart,11),'Score Entry'!$E$5:$E$1276,"&lt;&gt;Third",'Score Entry'!$M$5:$M$1276,"&gt;0")</f>
        <v>13</v>
      </c>
      <c r="P41" s="37" t="n">
        <f aca="false">COUNTIFS('Score Entry'!$D$5:$D$1276,$B41,'Score Entry'!$F$5:$F$1276,WORKDAY(WindowStart,12),'Score Entry'!$E$5:$E$1276,"&lt;&gt;Third",'Score Entry'!$M$5:$M$1276,"&gt;0")</f>
        <v>15</v>
      </c>
      <c r="Q41" s="37" t="n">
        <f aca="false">COUNTIFS('Score Entry'!$D$5:$D$1276,$B41,'Score Entry'!$F$5:$F$1276,WORKDAY(WindowStart,13),'Score Entry'!$E$5:$E$1276,"&lt;&gt;Third",'Score Entry'!$M$5:$M$1276,"&gt;0")</f>
        <v>15</v>
      </c>
      <c r="R41" s="37" t="n">
        <f aca="false">COUNTIFS('Score Entry'!$D$5:$D$1276,$B41,'Score Entry'!$F$5:$F$1276,WORKDAY(WindowStart,14),'Score Entry'!$E$5:$E$1276,"&lt;&gt;Third",'Score Entry'!$M$5:$M$1276,"&gt;0")</f>
        <v>15</v>
      </c>
      <c r="S41" s="43" t="n">
        <f aca="false">SUM(D41:R41)</f>
        <v>188</v>
      </c>
    </row>
    <row r="42" customFormat="false" ht="15" hidden="false" customHeight="false" outlineLevel="0" collapsed="false">
      <c r="B42" s="63" t="str">
        <f aca="false">INDEX(ReviewerList,2)</f>
        <v>Ben Okafor</v>
      </c>
      <c r="C42" s="48" t="n">
        <f aca="false">Assignments!E6/MAX(1,WorkDays-NETWORKDAYS(WindowStart,INDEX(Settings!$G$6:$G$11,2))+1)</f>
        <v>12.6</v>
      </c>
      <c r="D42" s="37" t="n">
        <f aca="false">COUNTIFS('Score Entry'!$D$5:$D$1276,$B42,'Score Entry'!$F$5:$F$1276,WORKDAY(WindowStart,0),'Score Entry'!$E$5:$E$1276,"&lt;&gt;Third",'Score Entry'!$M$5:$M$1276,"&gt;0")</f>
        <v>7</v>
      </c>
      <c r="E42" s="37" t="n">
        <f aca="false">COUNTIFS('Score Entry'!$D$5:$D$1276,$B42,'Score Entry'!$F$5:$F$1276,WORKDAY(WindowStart,1),'Score Entry'!$E$5:$E$1276,"&lt;&gt;Third",'Score Entry'!$M$5:$M$1276,"&gt;0")</f>
        <v>7</v>
      </c>
      <c r="F42" s="37" t="n">
        <f aca="false">COUNTIFS('Score Entry'!$D$5:$D$1276,$B42,'Score Entry'!$F$5:$F$1276,WORKDAY(WindowStart,2),'Score Entry'!$E$5:$E$1276,"&lt;&gt;Third",'Score Entry'!$M$5:$M$1276,"&gt;0")</f>
        <v>14</v>
      </c>
      <c r="G42" s="37" t="n">
        <f aca="false">COUNTIFS('Score Entry'!$D$5:$D$1276,$B42,'Score Entry'!$F$5:$F$1276,WORKDAY(WindowStart,3),'Score Entry'!$E$5:$E$1276,"&lt;&gt;Third",'Score Entry'!$M$5:$M$1276,"&gt;0")</f>
        <v>14</v>
      </c>
      <c r="H42" s="37" t="n">
        <f aca="false">COUNTIFS('Score Entry'!$D$5:$D$1276,$B42,'Score Entry'!$F$5:$F$1276,WORKDAY(WindowStart,4),'Score Entry'!$E$5:$E$1276,"&lt;&gt;Third",'Score Entry'!$M$5:$M$1276,"&gt;0")</f>
        <v>13</v>
      </c>
      <c r="I42" s="37" t="n">
        <f aca="false">COUNTIFS('Score Entry'!$D$5:$D$1276,$B42,'Score Entry'!$F$5:$F$1276,WORKDAY(WindowStart,5),'Score Entry'!$E$5:$E$1276,"&lt;&gt;Third",'Score Entry'!$M$5:$M$1276,"&gt;0")</f>
        <v>12</v>
      </c>
      <c r="J42" s="37" t="n">
        <f aca="false">COUNTIFS('Score Entry'!$D$5:$D$1276,$B42,'Score Entry'!$F$5:$F$1276,WORKDAY(WindowStart,6),'Score Entry'!$E$5:$E$1276,"&lt;&gt;Third",'Score Entry'!$M$5:$M$1276,"&gt;0")</f>
        <v>14</v>
      </c>
      <c r="K42" s="37" t="n">
        <f aca="false">COUNTIFS('Score Entry'!$D$5:$D$1276,$B42,'Score Entry'!$F$5:$F$1276,WORKDAY(WindowStart,7),'Score Entry'!$E$5:$E$1276,"&lt;&gt;Third",'Score Entry'!$M$5:$M$1276,"&gt;0")</f>
        <v>12</v>
      </c>
      <c r="L42" s="37" t="n">
        <f aca="false">COUNTIFS('Score Entry'!$D$5:$D$1276,$B42,'Score Entry'!$F$5:$F$1276,WORKDAY(WindowStart,8),'Score Entry'!$E$5:$E$1276,"&lt;&gt;Third",'Score Entry'!$M$5:$M$1276,"&gt;0")</f>
        <v>12</v>
      </c>
      <c r="M42" s="37" t="n">
        <f aca="false">COUNTIFS('Score Entry'!$D$5:$D$1276,$B42,'Score Entry'!$F$5:$F$1276,WORKDAY(WindowStart,9),'Score Entry'!$E$5:$E$1276,"&lt;&gt;Third",'Score Entry'!$M$5:$M$1276,"&gt;0")</f>
        <v>14</v>
      </c>
      <c r="N42" s="37" t="n">
        <f aca="false">COUNTIFS('Score Entry'!$D$5:$D$1276,$B42,'Score Entry'!$F$5:$F$1276,WORKDAY(WindowStart,10),'Score Entry'!$E$5:$E$1276,"&lt;&gt;Third",'Score Entry'!$M$5:$M$1276,"&gt;0")</f>
        <v>14</v>
      </c>
      <c r="O42" s="37" t="n">
        <f aca="false">COUNTIFS('Score Entry'!$D$5:$D$1276,$B42,'Score Entry'!$F$5:$F$1276,WORKDAY(WindowStart,11),'Score Entry'!$E$5:$E$1276,"&lt;&gt;Third",'Score Entry'!$M$5:$M$1276,"&gt;0")</f>
        <v>13</v>
      </c>
      <c r="P42" s="37" t="n">
        <f aca="false">COUNTIFS('Score Entry'!$D$5:$D$1276,$B42,'Score Entry'!$F$5:$F$1276,WORKDAY(WindowStart,12),'Score Entry'!$E$5:$E$1276,"&lt;&gt;Third",'Score Entry'!$M$5:$M$1276,"&gt;0")</f>
        <v>14</v>
      </c>
      <c r="Q42" s="37" t="n">
        <f aca="false">COUNTIFS('Score Entry'!$D$5:$D$1276,$B42,'Score Entry'!$F$5:$F$1276,WORKDAY(WindowStart,13),'Score Entry'!$E$5:$E$1276,"&lt;&gt;Third",'Score Entry'!$M$5:$M$1276,"&gt;0")</f>
        <v>13</v>
      </c>
      <c r="R42" s="37" t="n">
        <f aca="false">COUNTIFS('Score Entry'!$D$5:$D$1276,$B42,'Score Entry'!$F$5:$F$1276,WORKDAY(WindowStart,14),'Score Entry'!$E$5:$E$1276,"&lt;&gt;Third",'Score Entry'!$M$5:$M$1276,"&gt;0")</f>
        <v>13</v>
      </c>
      <c r="S42" s="43" t="n">
        <f aca="false">SUM(D42:R42)</f>
        <v>186</v>
      </c>
    </row>
    <row r="43" customFormat="false" ht="15" hidden="false" customHeight="false" outlineLevel="0" collapsed="false">
      <c r="B43" s="63" t="str">
        <f aca="false">INDEX(ReviewerList,3)</f>
        <v>Rafael Ortiz</v>
      </c>
      <c r="C43" s="48" t="n">
        <f aca="false">Assignments!E7/MAX(1,WorkDays-NETWORKDAYS(WindowStart,INDEX(Settings!$G$6:$G$11,3))+1)</f>
        <v>15.4</v>
      </c>
      <c r="D43" s="37" t="n">
        <f aca="false">COUNTIFS('Score Entry'!$D$5:$D$1276,$B43,'Score Entry'!$F$5:$F$1276,WORKDAY(WindowStart,0),'Score Entry'!$E$5:$E$1276,"&lt;&gt;Third",'Score Entry'!$M$5:$M$1276,"&gt;0")</f>
        <v>9</v>
      </c>
      <c r="E43" s="37" t="n">
        <f aca="false">COUNTIFS('Score Entry'!$D$5:$D$1276,$B43,'Score Entry'!$F$5:$F$1276,WORKDAY(WindowStart,1),'Score Entry'!$E$5:$E$1276,"&lt;&gt;Third",'Score Entry'!$M$5:$M$1276,"&gt;0")</f>
        <v>8</v>
      </c>
      <c r="F43" s="37" t="n">
        <f aca="false">COUNTIFS('Score Entry'!$D$5:$D$1276,$B43,'Score Entry'!$F$5:$F$1276,WORKDAY(WindowStart,2),'Score Entry'!$E$5:$E$1276,"&lt;&gt;Third",'Score Entry'!$M$5:$M$1276,"&gt;0")</f>
        <v>15</v>
      </c>
      <c r="G43" s="37" t="n">
        <f aca="false">COUNTIFS('Score Entry'!$D$5:$D$1276,$B43,'Score Entry'!$F$5:$F$1276,WORKDAY(WindowStart,3),'Score Entry'!$E$5:$E$1276,"&lt;&gt;Third",'Score Entry'!$M$5:$M$1276,"&gt;0")</f>
        <v>16</v>
      </c>
      <c r="H43" s="37" t="n">
        <f aca="false">COUNTIFS('Score Entry'!$D$5:$D$1276,$B43,'Score Entry'!$F$5:$F$1276,WORKDAY(WindowStart,4),'Score Entry'!$E$5:$E$1276,"&lt;&gt;Third",'Score Entry'!$M$5:$M$1276,"&gt;0")</f>
        <v>17</v>
      </c>
      <c r="I43" s="37" t="n">
        <f aca="false">COUNTIFS('Score Entry'!$D$5:$D$1276,$B43,'Score Entry'!$F$5:$F$1276,WORKDAY(WindowStart,5),'Score Entry'!$E$5:$E$1276,"&lt;&gt;Third",'Score Entry'!$M$5:$M$1276,"&gt;0")</f>
        <v>16</v>
      </c>
      <c r="J43" s="37" t="n">
        <f aca="false">COUNTIFS('Score Entry'!$D$5:$D$1276,$B43,'Score Entry'!$F$5:$F$1276,WORKDAY(WindowStart,6),'Score Entry'!$E$5:$E$1276,"&lt;&gt;Third",'Score Entry'!$M$5:$M$1276,"&gt;0")</f>
        <v>18</v>
      </c>
      <c r="K43" s="37" t="n">
        <f aca="false">COUNTIFS('Score Entry'!$D$5:$D$1276,$B43,'Score Entry'!$F$5:$F$1276,WORKDAY(WindowStart,7),'Score Entry'!$E$5:$E$1276,"&lt;&gt;Third",'Score Entry'!$M$5:$M$1276,"&gt;0")</f>
        <v>16</v>
      </c>
      <c r="L43" s="37" t="n">
        <f aca="false">COUNTIFS('Score Entry'!$D$5:$D$1276,$B43,'Score Entry'!$F$5:$F$1276,WORKDAY(WindowStart,8),'Score Entry'!$E$5:$E$1276,"&lt;&gt;Third",'Score Entry'!$M$5:$M$1276,"&gt;0")</f>
        <v>18</v>
      </c>
      <c r="M43" s="37" t="n">
        <f aca="false">COUNTIFS('Score Entry'!$D$5:$D$1276,$B43,'Score Entry'!$F$5:$F$1276,WORKDAY(WindowStart,9),'Score Entry'!$E$5:$E$1276,"&lt;&gt;Third",'Score Entry'!$M$5:$M$1276,"&gt;0")</f>
        <v>17</v>
      </c>
      <c r="N43" s="37" t="n">
        <f aca="false">COUNTIFS('Score Entry'!$D$5:$D$1276,$B43,'Score Entry'!$F$5:$F$1276,WORKDAY(WindowStart,10),'Score Entry'!$E$5:$E$1276,"&lt;&gt;Third",'Score Entry'!$M$5:$M$1276,"&gt;0")</f>
        <v>15</v>
      </c>
      <c r="O43" s="37" t="n">
        <f aca="false">COUNTIFS('Score Entry'!$D$5:$D$1276,$B43,'Score Entry'!$F$5:$F$1276,WORKDAY(WindowStart,11),'Score Entry'!$E$5:$E$1276,"&lt;&gt;Third",'Score Entry'!$M$5:$M$1276,"&gt;0")</f>
        <v>15</v>
      </c>
      <c r="P43" s="37" t="n">
        <f aca="false">COUNTIFS('Score Entry'!$D$5:$D$1276,$B43,'Score Entry'!$F$5:$F$1276,WORKDAY(WindowStart,12),'Score Entry'!$E$5:$E$1276,"&lt;&gt;Third",'Score Entry'!$M$5:$M$1276,"&gt;0")</f>
        <v>18</v>
      </c>
      <c r="Q43" s="37" t="n">
        <f aca="false">COUNTIFS('Score Entry'!$D$5:$D$1276,$B43,'Score Entry'!$F$5:$F$1276,WORKDAY(WindowStart,13),'Score Entry'!$E$5:$E$1276,"&lt;&gt;Third",'Score Entry'!$M$5:$M$1276,"&gt;0")</f>
        <v>16</v>
      </c>
      <c r="R43" s="37" t="n">
        <f aca="false">COUNTIFS('Score Entry'!$D$5:$D$1276,$B43,'Score Entry'!$F$5:$F$1276,WORKDAY(WindowStart,14),'Score Entry'!$E$5:$E$1276,"&lt;&gt;Third",'Score Entry'!$M$5:$M$1276,"&gt;0")</f>
        <v>17</v>
      </c>
      <c r="S43" s="43" t="n">
        <f aca="false">SUM(D43:R43)</f>
        <v>231</v>
      </c>
    </row>
    <row r="44" customFormat="false" ht="15" hidden="false" customHeight="false" outlineLevel="0" collapsed="false">
      <c r="B44" s="63" t="str">
        <f aca="false">INDEX(ReviewerList,4)</f>
        <v>Erin Walsh</v>
      </c>
      <c r="C44" s="48" t="n">
        <f aca="false">Assignments!E8/MAX(1,WorkDays-NETWORKDAYS(WindowStart,INDEX(Settings!$G$6:$G$11,4))+1)</f>
        <v>12.4666666666667</v>
      </c>
      <c r="D44" s="37" t="n">
        <f aca="false">COUNTIFS('Score Entry'!$D$5:$D$1276,$B44,'Score Entry'!$F$5:$F$1276,WORKDAY(WindowStart,0),'Score Entry'!$E$5:$E$1276,"&lt;&gt;Third",'Score Entry'!$M$5:$M$1276,"&gt;0")</f>
        <v>7</v>
      </c>
      <c r="E44" s="37" t="n">
        <f aca="false">COUNTIFS('Score Entry'!$D$5:$D$1276,$B44,'Score Entry'!$F$5:$F$1276,WORKDAY(WindowStart,1),'Score Entry'!$E$5:$E$1276,"&lt;&gt;Third",'Score Entry'!$M$5:$M$1276,"&gt;0")</f>
        <v>7</v>
      </c>
      <c r="F44" s="37" t="n">
        <f aca="false">COUNTIFS('Score Entry'!$D$5:$D$1276,$B44,'Score Entry'!$F$5:$F$1276,WORKDAY(WindowStart,2),'Score Entry'!$E$5:$E$1276,"&lt;&gt;Third",'Score Entry'!$M$5:$M$1276,"&gt;0")</f>
        <v>12</v>
      </c>
      <c r="G44" s="37" t="n">
        <f aca="false">COUNTIFS('Score Entry'!$D$5:$D$1276,$B44,'Score Entry'!$F$5:$F$1276,WORKDAY(WindowStart,3),'Score Entry'!$E$5:$E$1276,"&lt;&gt;Third",'Score Entry'!$M$5:$M$1276,"&gt;0")</f>
        <v>12</v>
      </c>
      <c r="H44" s="37" t="n">
        <f aca="false">COUNTIFS('Score Entry'!$D$5:$D$1276,$B44,'Score Entry'!$F$5:$F$1276,WORKDAY(WindowStart,4),'Score Entry'!$E$5:$E$1276,"&lt;&gt;Third",'Score Entry'!$M$5:$M$1276,"&gt;0")</f>
        <v>13</v>
      </c>
      <c r="I44" s="37" t="n">
        <f aca="false">COUNTIFS('Score Entry'!$D$5:$D$1276,$B44,'Score Entry'!$F$5:$F$1276,WORKDAY(WindowStart,5),'Score Entry'!$E$5:$E$1276,"&lt;&gt;Third",'Score Entry'!$M$5:$M$1276,"&gt;0")</f>
        <v>12</v>
      </c>
      <c r="J44" s="37" t="n">
        <f aca="false">COUNTIFS('Score Entry'!$D$5:$D$1276,$B44,'Score Entry'!$F$5:$F$1276,WORKDAY(WindowStart,6),'Score Entry'!$E$5:$E$1276,"&lt;&gt;Third",'Score Entry'!$M$5:$M$1276,"&gt;0")</f>
        <v>12</v>
      </c>
      <c r="K44" s="37" t="n">
        <f aca="false">COUNTIFS('Score Entry'!$D$5:$D$1276,$B44,'Score Entry'!$F$5:$F$1276,WORKDAY(WindowStart,7),'Score Entry'!$E$5:$E$1276,"&lt;&gt;Third",'Score Entry'!$M$5:$M$1276,"&gt;0")</f>
        <v>14</v>
      </c>
      <c r="L44" s="37" t="n">
        <f aca="false">COUNTIFS('Score Entry'!$D$5:$D$1276,$B44,'Score Entry'!$F$5:$F$1276,WORKDAY(WindowStart,8),'Score Entry'!$E$5:$E$1276,"&lt;&gt;Third",'Score Entry'!$M$5:$M$1276,"&gt;0")</f>
        <v>12</v>
      </c>
      <c r="M44" s="37" t="n">
        <f aca="false">COUNTIFS('Score Entry'!$D$5:$D$1276,$B44,'Score Entry'!$F$5:$F$1276,WORKDAY(WindowStart,9),'Score Entry'!$E$5:$E$1276,"&lt;&gt;Third",'Score Entry'!$M$5:$M$1276,"&gt;0")</f>
        <v>13</v>
      </c>
      <c r="N44" s="37" t="n">
        <f aca="false">COUNTIFS('Score Entry'!$D$5:$D$1276,$B44,'Score Entry'!$F$5:$F$1276,WORKDAY(WindowStart,10),'Score Entry'!$E$5:$E$1276,"&lt;&gt;Third",'Score Entry'!$M$5:$M$1276,"&gt;0")</f>
        <v>13</v>
      </c>
      <c r="O44" s="37" t="n">
        <f aca="false">COUNTIFS('Score Entry'!$D$5:$D$1276,$B44,'Score Entry'!$F$5:$F$1276,WORKDAY(WindowStart,11),'Score Entry'!$E$5:$E$1276,"&lt;&gt;Third",'Score Entry'!$M$5:$M$1276,"&gt;0")</f>
        <v>12</v>
      </c>
      <c r="P44" s="37" t="n">
        <f aca="false">COUNTIFS('Score Entry'!$D$5:$D$1276,$B44,'Score Entry'!$F$5:$F$1276,WORKDAY(WindowStart,12),'Score Entry'!$E$5:$E$1276,"&lt;&gt;Third",'Score Entry'!$M$5:$M$1276,"&gt;0")</f>
        <v>12</v>
      </c>
      <c r="Q44" s="37" t="n">
        <f aca="false">COUNTIFS('Score Entry'!$D$5:$D$1276,$B44,'Score Entry'!$F$5:$F$1276,WORKDAY(WindowStart,13),'Score Entry'!$E$5:$E$1276,"&lt;&gt;Third",'Score Entry'!$M$5:$M$1276,"&gt;0")</f>
        <v>13</v>
      </c>
      <c r="R44" s="37" t="n">
        <f aca="false">COUNTIFS('Score Entry'!$D$5:$D$1276,$B44,'Score Entry'!$F$5:$F$1276,WORKDAY(WindowStart,14),'Score Entry'!$E$5:$E$1276,"&lt;&gt;Third",'Score Entry'!$M$5:$M$1276,"&gt;0")</f>
        <v>15</v>
      </c>
      <c r="S44" s="43" t="n">
        <f aca="false">SUM(D44:R44)</f>
        <v>179</v>
      </c>
    </row>
    <row r="45" customFormat="false" ht="15" hidden="false" customHeight="false" outlineLevel="0" collapsed="false">
      <c r="B45" s="63" t="str">
        <f aca="false">INDEX(ReviewerList,5)</f>
        <v>Frank Delgado</v>
      </c>
      <c r="C45" s="48" t="n">
        <f aca="false">Assignments!E9/MAX(1,WorkDays-NETWORKDAYS(WindowStart,INDEX(Settings!$G$6:$G$11,5))+1)</f>
        <v>12.4666666666667</v>
      </c>
      <c r="D45" s="37" t="n">
        <f aca="false">COUNTIFS('Score Entry'!$D$5:$D$1276,$B45,'Score Entry'!$F$5:$F$1276,WORKDAY(WindowStart,0),'Score Entry'!$E$5:$E$1276,"&lt;&gt;Third",'Score Entry'!$M$5:$M$1276,"&gt;0")</f>
        <v>7</v>
      </c>
      <c r="E45" s="37" t="n">
        <f aca="false">COUNTIFS('Score Entry'!$D$5:$D$1276,$B45,'Score Entry'!$F$5:$F$1276,WORKDAY(WindowStart,1),'Score Entry'!$E$5:$E$1276,"&lt;&gt;Third",'Score Entry'!$M$5:$M$1276,"&gt;0")</f>
        <v>6</v>
      </c>
      <c r="F45" s="37" t="n">
        <f aca="false">COUNTIFS('Score Entry'!$D$5:$D$1276,$B45,'Score Entry'!$F$5:$F$1276,WORKDAY(WindowStart,2),'Score Entry'!$E$5:$E$1276,"&lt;&gt;Third",'Score Entry'!$M$5:$M$1276,"&gt;0")</f>
        <v>13</v>
      </c>
      <c r="G45" s="37" t="n">
        <f aca="false">COUNTIFS('Score Entry'!$D$5:$D$1276,$B45,'Score Entry'!$F$5:$F$1276,WORKDAY(WindowStart,3),'Score Entry'!$E$5:$E$1276,"&lt;&gt;Third",'Score Entry'!$M$5:$M$1276,"&gt;0")</f>
        <v>15</v>
      </c>
      <c r="H45" s="37" t="n">
        <f aca="false">COUNTIFS('Score Entry'!$D$5:$D$1276,$B45,'Score Entry'!$F$5:$F$1276,WORKDAY(WindowStart,4),'Score Entry'!$E$5:$E$1276,"&lt;&gt;Third",'Score Entry'!$M$5:$M$1276,"&gt;0")</f>
        <v>14</v>
      </c>
      <c r="I45" s="37" t="n">
        <f aca="false">COUNTIFS('Score Entry'!$D$5:$D$1276,$B45,'Score Entry'!$F$5:$F$1276,WORKDAY(WindowStart,5),'Score Entry'!$E$5:$E$1276,"&lt;&gt;Third",'Score Entry'!$M$5:$M$1276,"&gt;0")</f>
        <v>12</v>
      </c>
      <c r="J45" s="37" t="n">
        <f aca="false">COUNTIFS('Score Entry'!$D$5:$D$1276,$B45,'Score Entry'!$F$5:$F$1276,WORKDAY(WindowStart,6),'Score Entry'!$E$5:$E$1276,"&lt;&gt;Third",'Score Entry'!$M$5:$M$1276,"&gt;0")</f>
        <v>14</v>
      </c>
      <c r="K45" s="37" t="n">
        <f aca="false">COUNTIFS('Score Entry'!$D$5:$D$1276,$B45,'Score Entry'!$F$5:$F$1276,WORKDAY(WindowStart,7),'Score Entry'!$E$5:$E$1276,"&lt;&gt;Third",'Score Entry'!$M$5:$M$1276,"&gt;0")</f>
        <v>14</v>
      </c>
      <c r="L45" s="37" t="n">
        <f aca="false">COUNTIFS('Score Entry'!$D$5:$D$1276,$B45,'Score Entry'!$F$5:$F$1276,WORKDAY(WindowStart,8),'Score Entry'!$E$5:$E$1276,"&lt;&gt;Third",'Score Entry'!$M$5:$M$1276,"&gt;0")</f>
        <v>12</v>
      </c>
      <c r="M45" s="37" t="n">
        <f aca="false">COUNTIFS('Score Entry'!$D$5:$D$1276,$B45,'Score Entry'!$F$5:$F$1276,WORKDAY(WindowStart,9),'Score Entry'!$E$5:$E$1276,"&lt;&gt;Third",'Score Entry'!$M$5:$M$1276,"&gt;0")</f>
        <v>14</v>
      </c>
      <c r="N45" s="37" t="n">
        <f aca="false">COUNTIFS('Score Entry'!$D$5:$D$1276,$B45,'Score Entry'!$F$5:$F$1276,WORKDAY(WindowStart,10),'Score Entry'!$E$5:$E$1276,"&lt;&gt;Third",'Score Entry'!$M$5:$M$1276,"&gt;0")</f>
        <v>12</v>
      </c>
      <c r="O45" s="37" t="n">
        <f aca="false">COUNTIFS('Score Entry'!$D$5:$D$1276,$B45,'Score Entry'!$F$5:$F$1276,WORKDAY(WindowStart,11),'Score Entry'!$E$5:$E$1276,"&lt;&gt;Third",'Score Entry'!$M$5:$M$1276,"&gt;0")</f>
        <v>7</v>
      </c>
      <c r="P45" s="37" t="n">
        <f aca="false">COUNTIFS('Score Entry'!$D$5:$D$1276,$B45,'Score Entry'!$F$5:$F$1276,WORKDAY(WindowStart,12),'Score Entry'!$E$5:$E$1276,"&lt;&gt;Third",'Score Entry'!$M$5:$M$1276,"&gt;0")</f>
        <v>7</v>
      </c>
      <c r="Q45" s="37" t="n">
        <f aca="false">COUNTIFS('Score Entry'!$D$5:$D$1276,$B45,'Score Entry'!$F$5:$F$1276,WORKDAY(WindowStart,13),'Score Entry'!$E$5:$E$1276,"&lt;&gt;Third",'Score Entry'!$M$5:$M$1276,"&gt;0")</f>
        <v>7</v>
      </c>
      <c r="R45" s="37" t="n">
        <f aca="false">COUNTIFS('Score Entry'!$D$5:$D$1276,$B45,'Score Entry'!$F$5:$F$1276,WORKDAY(WindowStart,14),'Score Entry'!$E$5:$E$1276,"&lt;&gt;Third",'Score Entry'!$M$5:$M$1276,"&gt;0")</f>
        <v>7</v>
      </c>
      <c r="S45" s="43" t="n">
        <f aca="false">SUM(D45:R45)</f>
        <v>161</v>
      </c>
    </row>
    <row r="46" customFormat="false" ht="15" hidden="false" customHeight="false" outlineLevel="0" collapsed="false">
      <c r="B46" s="63" t="str">
        <f aca="false">INDEX(ReviewerList,6)</f>
        <v>Grace Kim</v>
      </c>
      <c r="C46" s="48" t="n">
        <f aca="false">Assignments!E10/MAX(1,WorkDays-NETWORKDAYS(WindowStart,INDEX(Settings!$G$6:$G$11,6))+1)</f>
        <v>11.0833333333333</v>
      </c>
      <c r="D46" s="37" t="n">
        <f aca="false">COUNTIFS('Score Entry'!$D$5:$D$1276,$B46,'Score Entry'!$F$5:$F$1276,WORKDAY(WindowStart,0),'Score Entry'!$E$5:$E$1276,"&lt;&gt;Third",'Score Entry'!$M$5:$M$1276,"&gt;0")</f>
        <v>0</v>
      </c>
      <c r="E46" s="37" t="n">
        <f aca="false">COUNTIFS('Score Entry'!$D$5:$D$1276,$B46,'Score Entry'!$F$5:$F$1276,WORKDAY(WindowStart,1),'Score Entry'!$E$5:$E$1276,"&lt;&gt;Third",'Score Entry'!$M$5:$M$1276,"&gt;0")</f>
        <v>0</v>
      </c>
      <c r="F46" s="37" t="n">
        <f aca="false">COUNTIFS('Score Entry'!$D$5:$D$1276,$B46,'Score Entry'!$F$5:$F$1276,WORKDAY(WindowStart,2),'Score Entry'!$E$5:$E$1276,"&lt;&gt;Third",'Score Entry'!$M$5:$M$1276,"&gt;0")</f>
        <v>0</v>
      </c>
      <c r="G46" s="37" t="n">
        <f aca="false">COUNTIFS('Score Entry'!$D$5:$D$1276,$B46,'Score Entry'!$F$5:$F$1276,WORKDAY(WindowStart,3),'Score Entry'!$E$5:$E$1276,"&lt;&gt;Third",'Score Entry'!$M$5:$M$1276,"&gt;0")</f>
        <v>6</v>
      </c>
      <c r="H46" s="37" t="n">
        <f aca="false">COUNTIFS('Score Entry'!$D$5:$D$1276,$B46,'Score Entry'!$F$5:$F$1276,WORKDAY(WindowStart,4),'Score Entry'!$E$5:$E$1276,"&lt;&gt;Third",'Score Entry'!$M$5:$M$1276,"&gt;0")</f>
        <v>6</v>
      </c>
      <c r="I46" s="37" t="n">
        <f aca="false">COUNTIFS('Score Entry'!$D$5:$D$1276,$B46,'Score Entry'!$F$5:$F$1276,WORKDAY(WindowStart,5),'Score Entry'!$E$5:$E$1276,"&lt;&gt;Third",'Score Entry'!$M$5:$M$1276,"&gt;0")</f>
        <v>12</v>
      </c>
      <c r="J46" s="37" t="n">
        <f aca="false">COUNTIFS('Score Entry'!$D$5:$D$1276,$B46,'Score Entry'!$F$5:$F$1276,WORKDAY(WindowStart,6),'Score Entry'!$E$5:$E$1276,"&lt;&gt;Third",'Score Entry'!$M$5:$M$1276,"&gt;0")</f>
        <v>12</v>
      </c>
      <c r="K46" s="37" t="n">
        <f aca="false">COUNTIFS('Score Entry'!$D$5:$D$1276,$B46,'Score Entry'!$F$5:$F$1276,WORKDAY(WindowStart,7),'Score Entry'!$E$5:$E$1276,"&lt;&gt;Third",'Score Entry'!$M$5:$M$1276,"&gt;0")</f>
        <v>13</v>
      </c>
      <c r="L46" s="37" t="n">
        <f aca="false">COUNTIFS('Score Entry'!$D$5:$D$1276,$B46,'Score Entry'!$F$5:$F$1276,WORKDAY(WindowStart,8),'Score Entry'!$E$5:$E$1276,"&lt;&gt;Third",'Score Entry'!$M$5:$M$1276,"&gt;0")</f>
        <v>12</v>
      </c>
      <c r="M46" s="37" t="n">
        <f aca="false">COUNTIFS('Score Entry'!$D$5:$D$1276,$B46,'Score Entry'!$F$5:$F$1276,WORKDAY(WindowStart,9),'Score Entry'!$E$5:$E$1276,"&lt;&gt;Third",'Score Entry'!$M$5:$M$1276,"&gt;0")</f>
        <v>11</v>
      </c>
      <c r="N46" s="37" t="n">
        <f aca="false">COUNTIFS('Score Entry'!$D$5:$D$1276,$B46,'Score Entry'!$F$5:$F$1276,WORKDAY(WindowStart,10),'Score Entry'!$E$5:$E$1276,"&lt;&gt;Third",'Score Entry'!$M$5:$M$1276,"&gt;0")</f>
        <v>11</v>
      </c>
      <c r="O46" s="37" t="n">
        <f aca="false">COUNTIFS('Score Entry'!$D$5:$D$1276,$B46,'Score Entry'!$F$5:$F$1276,WORKDAY(WindowStart,11),'Score Entry'!$E$5:$E$1276,"&lt;&gt;Third",'Score Entry'!$M$5:$M$1276,"&gt;0")</f>
        <v>12</v>
      </c>
      <c r="P46" s="37" t="n">
        <f aca="false">COUNTIFS('Score Entry'!$D$5:$D$1276,$B46,'Score Entry'!$F$5:$F$1276,WORKDAY(WindowStart,12),'Score Entry'!$E$5:$E$1276,"&lt;&gt;Third",'Score Entry'!$M$5:$M$1276,"&gt;0")</f>
        <v>13</v>
      </c>
      <c r="Q46" s="37" t="n">
        <f aca="false">COUNTIFS('Score Entry'!$D$5:$D$1276,$B46,'Score Entry'!$F$5:$F$1276,WORKDAY(WindowStart,13),'Score Entry'!$E$5:$E$1276,"&lt;&gt;Third",'Score Entry'!$M$5:$M$1276,"&gt;0")</f>
        <v>12</v>
      </c>
      <c r="R46" s="37" t="n">
        <f aca="false">COUNTIFS('Score Entry'!$D$5:$D$1276,$B46,'Score Entry'!$F$5:$F$1276,WORKDAY(WindowStart,14),'Score Entry'!$E$5:$E$1276,"&lt;&gt;Third",'Score Entry'!$M$5:$M$1276,"&gt;0")</f>
        <v>13</v>
      </c>
      <c r="S46" s="43" t="n">
        <f aca="false">SUM(D46:R46)</f>
        <v>133</v>
      </c>
    </row>
    <row r="47" customFormat="false" ht="15" hidden="false" customHeight="false" outlineLevel="0" collapsed="false">
      <c r="B47" s="41" t="s">
        <v>2581</v>
      </c>
    </row>
  </sheetData>
  <mergeCells count="13">
    <mergeCell ref="B5:E5"/>
    <mergeCell ref="F5:G5"/>
    <mergeCell ref="B6:E6"/>
    <mergeCell ref="F6:G6"/>
    <mergeCell ref="B7:E7"/>
    <mergeCell ref="F7:G7"/>
    <mergeCell ref="B8:E8"/>
    <mergeCell ref="F8:G8"/>
    <mergeCell ref="B9:E9"/>
    <mergeCell ref="F9:G9"/>
    <mergeCell ref="B10:E10"/>
    <mergeCell ref="F10:G10"/>
    <mergeCell ref="B30:J30"/>
  </mergeCells>
  <conditionalFormatting sqref="J15:J29">
    <cfRule type="cellIs" priority="2" operator="lessThan" aboveAverage="0" equalAverage="0" bottom="0" percent="0" rank="0" text="" dxfId="3">
      <formula>0</formula>
    </cfRule>
    <cfRule type="cellIs" priority="3" operator="greaterThanOrEqual" aboveAverage="0" equalAverage="0" bottom="0" percent="0" rank="0" text="" dxfId="32">
      <formula>0</formula>
    </cfRule>
  </conditionalFormatting>
  <conditionalFormatting sqref="E15:E29">
    <cfRule type="expression" priority="4" aboveAverage="0" equalAverage="0" bottom="0" percent="0" rank="0" text="" dxfId="33">
      <formula>E15&lt;D15</formula>
    </cfRule>
  </conditionalFormatting>
  <conditionalFormatting sqref="D41:R46">
    <cfRule type="colorScale" priority="5">
      <colorScale>
        <cfvo type="num" val="0"/>
        <cfvo type="max" val="0"/>
        <color rgb="FFFFFFFF"/>
        <color rgb="FF9A6AAA"/>
      </colorScale>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Sample data. All names, organizations, and figures are fictional.</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5204F"/>
    <pageSetUpPr fitToPage="true"/>
  </sheetPr>
  <dimension ref="A1:M1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9"/>
    <col collapsed="false" customWidth="true" hidden="false" outlineLevel="0" max="3" min="3" style="0" width="14"/>
    <col collapsed="false" customWidth="true" hidden="false" outlineLevel="0" max="4" min="4" style="0" width="32"/>
    <col collapsed="false" customWidth="true" hidden="false" outlineLevel="0" max="5" min="5" style="0" width="19"/>
    <col collapsed="false" customWidth="true" hidden="false" outlineLevel="0" max="6" min="6" style="0" width="15"/>
    <col collapsed="false" customWidth="true" hidden="false" outlineLevel="0" max="7" min="7" style="0" width="11"/>
    <col collapsed="false" customWidth="true" hidden="false" outlineLevel="0" max="8" min="8" style="0" width="15"/>
    <col collapsed="false" customWidth="true" hidden="false" outlineLevel="0" max="9" min="9" style="0" width="11"/>
    <col collapsed="false" customWidth="true" hidden="false" outlineLevel="0" max="10" min="10" style="0" width="9"/>
    <col collapsed="false" customWidth="true" hidden="false" outlineLevel="0" max="11" min="11" style="0" width="15"/>
    <col collapsed="false" customWidth="true" hidden="false" outlineLevel="0" max="12" min="12" style="0" width="11"/>
    <col collapsed="false" customWidth="true" hidden="false" outlineLevel="0" max="13" min="13" style="0" width="20"/>
  </cols>
  <sheetData>
    <row r="1" customFormat="false" ht="19.7" hidden="false" customHeight="false" outlineLevel="0" collapsed="false">
      <c r="A1" s="1" t="s">
        <v>2582</v>
      </c>
    </row>
    <row r="2" customFormat="false" ht="15" hidden="false" customHeight="false" outlineLevel="0" collapsed="false">
      <c r="A2" s="2" t="s">
        <v>2583</v>
      </c>
    </row>
    <row r="4" customFormat="false" ht="30" hidden="false" customHeight="true" outlineLevel="0" collapsed="false">
      <c r="B4" s="33" t="s">
        <v>2584</v>
      </c>
      <c r="C4" s="33" t="s">
        <v>151</v>
      </c>
      <c r="D4" s="33" t="s">
        <v>152</v>
      </c>
      <c r="E4" s="33" t="s">
        <v>53</v>
      </c>
      <c r="F4" s="33" t="s">
        <v>157</v>
      </c>
      <c r="G4" s="33" t="s">
        <v>160</v>
      </c>
      <c r="H4" s="33" t="s">
        <v>158</v>
      </c>
      <c r="I4" s="33" t="s">
        <v>161</v>
      </c>
      <c r="J4" s="33" t="s">
        <v>162</v>
      </c>
      <c r="K4" s="33" t="s">
        <v>159</v>
      </c>
      <c r="L4" s="33" t="s">
        <v>164</v>
      </c>
      <c r="M4" s="33" t="s">
        <v>2585</v>
      </c>
    </row>
    <row r="5" customFormat="false" ht="15" hidden="false" customHeight="false" outlineLevel="0" collapsed="false">
      <c r="B5" s="37" t="n">
        <f aca="false">IF(1&lt;=COUNTIF(Applications!$O$5:$O$600,"Yes"),1,"")</f>
        <v>1</v>
      </c>
      <c r="C5" s="37" t="str">
        <f aca="false">IF($B5="","",IFERROR(INDEX(Applications!$A$5:$A$600,MATCH($B5,Applications!$X$5:$X$600,0))&amp;"",""))</f>
        <v>FA26-0016</v>
      </c>
      <c r="D5" s="37" t="str">
        <f aca="false">IF($B5="","",IFERROR(INDEX(Applications!$B$5:$B$600,MATCH($B5,Applications!$X$5:$X$600,0))&amp;"",""))</f>
        <v>Sunrise Bakery Collective</v>
      </c>
      <c r="E5" s="37" t="str">
        <f aca="false">IF($B5="","",IFERROR(INDEX(Applications!$C$5:$C$600,MATCH($B5,Applications!$X$5:$X$600,0))&amp;"",""))</f>
        <v>Kitchen to Career</v>
      </c>
      <c r="F5" s="37" t="str">
        <f aca="false">IF($B5="","",IFERROR(INDEX(Applications!$I$5:$I$600,MATCH($B5,Applications!$X$5:$X$600,0))&amp;"",""))</f>
        <v>Frank Delgado</v>
      </c>
      <c r="G5" s="48" t="n">
        <f aca="false">IF($B5="","",IFERROR(INDEX(Applications!$L$5:$L$600,MATCH($B5,Applications!$X$5:$X$600,0)),""))</f>
        <v>100</v>
      </c>
      <c r="H5" s="37" t="str">
        <f aca="false">IF($B5="","",IFERROR(INDEX(Applications!$J$5:$J$600,MATCH($B5,Applications!$X$5:$X$600,0))&amp;"",""))</f>
        <v>Erin Walsh</v>
      </c>
      <c r="I5" s="48" t="n">
        <f aca="false">IF($B5="","",IFERROR(INDEX(Applications!$M$5:$M$600,MATCH($B5,Applications!$X$5:$X$600,0)),""))</f>
        <v>71</v>
      </c>
      <c r="J5" s="48" t="n">
        <f aca="false">IF($B5="","",IFERROR(INDEX(Applications!$N$5:$N$600,MATCH($B5,Applications!$X$5:$X$600,0)),""))</f>
        <v>29</v>
      </c>
      <c r="K5" s="37" t="str">
        <f aca="false">IF($B5="","",IFERROR(INDEX(Applications!$K$5:$K$600,MATCH($B5,Applications!$X$5:$X$600,0))&amp;"",""))</f>
        <v>Rafael Ortiz</v>
      </c>
      <c r="L5" s="48" t="str">
        <f aca="false">IF($B5="","",IFERROR(INDEX(Applications!$P$5:$P$600,MATCH($B5,Applications!$X$5:$X$600,0)),""))</f>
        <v/>
      </c>
      <c r="M5" s="37" t="str">
        <f aca="false">IF($B5="","",IF(K5="","Assign a third reader",IF(ISNUMBER(L5),"Third read done","Waiting on third read")))</f>
        <v>Waiting on third read</v>
      </c>
    </row>
    <row r="6" customFormat="false" ht="15" hidden="false" customHeight="false" outlineLevel="0" collapsed="false">
      <c r="B6" s="37" t="n">
        <f aca="false">IF(2&lt;=COUNTIF(Applications!$O$5:$O$600,"Yes"),2,"")</f>
        <v>2</v>
      </c>
      <c r="C6" s="37" t="str">
        <f aca="false">IF($B6="","",IFERROR(INDEX(Applications!$A$5:$A$600,MATCH($B6,Applications!$X$5:$X$600,0))&amp;"",""))</f>
        <v>FA26-0022</v>
      </c>
      <c r="D6" s="37" t="str">
        <f aca="false">IF($B6="","",IFERROR(INDEX(Applications!$B$5:$B$600,MATCH($B6,Applications!$X$5:$X$600,0))&amp;"",""))</f>
        <v>Cardiff Market Gardens</v>
      </c>
      <c r="E6" s="37" t="str">
        <f aca="false">IF($B6="","",IFERROR(INDEX(Applications!$C$5:$C$600,MATCH($B6,Applications!$X$5:$X$600,0))&amp;"",""))</f>
        <v>Growing Roots</v>
      </c>
      <c r="F6" s="37" t="str">
        <f aca="false">IF($B6="","",IFERROR(INDEX(Applications!$I$5:$I$600,MATCH($B6,Applications!$X$5:$X$600,0))&amp;"",""))</f>
        <v>Frank Delgado</v>
      </c>
      <c r="G6" s="48" t="n">
        <f aca="false">IF($B6="","",IFERROR(INDEX(Applications!$L$5:$L$600,MATCH($B6,Applications!$X$5:$X$600,0)),""))</f>
        <v>80</v>
      </c>
      <c r="H6" s="37" t="str">
        <f aca="false">IF($B6="","",IFERROR(INDEX(Applications!$J$5:$J$600,MATCH($B6,Applications!$X$5:$X$600,0))&amp;"",""))</f>
        <v>Rafael Ortiz</v>
      </c>
      <c r="I6" s="48" t="n">
        <f aca="false">IF($B6="","",IFERROR(INDEX(Applications!$M$5:$M$600,MATCH($B6,Applications!$X$5:$X$600,0)),""))</f>
        <v>60</v>
      </c>
      <c r="J6" s="48" t="n">
        <f aca="false">IF($B6="","",IFERROR(INDEX(Applications!$N$5:$N$600,MATCH($B6,Applications!$X$5:$X$600,0)),""))</f>
        <v>20</v>
      </c>
      <c r="K6" s="37" t="str">
        <f aca="false">IF($B6="","",IFERROR(INDEX(Applications!$K$5:$K$600,MATCH($B6,Applications!$X$5:$X$600,0))&amp;"",""))</f>
        <v>Alicia Moreno</v>
      </c>
      <c r="L6" s="48" t="n">
        <f aca="false">IF($B6="","",IFERROR(INDEX(Applications!$P$5:$P$600,MATCH($B6,Applications!$X$5:$X$600,0)),""))</f>
        <v>56</v>
      </c>
      <c r="M6" s="37" t="str">
        <f aca="false">IF($B6="","",IF(K6="","Assign a third reader",IF(ISNUMBER(L6),"Third read done","Waiting on third read")))</f>
        <v>Third read done</v>
      </c>
    </row>
    <row r="7" customFormat="false" ht="15" hidden="false" customHeight="false" outlineLevel="0" collapsed="false">
      <c r="B7" s="37" t="n">
        <f aca="false">IF(3&lt;=COUNTIF(Applications!$O$5:$O$600,"Yes"),3,"")</f>
        <v>3</v>
      </c>
      <c r="C7" s="37" t="str">
        <f aca="false">IF($B7="","",IFERROR(INDEX(Applications!$A$5:$A$600,MATCH($B7,Applications!$X$5:$X$600,0))&amp;"",""))</f>
        <v>FA26-0024</v>
      </c>
      <c r="D7" s="37" t="str">
        <f aca="false">IF($B7="","",IFERROR(INDEX(Applications!$B$5:$B$600,MATCH($B7,Applications!$X$5:$X$600,0))&amp;"",""))</f>
        <v>Cardiff Seed Library</v>
      </c>
      <c r="E7" s="37" t="str">
        <f aca="false">IF($B7="","",IFERROR(INDEX(Applications!$C$5:$C$600,MATCH($B7,Applications!$X$5:$X$600,0))&amp;"",""))</f>
        <v>Growing Roots</v>
      </c>
      <c r="F7" s="37" t="str">
        <f aca="false">IF($B7="","",IFERROR(INDEX(Applications!$I$5:$I$600,MATCH($B7,Applications!$X$5:$X$600,0))&amp;"",""))</f>
        <v>Erin Walsh</v>
      </c>
      <c r="G7" s="48" t="n">
        <f aca="false">IF($B7="","",IFERROR(INDEX(Applications!$L$5:$L$600,MATCH($B7,Applications!$X$5:$X$600,0)),""))</f>
        <v>60</v>
      </c>
      <c r="H7" s="37" t="str">
        <f aca="false">IF($B7="","",IFERROR(INDEX(Applications!$J$5:$J$600,MATCH($B7,Applications!$X$5:$X$600,0))&amp;"",""))</f>
        <v>Frank Delgado</v>
      </c>
      <c r="I7" s="48" t="n">
        <f aca="false">IF($B7="","",IFERROR(INDEX(Applications!$M$5:$M$600,MATCH($B7,Applications!$X$5:$X$600,0)),""))</f>
        <v>84</v>
      </c>
      <c r="J7" s="48" t="n">
        <f aca="false">IF($B7="","",IFERROR(INDEX(Applications!$N$5:$N$600,MATCH($B7,Applications!$X$5:$X$600,0)),""))</f>
        <v>24</v>
      </c>
      <c r="K7" s="37" t="str">
        <f aca="false">IF($B7="","",IFERROR(INDEX(Applications!$K$5:$K$600,MATCH($B7,Applications!$X$5:$X$600,0))&amp;"",""))</f>
        <v>Ben Okafor</v>
      </c>
      <c r="L7" s="48" t="str">
        <f aca="false">IF($B7="","",IFERROR(INDEX(Applications!$P$5:$P$600,MATCH($B7,Applications!$X$5:$X$600,0)),""))</f>
        <v/>
      </c>
      <c r="M7" s="37" t="str">
        <f aca="false">IF($B7="","",IF(K7="","Assign a third reader",IF(ISNUMBER(L7),"Third read done","Waiting on third read")))</f>
        <v>Waiting on third read</v>
      </c>
    </row>
    <row r="8" customFormat="false" ht="15" hidden="false" customHeight="false" outlineLevel="0" collapsed="false">
      <c r="B8" s="37" t="n">
        <f aca="false">IF(4&lt;=COUNTIF(Applications!$O$5:$O$600,"Yes"),4,"")</f>
        <v>4</v>
      </c>
      <c r="C8" s="37" t="str">
        <f aca="false">IF($B8="","",IFERROR(INDEX(Applications!$A$5:$A$600,MATCH($B8,Applications!$X$5:$X$600,0))&amp;"",""))</f>
        <v>FA26-0038</v>
      </c>
      <c r="D8" s="37" t="str">
        <f aca="false">IF($B8="","",IFERROR(INDEX(Applications!$B$5:$B$600,MATCH($B8,Applications!$X$5:$X$600,0))&amp;"",""))</f>
        <v>Hamilton Food Bank</v>
      </c>
      <c r="E8" s="37" t="str">
        <f aca="false">IF($B8="","",IFERROR(INDEX(Applications!$C$5:$C$600,MATCH($B8,Applications!$X$5:$X$600,0))&amp;"",""))</f>
        <v>Full Plate</v>
      </c>
      <c r="F8" s="37" t="str">
        <f aca="false">IF($B8="","",IFERROR(INDEX(Applications!$I$5:$I$600,MATCH($B8,Applications!$X$5:$X$600,0))&amp;"",""))</f>
        <v>Frank Delgado</v>
      </c>
      <c r="G8" s="48" t="n">
        <f aca="false">IF($B8="","",IFERROR(INDEX(Applications!$L$5:$L$600,MATCH($B8,Applications!$X$5:$X$600,0)),""))</f>
        <v>83</v>
      </c>
      <c r="H8" s="37" t="str">
        <f aca="false">IF($B8="","",IFERROR(INDEX(Applications!$J$5:$J$600,MATCH($B8,Applications!$X$5:$X$600,0))&amp;"",""))</f>
        <v>Grace Kim</v>
      </c>
      <c r="I8" s="48" t="n">
        <f aca="false">IF($B8="","",IFERROR(INDEX(Applications!$M$5:$M$600,MATCH($B8,Applications!$X$5:$X$600,0)),""))</f>
        <v>65</v>
      </c>
      <c r="J8" s="48" t="n">
        <f aca="false">IF($B8="","",IFERROR(INDEX(Applications!$N$5:$N$600,MATCH($B8,Applications!$X$5:$X$600,0)),""))</f>
        <v>18</v>
      </c>
      <c r="K8" s="37" t="str">
        <f aca="false">IF($B8="","",IFERROR(INDEX(Applications!$K$5:$K$600,MATCH($B8,Applications!$X$5:$X$600,0))&amp;"",""))</f>
        <v>Erin Walsh</v>
      </c>
      <c r="L8" s="48" t="str">
        <f aca="false">IF($B8="","",IFERROR(INDEX(Applications!$P$5:$P$600,MATCH($B8,Applications!$X$5:$X$600,0)),""))</f>
        <v/>
      </c>
      <c r="M8" s="37" t="str">
        <f aca="false">IF($B8="","",IF(K8="","Assign a third reader",IF(ISNUMBER(L8),"Third read done","Waiting on third read")))</f>
        <v>Waiting on third read</v>
      </c>
    </row>
    <row r="9" customFormat="false" ht="15" hidden="false" customHeight="false" outlineLevel="0" collapsed="false">
      <c r="B9" s="37" t="n">
        <f aca="false">IF(5&lt;=COUNTIF(Applications!$O$5:$O$600,"Yes"),5,"")</f>
        <v>5</v>
      </c>
      <c r="C9" s="37" t="str">
        <f aca="false">IF($B9="","",IFERROR(INDEX(Applications!$A$5:$A$600,MATCH($B9,Applications!$X$5:$X$600,0))&amp;"",""))</f>
        <v>FA26-0039</v>
      </c>
      <c r="D9" s="37" t="str">
        <f aca="false">IF($B9="","",IFERROR(INDEX(Applications!$B$5:$B$600,MATCH($B9,Applications!$X$5:$X$600,0))&amp;"",""))</f>
        <v>Southfield Culinary Works</v>
      </c>
      <c r="E9" s="37" t="str">
        <f aca="false">IF($B9="","",IFERROR(INDEX(Applications!$C$5:$C$600,MATCH($B9,Applications!$X$5:$X$600,0))&amp;"",""))</f>
        <v>Kitchen to Career</v>
      </c>
      <c r="F9" s="37" t="str">
        <f aca="false">IF($B9="","",IFERROR(INDEX(Applications!$I$5:$I$600,MATCH($B9,Applications!$X$5:$X$600,0))&amp;"",""))</f>
        <v>Erin Walsh</v>
      </c>
      <c r="G9" s="48" t="n">
        <f aca="false">IF($B9="","",IFERROR(INDEX(Applications!$L$5:$L$600,MATCH($B9,Applications!$X$5:$X$600,0)),""))</f>
        <v>69</v>
      </c>
      <c r="H9" s="37" t="str">
        <f aca="false">IF($B9="","",IFERROR(INDEX(Applications!$J$5:$J$600,MATCH($B9,Applications!$X$5:$X$600,0))&amp;"",""))</f>
        <v>Rafael Ortiz</v>
      </c>
      <c r="I9" s="48" t="n">
        <f aca="false">IF($B9="","",IFERROR(INDEX(Applications!$M$5:$M$600,MATCH($B9,Applications!$X$5:$X$600,0)),""))</f>
        <v>27</v>
      </c>
      <c r="J9" s="48" t="n">
        <f aca="false">IF($B9="","",IFERROR(INDEX(Applications!$N$5:$N$600,MATCH($B9,Applications!$X$5:$X$600,0)),""))</f>
        <v>42</v>
      </c>
      <c r="K9" s="37" t="str">
        <f aca="false">IF($B9="","",IFERROR(INDEX(Applications!$K$5:$K$600,MATCH($B9,Applications!$X$5:$X$600,0))&amp;"",""))</f>
        <v>Grace Kim</v>
      </c>
      <c r="L9" s="48" t="n">
        <f aca="false">IF($B9="","",IFERROR(INDEX(Applications!$P$5:$P$600,MATCH($B9,Applications!$X$5:$X$600,0)),""))</f>
        <v>71</v>
      </c>
      <c r="M9" s="37" t="str">
        <f aca="false">IF($B9="","",IF(K9="","Assign a third reader",IF(ISNUMBER(L9),"Third read done","Waiting on third read")))</f>
        <v>Third read done</v>
      </c>
    </row>
    <row r="10" customFormat="false" ht="15" hidden="false" customHeight="false" outlineLevel="0" collapsed="false">
      <c r="B10" s="37" t="n">
        <f aca="false">IF(6&lt;=COUNTIF(Applications!$O$5:$O$600,"Yes"),6,"")</f>
        <v>6</v>
      </c>
      <c r="C10" s="37" t="str">
        <f aca="false">IF($B10="","",IFERROR(INDEX(Applications!$A$5:$A$600,MATCH($B10,Applications!$X$5:$X$600,0))&amp;"",""))</f>
        <v>FA26-0047</v>
      </c>
      <c r="D10" s="37" t="str">
        <f aca="false">IF($B10="","",IFERROR(INDEX(Applications!$B$5:$B$600,MATCH($B10,Applications!$X$5:$X$600,0))&amp;"",""))</f>
        <v>Louisville Culinary Works</v>
      </c>
      <c r="E10" s="37" t="str">
        <f aca="false">IF($B10="","",IFERROR(INDEX(Applications!$C$5:$C$600,MATCH($B10,Applications!$X$5:$X$600,0))&amp;"",""))</f>
        <v>Kitchen to Career</v>
      </c>
      <c r="F10" s="37" t="str">
        <f aca="false">IF($B10="","",IFERROR(INDEX(Applications!$I$5:$I$600,MATCH($B10,Applications!$X$5:$X$600,0))&amp;"",""))</f>
        <v>Grace Kim</v>
      </c>
      <c r="G10" s="48" t="n">
        <f aca="false">IF($B10="","",IFERROR(INDEX(Applications!$L$5:$L$600,MATCH($B10,Applications!$X$5:$X$600,0)),""))</f>
        <v>89</v>
      </c>
      <c r="H10" s="37" t="str">
        <f aca="false">IF($B10="","",IFERROR(INDEX(Applications!$J$5:$J$600,MATCH($B10,Applications!$X$5:$X$600,0))&amp;"",""))</f>
        <v>Ben Okafor</v>
      </c>
      <c r="I10" s="48" t="n">
        <f aca="false">IF($B10="","",IFERROR(INDEX(Applications!$M$5:$M$600,MATCH($B10,Applications!$X$5:$X$600,0)),""))</f>
        <v>62</v>
      </c>
      <c r="J10" s="48" t="n">
        <f aca="false">IF($B10="","",IFERROR(INDEX(Applications!$N$5:$N$600,MATCH($B10,Applications!$X$5:$X$600,0)),""))</f>
        <v>27</v>
      </c>
      <c r="K10" s="37" t="str">
        <f aca="false">IF($B10="","",IFERROR(INDEX(Applications!$K$5:$K$600,MATCH($B10,Applications!$X$5:$X$600,0))&amp;"",""))</f>
        <v>Rafael Ortiz</v>
      </c>
      <c r="L10" s="48" t="str">
        <f aca="false">IF($B10="","",IFERROR(INDEX(Applications!$P$5:$P$600,MATCH($B10,Applications!$X$5:$X$600,0)),""))</f>
        <v/>
      </c>
      <c r="M10" s="37" t="str">
        <f aca="false">IF($B10="","",IF(K10="","Assign a third reader",IF(ISNUMBER(L10),"Third read done","Waiting on third read")))</f>
        <v>Waiting on third read</v>
      </c>
    </row>
    <row r="11" customFormat="false" ht="15" hidden="false" customHeight="false" outlineLevel="0" collapsed="false">
      <c r="B11" s="37" t="n">
        <f aca="false">IF(7&lt;=COUNTIF(Applications!$O$5:$O$600,"Yes"),7,"")</f>
        <v>7</v>
      </c>
      <c r="C11" s="37" t="str">
        <f aca="false">IF($B11="","",IFERROR(INDEX(Applications!$A$5:$A$600,MATCH($B11,Applications!$X$5:$X$600,0))&amp;"",""))</f>
        <v>FA26-0051</v>
      </c>
      <c r="D11" s="37" t="str">
        <f aca="false">IF($B11="","",IFERROR(INDEX(Applications!$B$5:$B$600,MATCH($B11,Applications!$X$5:$X$600,0))&amp;"",""))</f>
        <v>Dublin Family Center</v>
      </c>
      <c r="E11" s="37" t="str">
        <f aca="false">IF($B11="","",IFERROR(INDEX(Applications!$C$5:$C$600,MATCH($B11,Applications!$X$5:$X$600,0))&amp;"",""))</f>
        <v>Neighborhood Tables</v>
      </c>
      <c r="F11" s="37" t="str">
        <f aca="false">IF($B11="","",IFERROR(INDEX(Applications!$I$5:$I$600,MATCH($B11,Applications!$X$5:$X$600,0))&amp;"",""))</f>
        <v>Grace Kim</v>
      </c>
      <c r="G11" s="48" t="n">
        <f aca="false">IF($B11="","",IFERROR(INDEX(Applications!$L$5:$L$600,MATCH($B11,Applications!$X$5:$X$600,0)),""))</f>
        <v>71</v>
      </c>
      <c r="H11" s="37" t="str">
        <f aca="false">IF($B11="","",IFERROR(INDEX(Applications!$J$5:$J$600,MATCH($B11,Applications!$X$5:$X$600,0))&amp;"",""))</f>
        <v>Ben Okafor</v>
      </c>
      <c r="I11" s="48" t="n">
        <f aca="false">IF($B11="","",IFERROR(INDEX(Applications!$M$5:$M$600,MATCH($B11,Applications!$X$5:$X$600,0)),""))</f>
        <v>49</v>
      </c>
      <c r="J11" s="48" t="n">
        <f aca="false">IF($B11="","",IFERROR(INDEX(Applications!$N$5:$N$600,MATCH($B11,Applications!$X$5:$X$600,0)),""))</f>
        <v>22</v>
      </c>
      <c r="K11" s="37" t="str">
        <f aca="false">IF($B11="","",IFERROR(INDEX(Applications!$K$5:$K$600,MATCH($B11,Applications!$X$5:$X$600,0))&amp;"",""))</f>
        <v>Erin Walsh</v>
      </c>
      <c r="L11" s="48" t="n">
        <f aca="false">IF($B11="","",IFERROR(INDEX(Applications!$P$5:$P$600,MATCH($B11,Applications!$X$5:$X$600,0)),""))</f>
        <v>54</v>
      </c>
      <c r="M11" s="37" t="str">
        <f aca="false">IF($B11="","",IF(K11="","Assign a third reader",IF(ISNUMBER(L11),"Third read done","Waiting on third read")))</f>
        <v>Third read done</v>
      </c>
    </row>
    <row r="12" customFormat="false" ht="15" hidden="false" customHeight="false" outlineLevel="0" collapsed="false">
      <c r="B12" s="37" t="n">
        <f aca="false">IF(8&lt;=COUNTIF(Applications!$O$5:$O$600,"Yes"),8,"")</f>
        <v>8</v>
      </c>
      <c r="C12" s="37" t="str">
        <f aca="false">IF($B12="","",IFERROR(INDEX(Applications!$A$5:$A$600,MATCH($B12,Applications!$X$5:$X$600,0))&amp;"",""))</f>
        <v>FA26-0062</v>
      </c>
      <c r="D12" s="37" t="str">
        <f aca="false">IF($B12="","",IFERROR(INDEX(Applications!$B$5:$B$600,MATCH($B12,Applications!$X$5:$X$600,0))&amp;"",""))</f>
        <v>Maple Street Mobile Market</v>
      </c>
      <c r="E12" s="37" t="str">
        <f aca="false">IF($B12="","",IFERROR(INDEX(Applications!$C$5:$C$600,MATCH($B12,Applications!$X$5:$X$600,0))&amp;"",""))</f>
        <v>Full Plate</v>
      </c>
      <c r="F12" s="37" t="str">
        <f aca="false">IF($B12="","",IFERROR(INDEX(Applications!$I$5:$I$600,MATCH($B12,Applications!$X$5:$X$600,0))&amp;"",""))</f>
        <v>Grace Kim</v>
      </c>
      <c r="G12" s="48" t="n">
        <f aca="false">IF($B12="","",IFERROR(INDEX(Applications!$L$5:$L$600,MATCH($B12,Applications!$X$5:$X$600,0)),""))</f>
        <v>58</v>
      </c>
      <c r="H12" s="37" t="str">
        <f aca="false">IF($B12="","",IFERROR(INDEX(Applications!$J$5:$J$600,MATCH($B12,Applications!$X$5:$X$600,0))&amp;"",""))</f>
        <v>Rafael Ortiz</v>
      </c>
      <c r="I12" s="48" t="n">
        <f aca="false">IF($B12="","",IFERROR(INDEX(Applications!$M$5:$M$600,MATCH($B12,Applications!$X$5:$X$600,0)),""))</f>
        <v>76</v>
      </c>
      <c r="J12" s="48" t="n">
        <f aca="false">IF($B12="","",IFERROR(INDEX(Applications!$N$5:$N$600,MATCH($B12,Applications!$X$5:$X$600,0)),""))</f>
        <v>18</v>
      </c>
      <c r="K12" s="37" t="str">
        <f aca="false">IF($B12="","",IFERROR(INDEX(Applications!$K$5:$K$600,MATCH($B12,Applications!$X$5:$X$600,0))&amp;"",""))</f>
        <v>Alicia Moreno</v>
      </c>
      <c r="L12" s="48" t="n">
        <f aca="false">IF($B12="","",IFERROR(INDEX(Applications!$P$5:$P$600,MATCH($B12,Applications!$X$5:$X$600,0)),""))</f>
        <v>56</v>
      </c>
      <c r="M12" s="37" t="str">
        <f aca="false">IF($B12="","",IF(K12="","Assign a third reader",IF(ISNUMBER(L12),"Third read done","Waiting on third read")))</f>
        <v>Third read done</v>
      </c>
    </row>
    <row r="13" customFormat="false" ht="15" hidden="false" customHeight="false" outlineLevel="0" collapsed="false">
      <c r="B13" s="37" t="n">
        <f aca="false">IF(9&lt;=COUNTIF(Applications!$O$5:$O$600,"Yes"),9,"")</f>
        <v>9</v>
      </c>
      <c r="C13" s="37" t="str">
        <f aca="false">IF($B13="","",IFERROR(INDEX(Applications!$A$5:$A$600,MATCH($B13,Applications!$X$5:$X$600,0))&amp;"",""))</f>
        <v>FA26-0066</v>
      </c>
      <c r="D13" s="37" t="str">
        <f aca="false">IF($B13="","",IFERROR(INDEX(Applications!$B$5:$B$600,MATCH($B13,Applications!$X$5:$X$600,0))&amp;"",""))</f>
        <v>Wichita Food Ventures</v>
      </c>
      <c r="E13" s="37" t="str">
        <f aca="false">IF($B13="","",IFERROR(INDEX(Applications!$C$5:$C$600,MATCH($B13,Applications!$X$5:$X$600,0))&amp;"",""))</f>
        <v>Kitchen to Career</v>
      </c>
      <c r="F13" s="37" t="str">
        <f aca="false">IF($B13="","",IFERROR(INDEX(Applications!$I$5:$I$600,MATCH($B13,Applications!$X$5:$X$600,0))&amp;"",""))</f>
        <v>Frank Delgado</v>
      </c>
      <c r="G13" s="48" t="n">
        <f aca="false">IF($B13="","",IFERROR(INDEX(Applications!$L$5:$L$600,MATCH($B13,Applications!$X$5:$X$600,0)),""))</f>
        <v>49</v>
      </c>
      <c r="H13" s="37" t="str">
        <f aca="false">IF($B13="","",IFERROR(INDEX(Applications!$J$5:$J$600,MATCH($B13,Applications!$X$5:$X$600,0))&amp;"",""))</f>
        <v>Rafael Ortiz</v>
      </c>
      <c r="I13" s="48" t="n">
        <f aca="false">IF($B13="","",IFERROR(INDEX(Applications!$M$5:$M$600,MATCH($B13,Applications!$X$5:$X$600,0)),""))</f>
        <v>29</v>
      </c>
      <c r="J13" s="48" t="n">
        <f aca="false">IF($B13="","",IFERROR(INDEX(Applications!$N$5:$N$600,MATCH($B13,Applications!$X$5:$X$600,0)),""))</f>
        <v>20</v>
      </c>
      <c r="K13" s="37" t="str">
        <f aca="false">IF($B13="","",IFERROR(INDEX(Applications!$K$5:$K$600,MATCH($B13,Applications!$X$5:$X$600,0))&amp;"",""))</f>
        <v>Grace Kim</v>
      </c>
      <c r="L13" s="48" t="n">
        <f aca="false">IF($B13="","",IFERROR(INDEX(Applications!$P$5:$P$600,MATCH($B13,Applications!$X$5:$X$600,0)),""))</f>
        <v>38</v>
      </c>
      <c r="M13" s="37" t="str">
        <f aca="false">IF($B13="","",IF(K13="","Assign a third reader",IF(ISNUMBER(L13),"Third read done","Waiting on third read")))</f>
        <v>Third read done</v>
      </c>
    </row>
    <row r="14" customFormat="false" ht="15" hidden="false" customHeight="false" outlineLevel="0" collapsed="false">
      <c r="B14" s="37" t="n">
        <f aca="false">IF(10&lt;=COUNTIF(Applications!$O$5:$O$600,"Yes"),10,"")</f>
        <v>10</v>
      </c>
      <c r="C14" s="37" t="str">
        <f aca="false">IF($B14="","",IFERROR(INDEX(Applications!$A$5:$A$600,MATCH($B14,Applications!$X$5:$X$600,0))&amp;"",""))</f>
        <v>FA26-0069</v>
      </c>
      <c r="D14" s="37" t="str">
        <f aca="false">IF($B14="","",IFERROR(INDEX(Applications!$B$5:$B$600,MATCH($B14,Applications!$X$5:$X$600,0))&amp;"",""))</f>
        <v>Cali Family Center</v>
      </c>
      <c r="E14" s="37" t="str">
        <f aca="false">IF($B14="","",IFERROR(INDEX(Applications!$C$5:$C$600,MATCH($B14,Applications!$X$5:$X$600,0))&amp;"",""))</f>
        <v>Neighborhood Tables</v>
      </c>
      <c r="F14" s="37" t="str">
        <f aca="false">IF($B14="","",IFERROR(INDEX(Applications!$I$5:$I$600,MATCH($B14,Applications!$X$5:$X$600,0))&amp;"",""))</f>
        <v>Erin Walsh</v>
      </c>
      <c r="G14" s="48" t="n">
        <f aca="false">IF($B14="","",IFERROR(INDEX(Applications!$L$5:$L$600,MATCH($B14,Applications!$X$5:$X$600,0)),""))</f>
        <v>74</v>
      </c>
      <c r="H14" s="37" t="str">
        <f aca="false">IF($B14="","",IFERROR(INDEX(Applications!$J$5:$J$600,MATCH($B14,Applications!$X$5:$X$600,0))&amp;"",""))</f>
        <v>Ben Okafor</v>
      </c>
      <c r="I14" s="48" t="n">
        <f aca="false">IF($B14="","",IFERROR(INDEX(Applications!$M$5:$M$600,MATCH($B14,Applications!$X$5:$X$600,0)),""))</f>
        <v>51</v>
      </c>
      <c r="J14" s="48" t="n">
        <f aca="false">IF($B14="","",IFERROR(INDEX(Applications!$N$5:$N$600,MATCH($B14,Applications!$X$5:$X$600,0)),""))</f>
        <v>23</v>
      </c>
      <c r="K14" s="37" t="str">
        <f aca="false">IF($B14="","",IFERROR(INDEX(Applications!$K$5:$K$600,MATCH($B14,Applications!$X$5:$X$600,0))&amp;"",""))</f>
        <v>Alicia Moreno</v>
      </c>
      <c r="L14" s="48" t="n">
        <f aca="false">IF($B14="","",IFERROR(INDEX(Applications!$P$5:$P$600,MATCH($B14,Applications!$X$5:$X$600,0)),""))</f>
        <v>69</v>
      </c>
      <c r="M14" s="37" t="str">
        <f aca="false">IF($B14="","",IF(K14="","Assign a third reader",IF(ISNUMBER(L14),"Third read done","Waiting on third read")))</f>
        <v>Third read done</v>
      </c>
    </row>
    <row r="15" customFormat="false" ht="15" hidden="false" customHeight="false" outlineLevel="0" collapsed="false">
      <c r="B15" s="37" t="n">
        <f aca="false">IF(11&lt;=COUNTIF(Applications!$O$5:$O$600,"Yes"),11,"")</f>
        <v>11</v>
      </c>
      <c r="C15" s="37" t="str">
        <f aca="false">IF($B15="","",IFERROR(INDEX(Applications!$A$5:$A$600,MATCH($B15,Applications!$X$5:$X$600,0))&amp;"",""))</f>
        <v>FA26-0079</v>
      </c>
      <c r="D15" s="37" t="str">
        <f aca="false">IF($B15="","",IFERROR(INDEX(Applications!$B$5:$B$600,MATCH($B15,Applications!$X$5:$X$600,0))&amp;"",""))</f>
        <v>Open Door Food Bank</v>
      </c>
      <c r="E15" s="37" t="str">
        <f aca="false">IF($B15="","",IFERROR(INDEX(Applications!$C$5:$C$600,MATCH($B15,Applications!$X$5:$X$600,0))&amp;"",""))</f>
        <v>Full Plate</v>
      </c>
      <c r="F15" s="37" t="str">
        <f aca="false">IF($B15="","",IFERROR(INDEX(Applications!$I$5:$I$600,MATCH($B15,Applications!$X$5:$X$600,0))&amp;"",""))</f>
        <v>Alicia Moreno</v>
      </c>
      <c r="G15" s="48" t="n">
        <f aca="false">IF($B15="","",IFERROR(INDEX(Applications!$L$5:$L$600,MATCH($B15,Applications!$X$5:$X$600,0)),""))</f>
        <v>96</v>
      </c>
      <c r="H15" s="37" t="str">
        <f aca="false">IF($B15="","",IFERROR(INDEX(Applications!$J$5:$J$600,MATCH($B15,Applications!$X$5:$X$600,0))&amp;"",""))</f>
        <v>Frank Delgado</v>
      </c>
      <c r="I15" s="48" t="n">
        <f aca="false">IF($B15="","",IFERROR(INDEX(Applications!$M$5:$M$600,MATCH($B15,Applications!$X$5:$X$600,0)),""))</f>
        <v>60</v>
      </c>
      <c r="J15" s="48" t="n">
        <f aca="false">IF($B15="","",IFERROR(INDEX(Applications!$N$5:$N$600,MATCH($B15,Applications!$X$5:$X$600,0)),""))</f>
        <v>36</v>
      </c>
      <c r="K15" s="37" t="str">
        <f aca="false">IF($B15="","",IFERROR(INDEX(Applications!$K$5:$K$600,MATCH($B15,Applications!$X$5:$X$600,0))&amp;"",""))</f>
        <v>Ben Okafor</v>
      </c>
      <c r="L15" s="48" t="n">
        <f aca="false">IF($B15="","",IFERROR(INDEX(Applications!$P$5:$P$600,MATCH($B15,Applications!$X$5:$X$600,0)),""))</f>
        <v>62</v>
      </c>
      <c r="M15" s="37" t="str">
        <f aca="false">IF($B15="","",IF(K15="","Assign a third reader",IF(ISNUMBER(L15),"Third read done","Waiting on third read")))</f>
        <v>Third read done</v>
      </c>
    </row>
    <row r="16" customFormat="false" ht="15" hidden="false" customHeight="false" outlineLevel="0" collapsed="false">
      <c r="B16" s="37" t="n">
        <f aca="false">IF(12&lt;=COUNTIF(Applications!$O$5:$O$600,"Yes"),12,"")</f>
        <v>12</v>
      </c>
      <c r="C16" s="37" t="str">
        <f aca="false">IF($B16="","",IFERROR(INDEX(Applications!$A$5:$A$600,MATCH($B16,Applications!$X$5:$X$600,0))&amp;"",""))</f>
        <v>FA26-0086</v>
      </c>
      <c r="D16" s="37" t="str">
        <f aca="false">IF($B16="","",IFERROR(INDEX(Applications!$B$5:$B$600,MATCH($B16,Applications!$X$5:$X$600,0))&amp;"",""))</f>
        <v>Cape Town Family Center</v>
      </c>
      <c r="E16" s="37" t="str">
        <f aca="false">IF($B16="","",IFERROR(INDEX(Applications!$C$5:$C$600,MATCH($B16,Applications!$X$5:$X$600,0))&amp;"",""))</f>
        <v>Neighborhood Tables</v>
      </c>
      <c r="F16" s="37" t="str">
        <f aca="false">IF($B16="","",IFERROR(INDEX(Applications!$I$5:$I$600,MATCH($B16,Applications!$X$5:$X$600,0))&amp;"",""))</f>
        <v>Erin Walsh</v>
      </c>
      <c r="G16" s="48" t="n">
        <f aca="false">IF($B16="","",IFERROR(INDEX(Applications!$L$5:$L$600,MATCH($B16,Applications!$X$5:$X$600,0)),""))</f>
        <v>40</v>
      </c>
      <c r="H16" s="37" t="str">
        <f aca="false">IF($B16="","",IFERROR(INDEX(Applications!$J$5:$J$600,MATCH($B16,Applications!$X$5:$X$600,0))&amp;"",""))</f>
        <v>Alicia Moreno</v>
      </c>
      <c r="I16" s="48" t="n">
        <f aca="false">IF($B16="","",IFERROR(INDEX(Applications!$M$5:$M$600,MATCH($B16,Applications!$X$5:$X$600,0)),""))</f>
        <v>68</v>
      </c>
      <c r="J16" s="48" t="n">
        <f aca="false">IF($B16="","",IFERROR(INDEX(Applications!$N$5:$N$600,MATCH($B16,Applications!$X$5:$X$600,0)),""))</f>
        <v>28</v>
      </c>
      <c r="K16" s="37" t="str">
        <f aca="false">IF($B16="","",IFERROR(INDEX(Applications!$K$5:$K$600,MATCH($B16,Applications!$X$5:$X$600,0))&amp;"",""))</f>
        <v>Ben Okafor</v>
      </c>
      <c r="L16" s="48" t="str">
        <f aca="false">IF($B16="","",IFERROR(INDEX(Applications!$P$5:$P$600,MATCH($B16,Applications!$X$5:$X$600,0)),""))</f>
        <v/>
      </c>
      <c r="M16" s="37" t="str">
        <f aca="false">IF($B16="","",IF(K16="","Assign a third reader",IF(ISNUMBER(L16),"Third read done","Waiting on third read")))</f>
        <v>Waiting on third read</v>
      </c>
    </row>
    <row r="17" customFormat="false" ht="15" hidden="false" customHeight="false" outlineLevel="0" collapsed="false">
      <c r="B17" s="37" t="n">
        <f aca="false">IF(13&lt;=COUNTIF(Applications!$O$5:$O$600,"Yes"),13,"")</f>
        <v>13</v>
      </c>
      <c r="C17" s="37" t="str">
        <f aca="false">IF($B17="","",IFERROR(INDEX(Applications!$A$5:$A$600,MATCH($B17,Applications!$X$5:$X$600,0))&amp;"",""))</f>
        <v>FA26-0087</v>
      </c>
      <c r="D17" s="37" t="str">
        <f aca="false">IF($B17="","",IFERROR(INDEX(Applications!$B$5:$B$600,MATCH($B17,Applications!$X$5:$X$600,0))&amp;"",""))</f>
        <v>Tidewater Food Shelf</v>
      </c>
      <c r="E17" s="37" t="str">
        <f aca="false">IF($B17="","",IFERROR(INDEX(Applications!$C$5:$C$600,MATCH($B17,Applications!$X$5:$X$600,0))&amp;"",""))</f>
        <v>Full Plate</v>
      </c>
      <c r="F17" s="37" t="str">
        <f aca="false">IF($B17="","",IFERROR(INDEX(Applications!$I$5:$I$600,MATCH($B17,Applications!$X$5:$X$600,0))&amp;"",""))</f>
        <v>Rafael Ortiz</v>
      </c>
      <c r="G17" s="48" t="n">
        <f aca="false">IF($B17="","",IFERROR(INDEX(Applications!$L$5:$L$600,MATCH($B17,Applications!$X$5:$X$600,0)),""))</f>
        <v>27</v>
      </c>
      <c r="H17" s="37" t="str">
        <f aca="false">IF($B17="","",IFERROR(INDEX(Applications!$J$5:$J$600,MATCH($B17,Applications!$X$5:$X$600,0))&amp;"",""))</f>
        <v>Grace Kim</v>
      </c>
      <c r="I17" s="48" t="n">
        <f aca="false">IF($B17="","",IFERROR(INDEX(Applications!$M$5:$M$600,MATCH($B17,Applications!$X$5:$X$600,0)),""))</f>
        <v>57</v>
      </c>
      <c r="J17" s="48" t="n">
        <f aca="false">IF($B17="","",IFERROR(INDEX(Applications!$N$5:$N$600,MATCH($B17,Applications!$X$5:$X$600,0)),""))</f>
        <v>30</v>
      </c>
      <c r="K17" s="37" t="str">
        <f aca="false">IF($B17="","",IFERROR(INDEX(Applications!$K$5:$K$600,MATCH($B17,Applications!$X$5:$X$600,0))&amp;"",""))</f>
        <v>Erin Walsh</v>
      </c>
      <c r="L17" s="48" t="str">
        <f aca="false">IF($B17="","",IFERROR(INDEX(Applications!$P$5:$P$600,MATCH($B17,Applications!$X$5:$X$600,0)),""))</f>
        <v/>
      </c>
      <c r="M17" s="37" t="str">
        <f aca="false">IF($B17="","",IF(K17="","Assign a third reader",IF(ISNUMBER(L17),"Third read done","Waiting on third read")))</f>
        <v>Waiting on third read</v>
      </c>
    </row>
    <row r="18" customFormat="false" ht="15" hidden="false" customHeight="false" outlineLevel="0" collapsed="false">
      <c r="B18" s="37" t="n">
        <f aca="false">IF(14&lt;=COUNTIF(Applications!$O$5:$O$600,"Yes"),14,"")</f>
        <v>14</v>
      </c>
      <c r="C18" s="37" t="str">
        <f aca="false">IF($B18="","",IFERROR(INDEX(Applications!$A$5:$A$600,MATCH($B18,Applications!$X$5:$X$600,0))&amp;"",""))</f>
        <v>FA26-0089</v>
      </c>
      <c r="D18" s="37" t="str">
        <f aca="false">IF($B18="","",IFERROR(INDEX(Applications!$B$5:$B$600,MATCH($B18,Applications!$X$5:$X$600,0))&amp;"",""))</f>
        <v>Harbor Mobile Market</v>
      </c>
      <c r="E18" s="37" t="str">
        <f aca="false">IF($B18="","",IFERROR(INDEX(Applications!$C$5:$C$600,MATCH($B18,Applications!$X$5:$X$600,0))&amp;"",""))</f>
        <v>Full Plate</v>
      </c>
      <c r="F18" s="37" t="str">
        <f aca="false">IF($B18="","",IFERROR(INDEX(Applications!$I$5:$I$600,MATCH($B18,Applications!$X$5:$X$600,0))&amp;"",""))</f>
        <v>Frank Delgado</v>
      </c>
      <c r="G18" s="48" t="n">
        <f aca="false">IF($B18="","",IFERROR(INDEX(Applications!$L$5:$L$600,MATCH($B18,Applications!$X$5:$X$600,0)),""))</f>
        <v>71</v>
      </c>
      <c r="H18" s="37" t="str">
        <f aca="false">IF($B18="","",IFERROR(INDEX(Applications!$J$5:$J$600,MATCH($B18,Applications!$X$5:$X$600,0))&amp;"",""))</f>
        <v>Ben Okafor</v>
      </c>
      <c r="I18" s="48" t="n">
        <f aca="false">IF($B18="","",IFERROR(INDEX(Applications!$M$5:$M$600,MATCH($B18,Applications!$X$5:$X$600,0)),""))</f>
        <v>53</v>
      </c>
      <c r="J18" s="48" t="n">
        <f aca="false">IF($B18="","",IFERROR(INDEX(Applications!$N$5:$N$600,MATCH($B18,Applications!$X$5:$X$600,0)),""))</f>
        <v>18</v>
      </c>
      <c r="K18" s="37" t="str">
        <f aca="false">IF($B18="","",IFERROR(INDEX(Applications!$K$5:$K$600,MATCH($B18,Applications!$X$5:$X$600,0))&amp;"",""))</f>
        <v>Rafael Ortiz</v>
      </c>
      <c r="L18" s="48" t="str">
        <f aca="false">IF($B18="","",IFERROR(INDEX(Applications!$P$5:$P$600,MATCH($B18,Applications!$X$5:$X$600,0)),""))</f>
        <v/>
      </c>
      <c r="M18" s="37" t="str">
        <f aca="false">IF($B18="","",IF(K18="","Assign a third reader",IF(ISNUMBER(L18),"Third read done","Waiting on third read")))</f>
        <v>Waiting on third read</v>
      </c>
    </row>
    <row r="19" customFormat="false" ht="15" hidden="false" customHeight="false" outlineLevel="0" collapsed="false">
      <c r="B19" s="37" t="n">
        <f aca="false">IF(15&lt;=COUNTIF(Applications!$O$5:$O$600,"Yes"),15,"")</f>
        <v>15</v>
      </c>
      <c r="C19" s="37" t="str">
        <f aca="false">IF($B19="","",IFERROR(INDEX(Applications!$A$5:$A$600,MATCH($B19,Applications!$X$5:$X$600,0))&amp;"",""))</f>
        <v>FA26-0098</v>
      </c>
      <c r="D19" s="37" t="str">
        <f aca="false">IF($B19="","",IFERROR(INDEX(Applications!$B$5:$B$600,MATCH($B19,Applications!$X$5:$X$600,0))&amp;"",""))</f>
        <v>Kestrel Youth Food Lab</v>
      </c>
      <c r="E19" s="37" t="str">
        <f aca="false">IF($B19="","",IFERROR(INDEX(Applications!$C$5:$C$600,MATCH($B19,Applications!$X$5:$X$600,0))&amp;"",""))</f>
        <v>Neighborhood Tables</v>
      </c>
      <c r="F19" s="37" t="str">
        <f aca="false">IF($B19="","",IFERROR(INDEX(Applications!$I$5:$I$600,MATCH($B19,Applications!$X$5:$X$600,0))&amp;"",""))</f>
        <v>Frank Delgado</v>
      </c>
      <c r="G19" s="48" t="n">
        <f aca="false">IF($B19="","",IFERROR(INDEX(Applications!$L$5:$L$600,MATCH($B19,Applications!$X$5:$X$600,0)),""))</f>
        <v>66</v>
      </c>
      <c r="H19" s="37" t="str">
        <f aca="false">IF($B19="","",IFERROR(INDEX(Applications!$J$5:$J$600,MATCH($B19,Applications!$X$5:$X$600,0))&amp;"",""))</f>
        <v>Ben Okafor</v>
      </c>
      <c r="I19" s="48" t="n">
        <f aca="false">IF($B19="","",IFERROR(INDEX(Applications!$M$5:$M$600,MATCH($B19,Applications!$X$5:$X$600,0)),""))</f>
        <v>47</v>
      </c>
      <c r="J19" s="48" t="n">
        <f aca="false">IF($B19="","",IFERROR(INDEX(Applications!$N$5:$N$600,MATCH($B19,Applications!$X$5:$X$600,0)),""))</f>
        <v>19</v>
      </c>
      <c r="K19" s="37" t="str">
        <f aca="false">IF($B19="","",IFERROR(INDEX(Applications!$K$5:$K$600,MATCH($B19,Applications!$X$5:$X$600,0))&amp;"",""))</f>
        <v>Grace Kim</v>
      </c>
      <c r="L19" s="48" t="n">
        <f aca="false">IF($B19="","",IFERROR(INDEX(Applications!$P$5:$P$600,MATCH($B19,Applications!$X$5:$X$600,0)),""))</f>
        <v>48</v>
      </c>
      <c r="M19" s="37" t="str">
        <f aca="false">IF($B19="","",IF(K19="","Assign a third reader",IF(ISNUMBER(L19),"Third read done","Waiting on third read")))</f>
        <v>Third read done</v>
      </c>
    </row>
    <row r="20" customFormat="false" ht="15" hidden="false" customHeight="false" outlineLevel="0" collapsed="false">
      <c r="B20" s="37" t="n">
        <f aca="false">IF(16&lt;=COUNTIF(Applications!$O$5:$O$600,"Yes"),16,"")</f>
        <v>16</v>
      </c>
      <c r="C20" s="37" t="str">
        <f aca="false">IF($B20="","",IFERROR(INDEX(Applications!$A$5:$A$600,MATCH($B20,Applications!$X$5:$X$600,0))&amp;"",""))</f>
        <v>FA26-0123</v>
      </c>
      <c r="D20" s="37" t="str">
        <f aca="false">IF($B20="","",IFERROR(INDEX(Applications!$B$5:$B$600,MATCH($B20,Applications!$X$5:$X$600,0))&amp;"",""))</f>
        <v>Marigold Pantry Network</v>
      </c>
      <c r="E20" s="37" t="str">
        <f aca="false">IF($B20="","",IFERROR(INDEX(Applications!$C$5:$C$600,MATCH($B20,Applications!$X$5:$X$600,0))&amp;"",""))</f>
        <v>Full Plate</v>
      </c>
      <c r="F20" s="37" t="str">
        <f aca="false">IF($B20="","",IFERROR(INDEX(Applications!$I$5:$I$600,MATCH($B20,Applications!$X$5:$X$600,0))&amp;"",""))</f>
        <v>Rafael Ortiz</v>
      </c>
      <c r="G20" s="48" t="n">
        <f aca="false">IF($B20="","",IFERROR(INDEX(Applications!$L$5:$L$600,MATCH($B20,Applications!$X$5:$X$600,0)),""))</f>
        <v>78</v>
      </c>
      <c r="H20" s="37" t="str">
        <f aca="false">IF($B20="","",IFERROR(INDEX(Applications!$J$5:$J$600,MATCH($B20,Applications!$X$5:$X$600,0))&amp;"",""))</f>
        <v>Alicia Moreno</v>
      </c>
      <c r="I20" s="48" t="n">
        <f aca="false">IF($B20="","",IFERROR(INDEX(Applications!$M$5:$M$600,MATCH($B20,Applications!$X$5:$X$600,0)),""))</f>
        <v>98</v>
      </c>
      <c r="J20" s="48" t="n">
        <f aca="false">IF($B20="","",IFERROR(INDEX(Applications!$N$5:$N$600,MATCH($B20,Applications!$X$5:$X$600,0)),""))</f>
        <v>20</v>
      </c>
      <c r="K20" s="37" t="str">
        <f aca="false">IF($B20="","",IFERROR(INDEX(Applications!$K$5:$K$600,MATCH($B20,Applications!$X$5:$X$600,0))&amp;"",""))</f>
        <v>Grace Kim</v>
      </c>
      <c r="L20" s="48" t="n">
        <f aca="false">IF($B20="","",IFERROR(INDEX(Applications!$P$5:$P$600,MATCH($B20,Applications!$X$5:$X$600,0)),""))</f>
        <v>77</v>
      </c>
      <c r="M20" s="37" t="str">
        <f aca="false">IF($B20="","",IF(K20="","Assign a third reader",IF(ISNUMBER(L20),"Third read done","Waiting on third read")))</f>
        <v>Third read done</v>
      </c>
    </row>
    <row r="21" customFormat="false" ht="15" hidden="false" customHeight="false" outlineLevel="0" collapsed="false">
      <c r="B21" s="37" t="n">
        <f aca="false">IF(17&lt;=COUNTIF(Applications!$O$5:$O$600,"Yes"),17,"")</f>
        <v>17</v>
      </c>
      <c r="C21" s="37" t="str">
        <f aca="false">IF($B21="","",IFERROR(INDEX(Applications!$A$5:$A$600,MATCH($B21,Applications!$X$5:$X$600,0))&amp;"",""))</f>
        <v>FA26-0127</v>
      </c>
      <c r="D21" s="37" t="str">
        <f aca="false">IF($B21="","",IFERROR(INDEX(Applications!$B$5:$B$600,MATCH($B21,Applications!$X$5:$X$600,0))&amp;"",""))</f>
        <v>Milwaukee Community Pantry</v>
      </c>
      <c r="E21" s="37" t="str">
        <f aca="false">IF($B21="","",IFERROR(INDEX(Applications!$C$5:$C$600,MATCH($B21,Applications!$X$5:$X$600,0))&amp;"",""))</f>
        <v>Full Plate</v>
      </c>
      <c r="F21" s="37" t="str">
        <f aca="false">IF($B21="","",IFERROR(INDEX(Applications!$I$5:$I$600,MATCH($B21,Applications!$X$5:$X$600,0))&amp;"",""))</f>
        <v>Rafael Ortiz</v>
      </c>
      <c r="G21" s="48" t="n">
        <f aca="false">IF($B21="","",IFERROR(INDEX(Applications!$L$5:$L$600,MATCH($B21,Applications!$X$5:$X$600,0)),""))</f>
        <v>62</v>
      </c>
      <c r="H21" s="37" t="str">
        <f aca="false">IF($B21="","",IFERROR(INDEX(Applications!$J$5:$J$600,MATCH($B21,Applications!$X$5:$X$600,0))&amp;"",""))</f>
        <v>Erin Walsh</v>
      </c>
      <c r="I21" s="48" t="n">
        <f aca="false">IF($B21="","",IFERROR(INDEX(Applications!$M$5:$M$600,MATCH($B21,Applications!$X$5:$X$600,0)),""))</f>
        <v>100</v>
      </c>
      <c r="J21" s="48" t="n">
        <f aca="false">IF($B21="","",IFERROR(INDEX(Applications!$N$5:$N$600,MATCH($B21,Applications!$X$5:$X$600,0)),""))</f>
        <v>38</v>
      </c>
      <c r="K21" s="37" t="str">
        <f aca="false">IF($B21="","",IFERROR(INDEX(Applications!$K$5:$K$600,MATCH($B21,Applications!$X$5:$X$600,0))&amp;"",""))</f>
        <v>Ben Okafor</v>
      </c>
      <c r="L21" s="48" t="n">
        <f aca="false">IF($B21="","",IFERROR(INDEX(Applications!$P$5:$P$600,MATCH($B21,Applications!$X$5:$X$600,0)),""))</f>
        <v>65</v>
      </c>
      <c r="M21" s="37" t="str">
        <f aca="false">IF($B21="","",IF(K21="","Assign a third reader",IF(ISNUMBER(L21),"Third read done","Waiting on third read")))</f>
        <v>Third read done</v>
      </c>
    </row>
    <row r="22" customFormat="false" ht="15" hidden="false" customHeight="false" outlineLevel="0" collapsed="false">
      <c r="B22" s="37" t="n">
        <f aca="false">IF(18&lt;=COUNTIF(Applications!$O$5:$O$600,"Yes"),18,"")</f>
        <v>18</v>
      </c>
      <c r="C22" s="37" t="str">
        <f aca="false">IF($B22="","",IFERROR(INDEX(Applications!$A$5:$A$600,MATCH($B22,Applications!$X$5:$X$600,0))&amp;"",""))</f>
        <v>FA26-0133</v>
      </c>
      <c r="D22" s="37" t="str">
        <f aca="false">IF($B22="","",IFERROR(INDEX(Applications!$B$5:$B$600,MATCH($B22,Applications!$X$5:$X$600,0))&amp;"",""))</f>
        <v>Bridgeview Food Shelf</v>
      </c>
      <c r="E22" s="37" t="str">
        <f aca="false">IF($B22="","",IFERROR(INDEX(Applications!$C$5:$C$600,MATCH($B22,Applications!$X$5:$X$600,0))&amp;"",""))</f>
        <v>Full Plate</v>
      </c>
      <c r="F22" s="37" t="str">
        <f aca="false">IF($B22="","",IFERROR(INDEX(Applications!$I$5:$I$600,MATCH($B22,Applications!$X$5:$X$600,0))&amp;"",""))</f>
        <v>Alicia Moreno</v>
      </c>
      <c r="G22" s="48" t="n">
        <f aca="false">IF($B22="","",IFERROR(INDEX(Applications!$L$5:$L$600,MATCH($B22,Applications!$X$5:$X$600,0)),""))</f>
        <v>60</v>
      </c>
      <c r="H22" s="37" t="str">
        <f aca="false">IF($B22="","",IFERROR(INDEX(Applications!$J$5:$J$600,MATCH($B22,Applications!$X$5:$X$600,0))&amp;"",""))</f>
        <v>Grace Kim</v>
      </c>
      <c r="I22" s="48" t="n">
        <f aca="false">IF($B22="","",IFERROR(INDEX(Applications!$M$5:$M$600,MATCH($B22,Applications!$X$5:$X$600,0)),""))</f>
        <v>40</v>
      </c>
      <c r="J22" s="48" t="n">
        <f aca="false">IF($B22="","",IFERROR(INDEX(Applications!$N$5:$N$600,MATCH($B22,Applications!$X$5:$X$600,0)),""))</f>
        <v>20</v>
      </c>
      <c r="K22" s="37" t="str">
        <f aca="false">IF($B22="","",IFERROR(INDEX(Applications!$K$5:$K$600,MATCH($B22,Applications!$X$5:$X$600,0))&amp;"",""))</f>
        <v>Erin Walsh</v>
      </c>
      <c r="L22" s="48" t="n">
        <f aca="false">IF($B22="","",IFERROR(INDEX(Applications!$P$5:$P$600,MATCH($B22,Applications!$X$5:$X$600,0)),""))</f>
        <v>44</v>
      </c>
      <c r="M22" s="37" t="str">
        <f aca="false">IF($B22="","",IF(K22="","Assign a third reader",IF(ISNUMBER(L22),"Third read done","Waiting on third read")))</f>
        <v>Third read done</v>
      </c>
    </row>
    <row r="23" customFormat="false" ht="15" hidden="false" customHeight="false" outlineLevel="0" collapsed="false">
      <c r="B23" s="37" t="n">
        <f aca="false">IF(19&lt;=COUNTIF(Applications!$O$5:$O$600,"Yes"),19,"")</f>
        <v>19</v>
      </c>
      <c r="C23" s="37" t="str">
        <f aca="false">IF($B23="","",IFERROR(INDEX(Applications!$A$5:$A$600,MATCH($B23,Applications!$X$5:$X$600,0))&amp;"",""))</f>
        <v>FA26-0140</v>
      </c>
      <c r="D23" s="37" t="str">
        <f aca="false">IF($B23="","",IFERROR(INDEX(Applications!$B$5:$B$600,MATCH($B23,Applications!$X$5:$X$600,0))&amp;"",""))</f>
        <v>Union Square Market Gardens</v>
      </c>
      <c r="E23" s="37" t="str">
        <f aca="false">IF($B23="","",IFERROR(INDEX(Applications!$C$5:$C$600,MATCH($B23,Applications!$X$5:$X$600,0))&amp;"",""))</f>
        <v>Growing Roots</v>
      </c>
      <c r="F23" s="37" t="str">
        <f aca="false">IF($B23="","",IFERROR(INDEX(Applications!$I$5:$I$600,MATCH($B23,Applications!$X$5:$X$600,0))&amp;"",""))</f>
        <v>Alicia Moreno</v>
      </c>
      <c r="G23" s="48" t="n">
        <f aca="false">IF($B23="","",IFERROR(INDEX(Applications!$L$5:$L$600,MATCH($B23,Applications!$X$5:$X$600,0)),""))</f>
        <v>42</v>
      </c>
      <c r="H23" s="37" t="str">
        <f aca="false">IF($B23="","",IFERROR(INDEX(Applications!$J$5:$J$600,MATCH($B23,Applications!$X$5:$X$600,0))&amp;"",""))</f>
        <v>Rafael Ortiz</v>
      </c>
      <c r="I23" s="48" t="n">
        <f aca="false">IF($B23="","",IFERROR(INDEX(Applications!$M$5:$M$600,MATCH($B23,Applications!$X$5:$X$600,0)),""))</f>
        <v>62</v>
      </c>
      <c r="J23" s="48" t="n">
        <f aca="false">IF($B23="","",IFERROR(INDEX(Applications!$N$5:$N$600,MATCH($B23,Applications!$X$5:$X$600,0)),""))</f>
        <v>20</v>
      </c>
      <c r="K23" s="37" t="str">
        <f aca="false">IF($B23="","",IFERROR(INDEX(Applications!$K$5:$K$600,MATCH($B23,Applications!$X$5:$X$600,0))&amp;"",""))</f>
        <v>Grace Kim</v>
      </c>
      <c r="L23" s="48" t="n">
        <f aca="false">IF($B23="","",IFERROR(INDEX(Applications!$P$5:$P$600,MATCH($B23,Applications!$X$5:$X$600,0)),""))</f>
        <v>63</v>
      </c>
      <c r="M23" s="37" t="str">
        <f aca="false">IF($B23="","",IF(K23="","Assign a third reader",IF(ISNUMBER(L23),"Third read done","Waiting on third read")))</f>
        <v>Third read done</v>
      </c>
    </row>
    <row r="24" customFormat="false" ht="15" hidden="false" customHeight="false" outlineLevel="0" collapsed="false">
      <c r="B24" s="37" t="n">
        <f aca="false">IF(20&lt;=COUNTIF(Applications!$O$5:$O$600,"Yes"),20,"")</f>
        <v>20</v>
      </c>
      <c r="C24" s="37" t="str">
        <f aca="false">IF($B24="","",IFERROR(INDEX(Applications!$A$5:$A$600,MATCH($B24,Applications!$X$5:$X$600,0))&amp;"",""))</f>
        <v>FA26-0144</v>
      </c>
      <c r="D24" s="37" t="str">
        <f aca="false">IF($B24="","",IFERROR(INDEX(Applications!$B$5:$B$600,MATCH($B24,Applications!$X$5:$X$600,0))&amp;"",""))</f>
        <v>Oak Hollow Family Center</v>
      </c>
      <c r="E24" s="37" t="str">
        <f aca="false">IF($B24="","",IFERROR(INDEX(Applications!$C$5:$C$600,MATCH($B24,Applications!$X$5:$X$600,0))&amp;"",""))</f>
        <v>Neighborhood Tables</v>
      </c>
      <c r="F24" s="37" t="str">
        <f aca="false">IF($B24="","",IFERROR(INDEX(Applications!$I$5:$I$600,MATCH($B24,Applications!$X$5:$X$600,0))&amp;"",""))</f>
        <v>Erin Walsh</v>
      </c>
      <c r="G24" s="48" t="n">
        <f aca="false">IF($B24="","",IFERROR(INDEX(Applications!$L$5:$L$600,MATCH($B24,Applications!$X$5:$X$600,0)),""))</f>
        <v>75</v>
      </c>
      <c r="H24" s="37" t="str">
        <f aca="false">IF($B24="","",IFERROR(INDEX(Applications!$J$5:$J$600,MATCH($B24,Applications!$X$5:$X$600,0))&amp;"",""))</f>
        <v>Ben Okafor</v>
      </c>
      <c r="I24" s="48" t="n">
        <f aca="false">IF($B24="","",IFERROR(INDEX(Applications!$M$5:$M$600,MATCH($B24,Applications!$X$5:$X$600,0)),""))</f>
        <v>36</v>
      </c>
      <c r="J24" s="48" t="n">
        <f aca="false">IF($B24="","",IFERROR(INDEX(Applications!$N$5:$N$600,MATCH($B24,Applications!$X$5:$X$600,0)),""))</f>
        <v>39</v>
      </c>
      <c r="K24" s="37" t="str">
        <f aca="false">IF($B24="","",IFERROR(INDEX(Applications!$K$5:$K$600,MATCH($B24,Applications!$X$5:$X$600,0))&amp;"",""))</f>
        <v>Rafael Ortiz</v>
      </c>
      <c r="L24" s="48" t="n">
        <f aca="false">IF($B24="","",IFERROR(INDEX(Applications!$P$5:$P$600,MATCH($B24,Applications!$X$5:$X$600,0)),""))</f>
        <v>67</v>
      </c>
      <c r="M24" s="37" t="str">
        <f aca="false">IF($B24="","",IF(K24="","Assign a third reader",IF(ISNUMBER(L24),"Third read done","Waiting on third read")))</f>
        <v>Third read done</v>
      </c>
    </row>
    <row r="25" customFormat="false" ht="15" hidden="false" customHeight="false" outlineLevel="0" collapsed="false">
      <c r="B25" s="37" t="n">
        <f aca="false">IF(21&lt;=COUNTIF(Applications!$O$5:$O$600,"Yes"),21,"")</f>
        <v>21</v>
      </c>
      <c r="C25" s="37" t="str">
        <f aca="false">IF($B25="","",IFERROR(INDEX(Applications!$A$5:$A$600,MATCH($B25,Applications!$X$5:$X$600,0))&amp;"",""))</f>
        <v>FA26-0153</v>
      </c>
      <c r="D25" s="37" t="str">
        <f aca="false">IF($B25="","",IFERROR(INDEX(Applications!$B$5:$B$600,MATCH($B25,Applications!$X$5:$X$600,0))&amp;"",""))</f>
        <v>Buffalo Youth Food Lab</v>
      </c>
      <c r="E25" s="37" t="str">
        <f aca="false">IF($B25="","",IFERROR(INDEX(Applications!$C$5:$C$600,MATCH($B25,Applications!$X$5:$X$600,0))&amp;"",""))</f>
        <v>Neighborhood Tables</v>
      </c>
      <c r="F25" s="37" t="str">
        <f aca="false">IF($B25="","",IFERROR(INDEX(Applications!$I$5:$I$600,MATCH($B25,Applications!$X$5:$X$600,0))&amp;"",""))</f>
        <v>Erin Walsh</v>
      </c>
      <c r="G25" s="48" t="n">
        <f aca="false">IF($B25="","",IFERROR(INDEX(Applications!$L$5:$L$600,MATCH($B25,Applications!$X$5:$X$600,0)),""))</f>
        <v>100</v>
      </c>
      <c r="H25" s="37" t="str">
        <f aca="false">IF($B25="","",IFERROR(INDEX(Applications!$J$5:$J$600,MATCH($B25,Applications!$X$5:$X$600,0))&amp;"",""))</f>
        <v>Ben Okafor</v>
      </c>
      <c r="I25" s="48" t="n">
        <f aca="false">IF($B25="","",IFERROR(INDEX(Applications!$M$5:$M$600,MATCH($B25,Applications!$X$5:$X$600,0)),""))</f>
        <v>72</v>
      </c>
      <c r="J25" s="48" t="n">
        <f aca="false">IF($B25="","",IFERROR(INDEX(Applications!$N$5:$N$600,MATCH($B25,Applications!$X$5:$X$600,0)),""))</f>
        <v>28</v>
      </c>
      <c r="K25" s="37" t="str">
        <f aca="false">IF($B25="","",IFERROR(INDEX(Applications!$K$5:$K$600,MATCH($B25,Applications!$X$5:$X$600,0))&amp;"",""))</f>
        <v>Alicia Moreno</v>
      </c>
      <c r="L25" s="48" t="n">
        <f aca="false">IF($B25="","",IFERROR(INDEX(Applications!$P$5:$P$600,MATCH($B25,Applications!$X$5:$X$600,0)),""))</f>
        <v>72</v>
      </c>
      <c r="M25" s="37" t="str">
        <f aca="false">IF($B25="","",IF(K25="","Assign a third reader",IF(ISNUMBER(L25),"Third read done","Waiting on third read")))</f>
        <v>Third read done</v>
      </c>
    </row>
    <row r="26" customFormat="false" ht="15" hidden="false" customHeight="false" outlineLevel="0" collapsed="false">
      <c r="B26" s="37" t="n">
        <f aca="false">IF(22&lt;=COUNTIF(Applications!$O$5:$O$600,"Yes"),22,"")</f>
        <v>22</v>
      </c>
      <c r="C26" s="37" t="str">
        <f aca="false">IF($B26="","",IFERROR(INDEX(Applications!$A$5:$A$600,MATCH($B26,Applications!$X$5:$X$600,0))&amp;"",""))</f>
        <v>FA26-0161</v>
      </c>
      <c r="D26" s="37" t="str">
        <f aca="false">IF($B26="","",IFERROR(INDEX(Applications!$B$5:$B$600,MATCH($B26,Applications!$X$5:$X$600,0))&amp;"",""))</f>
        <v>Stonebridge Culinary Works</v>
      </c>
      <c r="E26" s="37" t="str">
        <f aca="false">IF($B26="","",IFERROR(INDEX(Applications!$C$5:$C$600,MATCH($B26,Applications!$X$5:$X$600,0))&amp;"",""))</f>
        <v>Kitchen to Career</v>
      </c>
      <c r="F26" s="37" t="str">
        <f aca="false">IF($B26="","",IFERROR(INDEX(Applications!$I$5:$I$600,MATCH($B26,Applications!$X$5:$X$600,0))&amp;"",""))</f>
        <v>Grace Kim</v>
      </c>
      <c r="G26" s="48" t="n">
        <f aca="false">IF($B26="","",IFERROR(INDEX(Applications!$L$5:$L$600,MATCH($B26,Applications!$X$5:$X$600,0)),""))</f>
        <v>73</v>
      </c>
      <c r="H26" s="37" t="str">
        <f aca="false">IF($B26="","",IFERROR(INDEX(Applications!$J$5:$J$600,MATCH($B26,Applications!$X$5:$X$600,0))&amp;"",""))</f>
        <v>Rafael Ortiz</v>
      </c>
      <c r="I26" s="48" t="n">
        <f aca="false">IF($B26="","",IFERROR(INDEX(Applications!$M$5:$M$600,MATCH($B26,Applications!$X$5:$X$600,0)),""))</f>
        <v>38</v>
      </c>
      <c r="J26" s="48" t="n">
        <f aca="false">IF($B26="","",IFERROR(INDEX(Applications!$N$5:$N$600,MATCH($B26,Applications!$X$5:$X$600,0)),""))</f>
        <v>35</v>
      </c>
      <c r="K26" s="37" t="str">
        <f aca="false">IF($B26="","",IFERROR(INDEX(Applications!$K$5:$K$600,MATCH($B26,Applications!$X$5:$X$600,0))&amp;"",""))</f>
        <v>Erin Walsh</v>
      </c>
      <c r="L26" s="48" t="n">
        <f aca="false">IF($B26="","",IFERROR(INDEX(Applications!$P$5:$P$600,MATCH($B26,Applications!$X$5:$X$600,0)),""))</f>
        <v>56</v>
      </c>
      <c r="M26" s="37" t="str">
        <f aca="false">IF($B26="","",IF(K26="","Assign a third reader",IF(ISNUMBER(L26),"Third read done","Waiting on third read")))</f>
        <v>Third read done</v>
      </c>
    </row>
    <row r="27" customFormat="false" ht="15" hidden="false" customHeight="false" outlineLevel="0" collapsed="false">
      <c r="B27" s="37" t="n">
        <f aca="false">IF(23&lt;=COUNTIF(Applications!$O$5:$O$600,"Yes"),23,"")</f>
        <v>23</v>
      </c>
      <c r="C27" s="37" t="str">
        <f aca="false">IF($B27="","",IFERROR(INDEX(Applications!$A$5:$A$600,MATCH($B27,Applications!$X$5:$X$600,0))&amp;"",""))</f>
        <v>FA26-0164</v>
      </c>
      <c r="D27" s="37" t="str">
        <f aca="false">IF($B27="","",IFERROR(INDEX(Applications!$B$5:$B$600,MATCH($B27,Applications!$X$5:$X$600,0))&amp;"",""))</f>
        <v>Copper Hill Meals Project</v>
      </c>
      <c r="E27" s="37" t="str">
        <f aca="false">IF($B27="","",IFERROR(INDEX(Applications!$C$5:$C$600,MATCH($B27,Applications!$X$5:$X$600,0))&amp;"",""))</f>
        <v>Neighborhood Tables</v>
      </c>
      <c r="F27" s="37" t="str">
        <f aca="false">IF($B27="","",IFERROR(INDEX(Applications!$I$5:$I$600,MATCH($B27,Applications!$X$5:$X$600,0))&amp;"",""))</f>
        <v>Frank Delgado</v>
      </c>
      <c r="G27" s="48" t="n">
        <f aca="false">IF($B27="","",IFERROR(INDEX(Applications!$L$5:$L$600,MATCH($B27,Applications!$X$5:$X$600,0)),""))</f>
        <v>89</v>
      </c>
      <c r="H27" s="37" t="str">
        <f aca="false">IF($B27="","",IFERROR(INDEX(Applications!$J$5:$J$600,MATCH($B27,Applications!$X$5:$X$600,0))&amp;"",""))</f>
        <v>Rafael Ortiz</v>
      </c>
      <c r="I27" s="48" t="n">
        <f aca="false">IF($B27="","",IFERROR(INDEX(Applications!$M$5:$M$600,MATCH($B27,Applications!$X$5:$X$600,0)),""))</f>
        <v>70</v>
      </c>
      <c r="J27" s="48" t="n">
        <f aca="false">IF($B27="","",IFERROR(INDEX(Applications!$N$5:$N$600,MATCH($B27,Applications!$X$5:$X$600,0)),""))</f>
        <v>19</v>
      </c>
      <c r="K27" s="37" t="str">
        <f aca="false">IF($B27="","",IFERROR(INDEX(Applications!$K$5:$K$600,MATCH($B27,Applications!$X$5:$X$600,0))&amp;"",""))</f>
        <v>Alicia Moreno</v>
      </c>
      <c r="L27" s="48" t="n">
        <f aca="false">IF($B27="","",IFERROR(INDEX(Applications!$P$5:$P$600,MATCH($B27,Applications!$X$5:$X$600,0)),""))</f>
        <v>67</v>
      </c>
      <c r="M27" s="37" t="str">
        <f aca="false">IF($B27="","",IF(K27="","Assign a third reader",IF(ISNUMBER(L27),"Third read done","Waiting on third read")))</f>
        <v>Third read done</v>
      </c>
    </row>
    <row r="28" customFormat="false" ht="15" hidden="false" customHeight="false" outlineLevel="0" collapsed="false">
      <c r="B28" s="37" t="n">
        <f aca="false">IF(24&lt;=COUNTIF(Applications!$O$5:$O$600,"Yes"),24,"")</f>
        <v>24</v>
      </c>
      <c r="C28" s="37" t="str">
        <f aca="false">IF($B28="","",IFERROR(INDEX(Applications!$A$5:$A$600,MATCH($B28,Applications!$X$5:$X$600,0))&amp;"",""))</f>
        <v>FA26-0172</v>
      </c>
      <c r="D28" s="37" t="str">
        <f aca="false">IF($B28="","",IFERROR(INDEX(Applications!$B$5:$B$600,MATCH($B28,Applications!$X$5:$X$600,0))&amp;"",""))</f>
        <v>Tidewater Farm Collective</v>
      </c>
      <c r="E28" s="37" t="str">
        <f aca="false">IF($B28="","",IFERROR(INDEX(Applications!$C$5:$C$600,MATCH($B28,Applications!$X$5:$X$600,0))&amp;"",""))</f>
        <v>Growing Roots</v>
      </c>
      <c r="F28" s="37" t="str">
        <f aca="false">IF($B28="","",IFERROR(INDEX(Applications!$I$5:$I$600,MATCH($B28,Applications!$X$5:$X$600,0))&amp;"",""))</f>
        <v>Ben Okafor</v>
      </c>
      <c r="G28" s="48" t="n">
        <f aca="false">IF($B28="","",IFERROR(INDEX(Applications!$L$5:$L$600,MATCH($B28,Applications!$X$5:$X$600,0)),""))</f>
        <v>55</v>
      </c>
      <c r="H28" s="37" t="str">
        <f aca="false">IF($B28="","",IFERROR(INDEX(Applications!$J$5:$J$600,MATCH($B28,Applications!$X$5:$X$600,0))&amp;"",""))</f>
        <v>Erin Walsh</v>
      </c>
      <c r="I28" s="48" t="n">
        <f aca="false">IF($B28="","",IFERROR(INDEX(Applications!$M$5:$M$600,MATCH($B28,Applications!$X$5:$X$600,0)),""))</f>
        <v>82</v>
      </c>
      <c r="J28" s="48" t="n">
        <f aca="false">IF($B28="","",IFERROR(INDEX(Applications!$N$5:$N$600,MATCH($B28,Applications!$X$5:$X$600,0)),""))</f>
        <v>27</v>
      </c>
      <c r="K28" s="37" t="str">
        <f aca="false">IF($B28="","",IFERROR(INDEX(Applications!$K$5:$K$600,MATCH($B28,Applications!$X$5:$X$600,0))&amp;"",""))</f>
        <v>Rafael Ortiz</v>
      </c>
      <c r="L28" s="48" t="n">
        <f aca="false">IF($B28="","",IFERROR(INDEX(Applications!$P$5:$P$600,MATCH($B28,Applications!$X$5:$X$600,0)),""))</f>
        <v>54</v>
      </c>
      <c r="M28" s="37" t="str">
        <f aca="false">IF($B28="","",IF(K28="","Assign a third reader",IF(ISNUMBER(L28),"Third read done","Waiting on third read")))</f>
        <v>Third read done</v>
      </c>
    </row>
    <row r="29" customFormat="false" ht="15" hidden="false" customHeight="false" outlineLevel="0" collapsed="false">
      <c r="B29" s="37" t="n">
        <f aca="false">IF(25&lt;=COUNTIF(Applications!$O$5:$O$600,"Yes"),25,"")</f>
        <v>25</v>
      </c>
      <c r="C29" s="37" t="str">
        <f aca="false">IF($B29="","",IFERROR(INDEX(Applications!$A$5:$A$600,MATCH($B29,Applications!$X$5:$X$600,0))&amp;"",""))</f>
        <v>FA26-0179</v>
      </c>
      <c r="D29" s="37" t="str">
        <f aca="false">IF($B29="","",IFERROR(INDEX(Applications!$B$5:$B$600,MATCH($B29,Applications!$X$5:$X$600,0))&amp;"",""))</f>
        <v>Cedar Growers Cooperative</v>
      </c>
      <c r="E29" s="37" t="str">
        <f aca="false">IF($B29="","",IFERROR(INDEX(Applications!$C$5:$C$600,MATCH($B29,Applications!$X$5:$X$600,0))&amp;"",""))</f>
        <v>Growing Roots</v>
      </c>
      <c r="F29" s="37" t="str">
        <f aca="false">IF($B29="","",IFERROR(INDEX(Applications!$I$5:$I$600,MATCH($B29,Applications!$X$5:$X$600,0))&amp;"",""))</f>
        <v>Erin Walsh</v>
      </c>
      <c r="G29" s="48" t="n">
        <f aca="false">IF($B29="","",IFERROR(INDEX(Applications!$L$5:$L$600,MATCH($B29,Applications!$X$5:$X$600,0)),""))</f>
        <v>70</v>
      </c>
      <c r="H29" s="37" t="str">
        <f aca="false">IF($B29="","",IFERROR(INDEX(Applications!$J$5:$J$600,MATCH($B29,Applications!$X$5:$X$600,0))&amp;"",""))</f>
        <v>Alicia Moreno</v>
      </c>
      <c r="I29" s="48" t="n">
        <f aca="false">IF($B29="","",IFERROR(INDEX(Applications!$M$5:$M$600,MATCH($B29,Applications!$X$5:$X$600,0)),""))</f>
        <v>93</v>
      </c>
      <c r="J29" s="48" t="n">
        <f aca="false">IF($B29="","",IFERROR(INDEX(Applications!$N$5:$N$600,MATCH($B29,Applications!$X$5:$X$600,0)),""))</f>
        <v>23</v>
      </c>
      <c r="K29" s="37" t="str">
        <f aca="false">IF($B29="","",IFERROR(INDEX(Applications!$K$5:$K$600,MATCH($B29,Applications!$X$5:$X$600,0))&amp;"",""))</f>
        <v>Ben Okafor</v>
      </c>
      <c r="L29" s="48" t="str">
        <f aca="false">IF($B29="","",IFERROR(INDEX(Applications!$P$5:$P$600,MATCH($B29,Applications!$X$5:$X$600,0)),""))</f>
        <v/>
      </c>
      <c r="M29" s="37" t="str">
        <f aca="false">IF($B29="","",IF(K29="","Assign a third reader",IF(ISNUMBER(L29),"Third read done","Waiting on third read")))</f>
        <v>Waiting on third read</v>
      </c>
    </row>
    <row r="30" customFormat="false" ht="15" hidden="false" customHeight="false" outlineLevel="0" collapsed="false">
      <c r="B30" s="37" t="n">
        <f aca="false">IF(26&lt;=COUNTIF(Applications!$O$5:$O$600,"Yes"),26,"")</f>
        <v>26</v>
      </c>
      <c r="C30" s="37" t="str">
        <f aca="false">IF($B30="","",IFERROR(INDEX(Applications!$A$5:$A$600,MATCH($B30,Applications!$X$5:$X$600,0))&amp;"",""))</f>
        <v>FA26-0188</v>
      </c>
      <c r="D30" s="37" t="str">
        <f aca="false">IF($B30="","",IFERROR(INDEX(Applications!$B$5:$B$600,MATCH($B30,Applications!$X$5:$X$600,0))&amp;"",""))</f>
        <v>Valley Farm Collective</v>
      </c>
      <c r="E30" s="37" t="str">
        <f aca="false">IF($B30="","",IFERROR(INDEX(Applications!$C$5:$C$600,MATCH($B30,Applications!$X$5:$X$600,0))&amp;"",""))</f>
        <v>Growing Roots</v>
      </c>
      <c r="F30" s="37" t="str">
        <f aca="false">IF($B30="","",IFERROR(INDEX(Applications!$I$5:$I$600,MATCH($B30,Applications!$X$5:$X$600,0))&amp;"",""))</f>
        <v>Frank Delgado</v>
      </c>
      <c r="G30" s="48" t="n">
        <f aca="false">IF($B30="","",IFERROR(INDEX(Applications!$L$5:$L$600,MATCH($B30,Applications!$X$5:$X$600,0)),""))</f>
        <v>73</v>
      </c>
      <c r="H30" s="37" t="str">
        <f aca="false">IF($B30="","",IFERROR(INDEX(Applications!$J$5:$J$600,MATCH($B30,Applications!$X$5:$X$600,0))&amp;"",""))</f>
        <v>Rafael Ortiz</v>
      </c>
      <c r="I30" s="48" t="n">
        <f aca="false">IF($B30="","",IFERROR(INDEX(Applications!$M$5:$M$600,MATCH($B30,Applications!$X$5:$X$600,0)),""))</f>
        <v>55</v>
      </c>
      <c r="J30" s="48" t="n">
        <f aca="false">IF($B30="","",IFERROR(INDEX(Applications!$N$5:$N$600,MATCH($B30,Applications!$X$5:$X$600,0)),""))</f>
        <v>18</v>
      </c>
      <c r="K30" s="37" t="str">
        <f aca="false">IF($B30="","",IFERROR(INDEX(Applications!$K$5:$K$600,MATCH($B30,Applications!$X$5:$X$600,0))&amp;"",""))</f>
        <v>Grace Kim</v>
      </c>
      <c r="L30" s="48" t="n">
        <f aca="false">IF($B30="","",IFERROR(INDEX(Applications!$P$5:$P$600,MATCH($B30,Applications!$X$5:$X$600,0)),""))</f>
        <v>56</v>
      </c>
      <c r="M30" s="37" t="str">
        <f aca="false">IF($B30="","",IF(K30="","Assign a third reader",IF(ISNUMBER(L30),"Third read done","Waiting on third read")))</f>
        <v>Third read done</v>
      </c>
    </row>
    <row r="31" customFormat="false" ht="15" hidden="false" customHeight="false" outlineLevel="0" collapsed="false">
      <c r="B31" s="37" t="n">
        <f aca="false">IF(27&lt;=COUNTIF(Applications!$O$5:$O$600,"Yes"),27,"")</f>
        <v>27</v>
      </c>
      <c r="C31" s="37" t="str">
        <f aca="false">IF($B31="","",IFERROR(INDEX(Applications!$A$5:$A$600,MATCH($B31,Applications!$X$5:$X$600,0))&amp;"",""))</f>
        <v>FA26-0189</v>
      </c>
      <c r="D31" s="37" t="str">
        <f aca="false">IF($B31="","",IFERROR(INDEX(Applications!$B$5:$B$600,MATCH($B31,Applications!$X$5:$X$600,0))&amp;"",""))</f>
        <v>Crossroads Community Kitchen</v>
      </c>
      <c r="E31" s="37" t="str">
        <f aca="false">IF($B31="","",IFERROR(INDEX(Applications!$C$5:$C$600,MATCH($B31,Applications!$X$5:$X$600,0))&amp;"",""))</f>
        <v>Neighborhood Tables</v>
      </c>
      <c r="F31" s="37" t="str">
        <f aca="false">IF($B31="","",IFERROR(INDEX(Applications!$I$5:$I$600,MATCH($B31,Applications!$X$5:$X$600,0))&amp;"",""))</f>
        <v>Alicia Moreno</v>
      </c>
      <c r="G31" s="48" t="n">
        <f aca="false">IF($B31="","",IFERROR(INDEX(Applications!$L$5:$L$600,MATCH($B31,Applications!$X$5:$X$600,0)),""))</f>
        <v>61</v>
      </c>
      <c r="H31" s="37" t="str">
        <f aca="false">IF($B31="","",IFERROR(INDEX(Applications!$J$5:$J$600,MATCH($B31,Applications!$X$5:$X$600,0))&amp;"",""))</f>
        <v>Erin Walsh</v>
      </c>
      <c r="I31" s="48" t="n">
        <f aca="false">IF($B31="","",IFERROR(INDEX(Applications!$M$5:$M$600,MATCH($B31,Applications!$X$5:$X$600,0)),""))</f>
        <v>42</v>
      </c>
      <c r="J31" s="48" t="n">
        <f aca="false">IF($B31="","",IFERROR(INDEX(Applications!$N$5:$N$600,MATCH($B31,Applications!$X$5:$X$600,0)),""))</f>
        <v>19</v>
      </c>
      <c r="K31" s="37" t="str">
        <f aca="false">IF($B31="","",IFERROR(INDEX(Applications!$K$5:$K$600,MATCH($B31,Applications!$X$5:$X$600,0))&amp;"",""))</f>
        <v>Ben Okafor</v>
      </c>
      <c r="L31" s="48" t="str">
        <f aca="false">IF($B31="","",IFERROR(INDEX(Applications!$P$5:$P$600,MATCH($B31,Applications!$X$5:$X$600,0)),""))</f>
        <v/>
      </c>
      <c r="M31" s="37" t="str">
        <f aca="false">IF($B31="","",IF(K31="","Assign a third reader",IF(ISNUMBER(L31),"Third read done","Waiting on third read")))</f>
        <v>Waiting on third read</v>
      </c>
    </row>
    <row r="32" customFormat="false" ht="15" hidden="false" customHeight="false" outlineLevel="0" collapsed="false">
      <c r="B32" s="37" t="n">
        <f aca="false">IF(28&lt;=COUNTIF(Applications!$O$5:$O$600,"Yes"),28,"")</f>
        <v>28</v>
      </c>
      <c r="C32" s="37" t="str">
        <f aca="false">IF($B32="","",IFERROR(INDEX(Applications!$A$5:$A$600,MATCH($B32,Applications!$X$5:$X$600,0))&amp;"",""))</f>
        <v>FA26-0195</v>
      </c>
      <c r="D32" s="37" t="str">
        <f aca="false">IF($B32="","",IFERROR(INDEX(Applications!$B$5:$B$600,MATCH($B32,Applications!$X$5:$X$600,0))&amp;"",""))</f>
        <v>Cedar Food Bank</v>
      </c>
      <c r="E32" s="37" t="str">
        <f aca="false">IF($B32="","",IFERROR(INDEX(Applications!$C$5:$C$600,MATCH($B32,Applications!$X$5:$X$600,0))&amp;"",""))</f>
        <v>Full Plate</v>
      </c>
      <c r="F32" s="37" t="str">
        <f aca="false">IF($B32="","",IFERROR(INDEX(Applications!$I$5:$I$600,MATCH($B32,Applications!$X$5:$X$600,0))&amp;"",""))</f>
        <v>Rafael Ortiz</v>
      </c>
      <c r="G32" s="48" t="n">
        <f aca="false">IF($B32="","",IFERROR(INDEX(Applications!$L$5:$L$600,MATCH($B32,Applications!$X$5:$X$600,0)),""))</f>
        <v>62</v>
      </c>
      <c r="H32" s="37" t="str">
        <f aca="false">IF($B32="","",IFERROR(INDEX(Applications!$J$5:$J$600,MATCH($B32,Applications!$X$5:$X$600,0))&amp;"",""))</f>
        <v>Frank Delgado</v>
      </c>
      <c r="I32" s="48" t="n">
        <f aca="false">IF($B32="","",IFERROR(INDEX(Applications!$M$5:$M$600,MATCH($B32,Applications!$X$5:$X$600,0)),""))</f>
        <v>81</v>
      </c>
      <c r="J32" s="48" t="n">
        <f aca="false">IF($B32="","",IFERROR(INDEX(Applications!$N$5:$N$600,MATCH($B32,Applications!$X$5:$X$600,0)),""))</f>
        <v>19</v>
      </c>
      <c r="K32" s="37" t="str">
        <f aca="false">IF($B32="","",IFERROR(INDEX(Applications!$K$5:$K$600,MATCH($B32,Applications!$X$5:$X$600,0))&amp;"",""))</f>
        <v>Alicia Moreno</v>
      </c>
      <c r="L32" s="48" t="n">
        <f aca="false">IF($B32="","",IFERROR(INDEX(Applications!$P$5:$P$600,MATCH($B32,Applications!$X$5:$X$600,0)),""))</f>
        <v>70</v>
      </c>
      <c r="M32" s="37" t="str">
        <f aca="false">IF($B32="","",IF(K32="","Assign a third reader",IF(ISNUMBER(L32),"Third read done","Waiting on third read")))</f>
        <v>Third read done</v>
      </c>
    </row>
    <row r="33" customFormat="false" ht="15" hidden="false" customHeight="false" outlineLevel="0" collapsed="false">
      <c r="B33" s="37" t="n">
        <f aca="false">IF(29&lt;=COUNTIF(Applications!$O$5:$O$600,"Yes"),29,"")</f>
        <v>29</v>
      </c>
      <c r="C33" s="37" t="str">
        <f aca="false">IF($B33="","",IFERROR(INDEX(Applications!$A$5:$A$600,MATCH($B33,Applications!$X$5:$X$600,0))&amp;"",""))</f>
        <v>FA26-0201</v>
      </c>
      <c r="D33" s="37" t="str">
        <f aca="false">IF($B33="","",IFERROR(INDEX(Applications!$B$5:$B$600,MATCH($B33,Applications!$X$5:$X$600,0))&amp;"",""))</f>
        <v>Louisville Food Ventures</v>
      </c>
      <c r="E33" s="37" t="str">
        <f aca="false">IF($B33="","",IFERROR(INDEX(Applications!$C$5:$C$600,MATCH($B33,Applications!$X$5:$X$600,0))&amp;"",""))</f>
        <v>Kitchen to Career</v>
      </c>
      <c r="F33" s="37" t="str">
        <f aca="false">IF($B33="","",IFERROR(INDEX(Applications!$I$5:$I$600,MATCH($B33,Applications!$X$5:$X$600,0))&amp;"",""))</f>
        <v>Grace Kim</v>
      </c>
      <c r="G33" s="48" t="n">
        <f aca="false">IF($B33="","",IFERROR(INDEX(Applications!$L$5:$L$600,MATCH($B33,Applications!$X$5:$X$600,0)),""))</f>
        <v>35</v>
      </c>
      <c r="H33" s="37" t="str">
        <f aca="false">IF($B33="","",IFERROR(INDEX(Applications!$J$5:$J$600,MATCH($B33,Applications!$X$5:$X$600,0))&amp;"",""))</f>
        <v>Alicia Moreno</v>
      </c>
      <c r="I33" s="48" t="n">
        <f aca="false">IF($B33="","",IFERROR(INDEX(Applications!$M$5:$M$600,MATCH($B33,Applications!$X$5:$X$600,0)),""))</f>
        <v>56</v>
      </c>
      <c r="J33" s="48" t="n">
        <f aca="false">IF($B33="","",IFERROR(INDEX(Applications!$N$5:$N$600,MATCH($B33,Applications!$X$5:$X$600,0)),""))</f>
        <v>21</v>
      </c>
      <c r="K33" s="37" t="str">
        <f aca="false">IF($B33="","",IFERROR(INDEX(Applications!$K$5:$K$600,MATCH($B33,Applications!$X$5:$X$600,0))&amp;"",""))</f>
        <v>Erin Walsh</v>
      </c>
      <c r="L33" s="48" t="n">
        <f aca="false">IF($B33="","",IFERROR(INDEX(Applications!$P$5:$P$600,MATCH($B33,Applications!$X$5:$X$600,0)),""))</f>
        <v>65</v>
      </c>
      <c r="M33" s="37" t="str">
        <f aca="false">IF($B33="","",IF(K33="","Assign a third reader",IF(ISNUMBER(L33),"Third read done","Waiting on third read")))</f>
        <v>Third read done</v>
      </c>
    </row>
    <row r="34" customFormat="false" ht="15" hidden="false" customHeight="false" outlineLevel="0" collapsed="false">
      <c r="B34" s="37" t="n">
        <f aca="false">IF(30&lt;=COUNTIF(Applications!$O$5:$O$600,"Yes"),30,"")</f>
        <v>30</v>
      </c>
      <c r="C34" s="37" t="str">
        <f aca="false">IF($B34="","",IFERROR(INDEX(Applications!$A$5:$A$600,MATCH($B34,Applications!$X$5:$X$600,0))&amp;"",""))</f>
        <v>FA26-0204</v>
      </c>
      <c r="D34" s="37" t="str">
        <f aca="false">IF($B34="","",IFERROR(INDEX(Applications!$B$5:$B$600,MATCH($B34,Applications!$X$5:$X$600,0))&amp;"",""))</f>
        <v>Linden Pantry Network</v>
      </c>
      <c r="E34" s="37" t="str">
        <f aca="false">IF($B34="","",IFERROR(INDEX(Applications!$C$5:$C$600,MATCH($B34,Applications!$X$5:$X$600,0))&amp;"",""))</f>
        <v>Full Plate</v>
      </c>
      <c r="F34" s="37" t="str">
        <f aca="false">IF($B34="","",IFERROR(INDEX(Applications!$I$5:$I$600,MATCH($B34,Applications!$X$5:$X$600,0))&amp;"",""))</f>
        <v>Frank Delgado</v>
      </c>
      <c r="G34" s="48" t="n">
        <f aca="false">IF($B34="","",IFERROR(INDEX(Applications!$L$5:$L$600,MATCH($B34,Applications!$X$5:$X$600,0)),""))</f>
        <v>89</v>
      </c>
      <c r="H34" s="37" t="str">
        <f aca="false">IF($B34="","",IFERROR(INDEX(Applications!$J$5:$J$600,MATCH($B34,Applications!$X$5:$X$600,0))&amp;"",""))</f>
        <v>Alicia Moreno</v>
      </c>
      <c r="I34" s="48" t="n">
        <f aca="false">IF($B34="","",IFERROR(INDEX(Applications!$M$5:$M$600,MATCH($B34,Applications!$X$5:$X$600,0)),""))</f>
        <v>68</v>
      </c>
      <c r="J34" s="48" t="n">
        <f aca="false">IF($B34="","",IFERROR(INDEX(Applications!$N$5:$N$600,MATCH($B34,Applications!$X$5:$X$600,0)),""))</f>
        <v>21</v>
      </c>
      <c r="K34" s="37" t="str">
        <f aca="false">IF($B34="","",IFERROR(INDEX(Applications!$K$5:$K$600,MATCH($B34,Applications!$X$5:$X$600,0))&amp;"",""))</f>
        <v>Rafael Ortiz</v>
      </c>
      <c r="L34" s="48" t="n">
        <f aca="false">IF($B34="","",IFERROR(INDEX(Applications!$P$5:$P$600,MATCH($B34,Applications!$X$5:$X$600,0)),""))</f>
        <v>80</v>
      </c>
      <c r="M34" s="37" t="str">
        <f aca="false">IF($B34="","",IF(K34="","Assign a third reader",IF(ISNUMBER(L34),"Third read done","Waiting on third read")))</f>
        <v>Third read done</v>
      </c>
    </row>
    <row r="35" customFormat="false" ht="15" hidden="false" customHeight="false" outlineLevel="0" collapsed="false">
      <c r="B35" s="37" t="n">
        <f aca="false">IF(31&lt;=COUNTIF(Applications!$O$5:$O$600,"Yes"),31,"")</f>
        <v>31</v>
      </c>
      <c r="C35" s="37" t="str">
        <f aca="false">IF($B35="","",IFERROR(INDEX(Applications!$A$5:$A$600,MATCH($B35,Applications!$X$5:$X$600,0))&amp;"",""))</f>
        <v>FA26-0206</v>
      </c>
      <c r="D35" s="37" t="str">
        <f aca="false">IF($B35="","",IFERROR(INDEX(Applications!$B$5:$B$600,MATCH($B35,Applications!$X$5:$X$600,0))&amp;"",""))</f>
        <v>Tidewater Meals Project</v>
      </c>
      <c r="E35" s="37" t="str">
        <f aca="false">IF($B35="","",IFERROR(INDEX(Applications!$C$5:$C$600,MATCH($B35,Applications!$X$5:$X$600,0))&amp;"",""))</f>
        <v>Neighborhood Tables</v>
      </c>
      <c r="F35" s="37" t="str">
        <f aca="false">IF($B35="","",IFERROR(INDEX(Applications!$I$5:$I$600,MATCH($B35,Applications!$X$5:$X$600,0))&amp;"",""))</f>
        <v>Ben Okafor</v>
      </c>
      <c r="G35" s="48" t="n">
        <f aca="false">IF($B35="","",IFERROR(INDEX(Applications!$L$5:$L$600,MATCH($B35,Applications!$X$5:$X$600,0)),""))</f>
        <v>80</v>
      </c>
      <c r="H35" s="37" t="str">
        <f aca="false">IF($B35="","",IFERROR(INDEX(Applications!$J$5:$J$600,MATCH($B35,Applications!$X$5:$X$600,0))&amp;"",""))</f>
        <v>Rafael Ortiz</v>
      </c>
      <c r="I35" s="48" t="n">
        <f aca="false">IF($B35="","",IFERROR(INDEX(Applications!$M$5:$M$600,MATCH($B35,Applications!$X$5:$X$600,0)),""))</f>
        <v>62</v>
      </c>
      <c r="J35" s="48" t="n">
        <f aca="false">IF($B35="","",IFERROR(INDEX(Applications!$N$5:$N$600,MATCH($B35,Applications!$X$5:$X$600,0)),""))</f>
        <v>18</v>
      </c>
      <c r="K35" s="37" t="str">
        <f aca="false">IF($B35="","",IFERROR(INDEX(Applications!$K$5:$K$600,MATCH($B35,Applications!$X$5:$X$600,0))&amp;"",""))</f>
        <v>Grace Kim</v>
      </c>
      <c r="L35" s="48" t="str">
        <f aca="false">IF($B35="","",IFERROR(INDEX(Applications!$P$5:$P$600,MATCH($B35,Applications!$X$5:$X$600,0)),""))</f>
        <v/>
      </c>
      <c r="M35" s="37" t="str">
        <f aca="false">IF($B35="","",IF(K35="","Assign a third reader",IF(ISNUMBER(L35),"Third read done","Waiting on third read")))</f>
        <v>Waiting on third read</v>
      </c>
    </row>
    <row r="36" customFormat="false" ht="15" hidden="false" customHeight="false" outlineLevel="0" collapsed="false">
      <c r="B36" s="37" t="n">
        <f aca="false">IF(32&lt;=COUNTIF(Applications!$O$5:$O$600,"Yes"),32,"")</f>
        <v>32</v>
      </c>
      <c r="C36" s="37" t="str">
        <f aca="false">IF($B36="","",IFERROR(INDEX(Applications!$A$5:$A$600,MATCH($B36,Applications!$X$5:$X$600,0))&amp;"",""))</f>
        <v>FA26-0222</v>
      </c>
      <c r="D36" s="37" t="str">
        <f aca="false">IF($B36="","",IFERROR(INDEX(Applications!$B$5:$B$600,MATCH($B36,Applications!$X$5:$X$600,0))&amp;"",""))</f>
        <v>Hillcrest Schools Nutrition Fund</v>
      </c>
      <c r="E36" s="37" t="str">
        <f aca="false">IF($B36="","",IFERROR(INDEX(Applications!$C$5:$C$600,MATCH($B36,Applications!$X$5:$X$600,0))&amp;"",""))</f>
        <v>Neighborhood Tables</v>
      </c>
      <c r="F36" s="37" t="str">
        <f aca="false">IF($B36="","",IFERROR(INDEX(Applications!$I$5:$I$600,MATCH($B36,Applications!$X$5:$X$600,0))&amp;"",""))</f>
        <v>Erin Walsh</v>
      </c>
      <c r="G36" s="48" t="n">
        <f aca="false">IF($B36="","",IFERROR(INDEX(Applications!$L$5:$L$600,MATCH($B36,Applications!$X$5:$X$600,0)),""))</f>
        <v>84</v>
      </c>
      <c r="H36" s="37" t="str">
        <f aca="false">IF($B36="","",IFERROR(INDEX(Applications!$J$5:$J$600,MATCH($B36,Applications!$X$5:$X$600,0))&amp;"",""))</f>
        <v>Ben Okafor</v>
      </c>
      <c r="I36" s="48" t="n">
        <f aca="false">IF($B36="","",IFERROR(INDEX(Applications!$M$5:$M$600,MATCH($B36,Applications!$X$5:$X$600,0)),""))</f>
        <v>60</v>
      </c>
      <c r="J36" s="48" t="n">
        <f aca="false">IF($B36="","",IFERROR(INDEX(Applications!$N$5:$N$600,MATCH($B36,Applications!$X$5:$X$600,0)),""))</f>
        <v>24</v>
      </c>
      <c r="K36" s="37" t="str">
        <f aca="false">IF($B36="","",IFERROR(INDEX(Applications!$K$5:$K$600,MATCH($B36,Applications!$X$5:$X$600,0))&amp;"",""))</f>
        <v>Rafael Ortiz</v>
      </c>
      <c r="L36" s="48" t="str">
        <f aca="false">IF($B36="","",IFERROR(INDEX(Applications!$P$5:$P$600,MATCH($B36,Applications!$X$5:$X$600,0)),""))</f>
        <v/>
      </c>
      <c r="M36" s="37" t="str">
        <f aca="false">IF($B36="","",IF(K36="","Assign a third reader",IF(ISNUMBER(L36),"Third read done","Waiting on third read")))</f>
        <v>Waiting on third read</v>
      </c>
    </row>
    <row r="37" customFormat="false" ht="15" hidden="false" customHeight="false" outlineLevel="0" collapsed="false">
      <c r="B37" s="37" t="n">
        <f aca="false">IF(33&lt;=COUNTIF(Applications!$O$5:$O$600,"Yes"),33,"")</f>
        <v>33</v>
      </c>
      <c r="C37" s="37" t="str">
        <f aca="false">IF($B37="","",IFERROR(INDEX(Applications!$A$5:$A$600,MATCH($B37,Applications!$X$5:$X$600,0))&amp;"",""))</f>
        <v>FA26-0223</v>
      </c>
      <c r="D37" s="37" t="str">
        <f aca="false">IF($B37="","",IFERROR(INDEX(Applications!$B$5:$B$600,MATCH($B37,Applications!$X$5:$X$600,0))&amp;"",""))</f>
        <v>Old Town Food Ventures</v>
      </c>
      <c r="E37" s="37" t="str">
        <f aca="false">IF($B37="","",IFERROR(INDEX(Applications!$C$5:$C$600,MATCH($B37,Applications!$X$5:$X$600,0))&amp;"",""))</f>
        <v>Kitchen to Career</v>
      </c>
      <c r="F37" s="37" t="str">
        <f aca="false">IF($B37="","",IFERROR(INDEX(Applications!$I$5:$I$600,MATCH($B37,Applications!$X$5:$X$600,0))&amp;"",""))</f>
        <v>Rafael Ortiz</v>
      </c>
      <c r="G37" s="48" t="n">
        <f aca="false">IF($B37="","",IFERROR(INDEX(Applications!$L$5:$L$600,MATCH($B37,Applications!$X$5:$X$600,0)),""))</f>
        <v>40</v>
      </c>
      <c r="H37" s="37" t="str">
        <f aca="false">IF($B37="","",IFERROR(INDEX(Applications!$J$5:$J$600,MATCH($B37,Applications!$X$5:$X$600,0))&amp;"",""))</f>
        <v>Alicia Moreno</v>
      </c>
      <c r="I37" s="48" t="n">
        <f aca="false">IF($B37="","",IFERROR(INDEX(Applications!$M$5:$M$600,MATCH($B37,Applications!$X$5:$X$600,0)),""))</f>
        <v>73</v>
      </c>
      <c r="J37" s="48" t="n">
        <f aca="false">IF($B37="","",IFERROR(INDEX(Applications!$N$5:$N$600,MATCH($B37,Applications!$X$5:$X$600,0)),""))</f>
        <v>33</v>
      </c>
      <c r="K37" s="37" t="str">
        <f aca="false">IF($B37="","",IFERROR(INDEX(Applications!$K$5:$K$600,MATCH($B37,Applications!$X$5:$X$600,0))&amp;"",""))</f>
        <v>Erin Walsh</v>
      </c>
      <c r="L37" s="48" t="n">
        <f aca="false">IF($B37="","",IFERROR(INDEX(Applications!$P$5:$P$600,MATCH($B37,Applications!$X$5:$X$600,0)),""))</f>
        <v>54</v>
      </c>
      <c r="M37" s="37" t="str">
        <f aca="false">IF($B37="","",IF(K37="","Assign a third reader",IF(ISNUMBER(L37),"Third read done","Waiting on third read")))</f>
        <v>Third read done</v>
      </c>
    </row>
    <row r="38" customFormat="false" ht="15" hidden="false" customHeight="false" outlineLevel="0" collapsed="false">
      <c r="B38" s="37" t="n">
        <f aca="false">IF(34&lt;=COUNTIF(Applications!$O$5:$O$600,"Yes"),34,"")</f>
        <v>34</v>
      </c>
      <c r="C38" s="37" t="str">
        <f aca="false">IF($B38="","",IFERROR(INDEX(Applications!$A$5:$A$600,MATCH($B38,Applications!$X$5:$X$600,0))&amp;"",""))</f>
        <v>FA26-0245</v>
      </c>
      <c r="D38" s="37" t="str">
        <f aca="false">IF($B38="","",IFERROR(INDEX(Applications!$B$5:$B$600,MATCH($B38,Applications!$X$5:$X$600,0))&amp;"",""))</f>
        <v>Louisville Schools Nutrition Fund</v>
      </c>
      <c r="E38" s="37" t="str">
        <f aca="false">IF($B38="","",IFERROR(INDEX(Applications!$C$5:$C$600,MATCH($B38,Applications!$X$5:$X$600,0))&amp;"",""))</f>
        <v>Neighborhood Tables</v>
      </c>
      <c r="F38" s="37" t="str">
        <f aca="false">IF($B38="","",IFERROR(INDEX(Applications!$I$5:$I$600,MATCH($B38,Applications!$X$5:$X$600,0))&amp;"",""))</f>
        <v>Rafael Ortiz</v>
      </c>
      <c r="G38" s="48" t="n">
        <f aca="false">IF($B38="","",IFERROR(INDEX(Applications!$L$5:$L$600,MATCH($B38,Applications!$X$5:$X$600,0)),""))</f>
        <v>62</v>
      </c>
      <c r="H38" s="37" t="str">
        <f aca="false">IF($B38="","",IFERROR(INDEX(Applications!$J$5:$J$600,MATCH($B38,Applications!$X$5:$X$600,0))&amp;"",""))</f>
        <v>Frank Delgado</v>
      </c>
      <c r="I38" s="48" t="n">
        <f aca="false">IF($B38="","",IFERROR(INDEX(Applications!$M$5:$M$600,MATCH($B38,Applications!$X$5:$X$600,0)),""))</f>
        <v>82</v>
      </c>
      <c r="J38" s="48" t="n">
        <f aca="false">IF($B38="","",IFERROR(INDEX(Applications!$N$5:$N$600,MATCH($B38,Applications!$X$5:$X$600,0)),""))</f>
        <v>20</v>
      </c>
      <c r="K38" s="37" t="str">
        <f aca="false">IF($B38="","",IFERROR(INDEX(Applications!$K$5:$K$600,MATCH($B38,Applications!$X$5:$X$600,0))&amp;"",""))</f>
        <v>Ben Okafor</v>
      </c>
      <c r="L38" s="48" t="str">
        <f aca="false">IF($B38="","",IFERROR(INDEX(Applications!$P$5:$P$600,MATCH($B38,Applications!$X$5:$X$600,0)),""))</f>
        <v/>
      </c>
      <c r="M38" s="37" t="str">
        <f aca="false">IF($B38="","",IF(K38="","Assign a third reader",IF(ISNUMBER(L38),"Third read done","Waiting on third read")))</f>
        <v>Waiting on third read</v>
      </c>
    </row>
    <row r="39" customFormat="false" ht="15" hidden="false" customHeight="false" outlineLevel="0" collapsed="false">
      <c r="B39" s="37" t="n">
        <f aca="false">IF(35&lt;=COUNTIF(Applications!$O$5:$O$600,"Yes"),35,"")</f>
        <v>35</v>
      </c>
      <c r="C39" s="37" t="str">
        <f aca="false">IF($B39="","",IFERROR(INDEX(Applications!$A$5:$A$600,MATCH($B39,Applications!$X$5:$X$600,0))&amp;"",""))</f>
        <v>FA26-0253</v>
      </c>
      <c r="D39" s="37" t="str">
        <f aca="false">IF($B39="","",IFERROR(INDEX(Applications!$B$5:$B$600,MATCH($B39,Applications!$X$5:$X$600,0))&amp;"",""))</f>
        <v>Sunrise Community Pantry</v>
      </c>
      <c r="E39" s="37" t="str">
        <f aca="false">IF($B39="","",IFERROR(INDEX(Applications!$C$5:$C$600,MATCH($B39,Applications!$X$5:$X$600,0))&amp;"",""))</f>
        <v>Full Plate</v>
      </c>
      <c r="F39" s="37" t="str">
        <f aca="false">IF($B39="","",IFERROR(INDEX(Applications!$I$5:$I$600,MATCH($B39,Applications!$X$5:$X$600,0))&amp;"",""))</f>
        <v>Ben Okafor</v>
      </c>
      <c r="G39" s="48" t="n">
        <f aca="false">IF($B39="","",IFERROR(INDEX(Applications!$L$5:$L$600,MATCH($B39,Applications!$X$5:$X$600,0)),""))</f>
        <v>65</v>
      </c>
      <c r="H39" s="37" t="str">
        <f aca="false">IF($B39="","",IFERROR(INDEX(Applications!$J$5:$J$600,MATCH($B39,Applications!$X$5:$X$600,0))&amp;"",""))</f>
        <v>Erin Walsh</v>
      </c>
      <c r="I39" s="48" t="n">
        <f aca="false">IF($B39="","",IFERROR(INDEX(Applications!$M$5:$M$600,MATCH($B39,Applications!$X$5:$X$600,0)),""))</f>
        <v>84</v>
      </c>
      <c r="J39" s="48" t="n">
        <f aca="false">IF($B39="","",IFERROR(INDEX(Applications!$N$5:$N$600,MATCH($B39,Applications!$X$5:$X$600,0)),""))</f>
        <v>19</v>
      </c>
      <c r="K39" s="37" t="str">
        <f aca="false">IF($B39="","",IFERROR(INDEX(Applications!$K$5:$K$600,MATCH($B39,Applications!$X$5:$X$600,0))&amp;"",""))</f>
        <v>Alicia Moreno</v>
      </c>
      <c r="L39" s="48" t="n">
        <f aca="false">IF($B39="","",IFERROR(INDEX(Applications!$P$5:$P$600,MATCH($B39,Applications!$X$5:$X$600,0)),""))</f>
        <v>76</v>
      </c>
      <c r="M39" s="37" t="str">
        <f aca="false">IF($B39="","",IF(K39="","Assign a third reader",IF(ISNUMBER(L39),"Third read done","Waiting on third read")))</f>
        <v>Third read done</v>
      </c>
    </row>
    <row r="40" customFormat="false" ht="15" hidden="false" customHeight="false" outlineLevel="0" collapsed="false">
      <c r="B40" s="37" t="n">
        <f aca="false">IF(36&lt;=COUNTIF(Applications!$O$5:$O$600,"Yes"),36,"")</f>
        <v>36</v>
      </c>
      <c r="C40" s="37" t="str">
        <f aca="false">IF($B40="","",IFERROR(INDEX(Applications!$A$5:$A$600,MATCH($B40,Applications!$X$5:$X$600,0))&amp;"",""))</f>
        <v>FA26-0255</v>
      </c>
      <c r="D40" s="37" t="str">
        <f aca="false">IF($B40="","",IFERROR(INDEX(Applications!$B$5:$B$600,MATCH($B40,Applications!$X$5:$X$600,0))&amp;"",""))</f>
        <v>Toledo Food Bank</v>
      </c>
      <c r="E40" s="37" t="str">
        <f aca="false">IF($B40="","",IFERROR(INDEX(Applications!$C$5:$C$600,MATCH($B40,Applications!$X$5:$X$600,0))&amp;"",""))</f>
        <v>Full Plate</v>
      </c>
      <c r="F40" s="37" t="str">
        <f aca="false">IF($B40="","",IFERROR(INDEX(Applications!$I$5:$I$600,MATCH($B40,Applications!$X$5:$X$600,0))&amp;"",""))</f>
        <v>Grace Kim</v>
      </c>
      <c r="G40" s="48" t="n">
        <f aca="false">IF($B40="","",IFERROR(INDEX(Applications!$L$5:$L$600,MATCH($B40,Applications!$X$5:$X$600,0)),""))</f>
        <v>60</v>
      </c>
      <c r="H40" s="37" t="str">
        <f aca="false">IF($B40="","",IFERROR(INDEX(Applications!$J$5:$J$600,MATCH($B40,Applications!$X$5:$X$600,0))&amp;"",""))</f>
        <v>Rafael Ortiz</v>
      </c>
      <c r="I40" s="48" t="n">
        <f aca="false">IF($B40="","",IFERROR(INDEX(Applications!$M$5:$M$600,MATCH($B40,Applications!$X$5:$X$600,0)),""))</f>
        <v>37</v>
      </c>
      <c r="J40" s="48" t="n">
        <f aca="false">IF($B40="","",IFERROR(INDEX(Applications!$N$5:$N$600,MATCH($B40,Applications!$X$5:$X$600,0)),""))</f>
        <v>23</v>
      </c>
      <c r="K40" s="37" t="str">
        <f aca="false">IF($B40="","",IFERROR(INDEX(Applications!$K$5:$K$600,MATCH($B40,Applications!$X$5:$X$600,0))&amp;"",""))</f>
        <v>Erin Walsh</v>
      </c>
      <c r="L40" s="48" t="str">
        <f aca="false">IF($B40="","",IFERROR(INDEX(Applications!$P$5:$P$600,MATCH($B40,Applications!$X$5:$X$600,0)),""))</f>
        <v/>
      </c>
      <c r="M40" s="37" t="str">
        <f aca="false">IF($B40="","",IF(K40="","Assign a third reader",IF(ISNUMBER(L40),"Third read done","Waiting on third read")))</f>
        <v>Waiting on third read</v>
      </c>
    </row>
    <row r="41" customFormat="false" ht="15" hidden="false" customHeight="false" outlineLevel="0" collapsed="false">
      <c r="B41" s="37" t="n">
        <f aca="false">IF(37&lt;=COUNTIF(Applications!$O$5:$O$600,"Yes"),37,"")</f>
        <v>37</v>
      </c>
      <c r="C41" s="37" t="str">
        <f aca="false">IF($B41="","",IFERROR(INDEX(Applications!$A$5:$A$600,MATCH($B41,Applications!$X$5:$X$600,0))&amp;"",""))</f>
        <v>FA26-0264</v>
      </c>
      <c r="D41" s="37" t="str">
        <f aca="false">IF($B41="","",IFERROR(INDEX(Applications!$B$5:$B$600,MATCH($B41,Applications!$X$5:$X$600,0))&amp;"",""))</f>
        <v>Fresno Food Shelf</v>
      </c>
      <c r="E41" s="37" t="str">
        <f aca="false">IF($B41="","",IFERROR(INDEX(Applications!$C$5:$C$600,MATCH($B41,Applications!$X$5:$X$600,0))&amp;"",""))</f>
        <v>Full Plate</v>
      </c>
      <c r="F41" s="37" t="str">
        <f aca="false">IF($B41="","",IFERROR(INDEX(Applications!$I$5:$I$600,MATCH($B41,Applications!$X$5:$X$600,0))&amp;"",""))</f>
        <v>Alicia Moreno</v>
      </c>
      <c r="G41" s="48" t="n">
        <f aca="false">IF($B41="","",IFERROR(INDEX(Applications!$L$5:$L$600,MATCH($B41,Applications!$X$5:$X$600,0)),""))</f>
        <v>87</v>
      </c>
      <c r="H41" s="37" t="str">
        <f aca="false">IF($B41="","",IFERROR(INDEX(Applications!$J$5:$J$600,MATCH($B41,Applications!$X$5:$X$600,0))&amp;"",""))</f>
        <v>Ben Okafor</v>
      </c>
      <c r="I41" s="48" t="n">
        <f aca="false">IF($B41="","",IFERROR(INDEX(Applications!$M$5:$M$600,MATCH($B41,Applications!$X$5:$X$600,0)),""))</f>
        <v>56</v>
      </c>
      <c r="J41" s="48" t="n">
        <f aca="false">IF($B41="","",IFERROR(INDEX(Applications!$N$5:$N$600,MATCH($B41,Applications!$X$5:$X$600,0)),""))</f>
        <v>31</v>
      </c>
      <c r="K41" s="37" t="str">
        <f aca="false">IF($B41="","",IFERROR(INDEX(Applications!$K$5:$K$600,MATCH($B41,Applications!$X$5:$X$600,0))&amp;"",""))</f>
        <v>Grace Kim</v>
      </c>
      <c r="L41" s="48" t="str">
        <f aca="false">IF($B41="","",IFERROR(INDEX(Applications!$P$5:$P$600,MATCH($B41,Applications!$X$5:$X$600,0)),""))</f>
        <v/>
      </c>
      <c r="M41" s="37" t="str">
        <f aca="false">IF($B41="","",IF(K41="","Assign a third reader",IF(ISNUMBER(L41),"Third read done","Waiting on third read")))</f>
        <v>Waiting on third read</v>
      </c>
    </row>
    <row r="42" customFormat="false" ht="15" hidden="false" customHeight="false" outlineLevel="0" collapsed="false">
      <c r="B42" s="37" t="n">
        <f aca="false">IF(38&lt;=COUNTIF(Applications!$O$5:$O$600,"Yes"),38,"")</f>
        <v>38</v>
      </c>
      <c r="C42" s="37" t="str">
        <f aca="false">IF($B42="","",IFERROR(INDEX(Applications!$A$5:$A$600,MATCH($B42,Applications!$X$5:$X$600,0))&amp;"",""))</f>
        <v>FA26-0273</v>
      </c>
      <c r="D42" s="37" t="str">
        <f aca="false">IF($B42="","",IFERROR(INDEX(Applications!$B$5:$B$600,MATCH($B42,Applications!$X$5:$X$600,0))&amp;"",""))</f>
        <v>Juniper Community Kitchen</v>
      </c>
      <c r="E42" s="37" t="str">
        <f aca="false">IF($B42="","",IFERROR(INDEX(Applications!$C$5:$C$600,MATCH($B42,Applications!$X$5:$X$600,0))&amp;"",""))</f>
        <v>Neighborhood Tables</v>
      </c>
      <c r="F42" s="37" t="str">
        <f aca="false">IF($B42="","",IFERROR(INDEX(Applications!$I$5:$I$600,MATCH($B42,Applications!$X$5:$X$600,0))&amp;"",""))</f>
        <v>Rafael Ortiz</v>
      </c>
      <c r="G42" s="48" t="n">
        <f aca="false">IF($B42="","",IFERROR(INDEX(Applications!$L$5:$L$600,MATCH($B42,Applications!$X$5:$X$600,0)),""))</f>
        <v>60</v>
      </c>
      <c r="H42" s="37" t="str">
        <f aca="false">IF($B42="","",IFERROR(INDEX(Applications!$J$5:$J$600,MATCH($B42,Applications!$X$5:$X$600,0))&amp;"",""))</f>
        <v>Grace Kim</v>
      </c>
      <c r="I42" s="48" t="n">
        <f aca="false">IF($B42="","",IFERROR(INDEX(Applications!$M$5:$M$600,MATCH($B42,Applications!$X$5:$X$600,0)),""))</f>
        <v>92</v>
      </c>
      <c r="J42" s="48" t="n">
        <f aca="false">IF($B42="","",IFERROR(INDEX(Applications!$N$5:$N$600,MATCH($B42,Applications!$X$5:$X$600,0)),""))</f>
        <v>32</v>
      </c>
      <c r="K42" s="37" t="str">
        <f aca="false">IF($B42="","",IFERROR(INDEX(Applications!$K$5:$K$600,MATCH($B42,Applications!$X$5:$X$600,0))&amp;"",""))</f>
        <v>Alicia Moreno</v>
      </c>
      <c r="L42" s="48" t="str">
        <f aca="false">IF($B42="","",IFERROR(INDEX(Applications!$P$5:$P$600,MATCH($B42,Applications!$X$5:$X$600,0)),""))</f>
        <v/>
      </c>
      <c r="M42" s="37" t="str">
        <f aca="false">IF($B42="","",IF(K42="","Assign a third reader",IF(ISNUMBER(L42),"Third read done","Waiting on third read")))</f>
        <v>Waiting on third read</v>
      </c>
    </row>
    <row r="43" customFormat="false" ht="15" hidden="false" customHeight="false" outlineLevel="0" collapsed="false">
      <c r="B43" s="37" t="n">
        <f aca="false">IF(39&lt;=COUNTIF(Applications!$O$5:$O$600,"Yes"),39,"")</f>
        <v>39</v>
      </c>
      <c r="C43" s="37" t="str">
        <f aca="false">IF($B43="","",IFERROR(INDEX(Applications!$A$5:$A$600,MATCH($B43,Applications!$X$5:$X$600,0))&amp;"",""))</f>
        <v>FA26-0275</v>
      </c>
      <c r="D43" s="37" t="str">
        <f aca="false">IF($B43="","",IFERROR(INDEX(Applications!$B$5:$B$600,MATCH($B43,Applications!$X$5:$X$600,0))&amp;"",""))</f>
        <v>Galway Bakery Collective</v>
      </c>
      <c r="E43" s="37" t="str">
        <f aca="false">IF($B43="","",IFERROR(INDEX(Applications!$C$5:$C$600,MATCH($B43,Applications!$X$5:$X$600,0))&amp;"",""))</f>
        <v>Kitchen to Career</v>
      </c>
      <c r="F43" s="37" t="str">
        <f aca="false">IF($B43="","",IFERROR(INDEX(Applications!$I$5:$I$600,MATCH($B43,Applications!$X$5:$X$600,0))&amp;"",""))</f>
        <v>Rafael Ortiz</v>
      </c>
      <c r="G43" s="48" t="n">
        <f aca="false">IF($B43="","",IFERROR(INDEX(Applications!$L$5:$L$600,MATCH($B43,Applications!$X$5:$X$600,0)),""))</f>
        <v>62</v>
      </c>
      <c r="H43" s="37" t="str">
        <f aca="false">IF($B43="","",IFERROR(INDEX(Applications!$J$5:$J$600,MATCH($B43,Applications!$X$5:$X$600,0))&amp;"",""))</f>
        <v>Alicia Moreno</v>
      </c>
      <c r="I43" s="48" t="n">
        <f aca="false">IF($B43="","",IFERROR(INDEX(Applications!$M$5:$M$600,MATCH($B43,Applications!$X$5:$X$600,0)),""))</f>
        <v>85</v>
      </c>
      <c r="J43" s="48" t="n">
        <f aca="false">IF($B43="","",IFERROR(INDEX(Applications!$N$5:$N$600,MATCH($B43,Applications!$X$5:$X$600,0)),""))</f>
        <v>23</v>
      </c>
      <c r="K43" s="37" t="str">
        <f aca="false">IF($B43="","",IFERROR(INDEX(Applications!$K$5:$K$600,MATCH($B43,Applications!$X$5:$X$600,0))&amp;"",""))</f>
        <v>Ben Okafor</v>
      </c>
      <c r="L43" s="48" t="n">
        <f aca="false">IF($B43="","",IFERROR(INDEX(Applications!$P$5:$P$600,MATCH($B43,Applications!$X$5:$X$600,0)),""))</f>
        <v>78</v>
      </c>
      <c r="M43" s="37" t="str">
        <f aca="false">IF($B43="","",IF(K43="","Assign a third reader",IF(ISNUMBER(L43),"Third read done","Waiting on third read")))</f>
        <v>Third read done</v>
      </c>
    </row>
    <row r="44" customFormat="false" ht="15" hidden="false" customHeight="false" outlineLevel="0" collapsed="false">
      <c r="B44" s="37" t="n">
        <f aca="false">IF(40&lt;=COUNTIF(Applications!$O$5:$O$600,"Yes"),40,"")</f>
        <v>40</v>
      </c>
      <c r="C44" s="37" t="str">
        <f aca="false">IF($B44="","",IFERROR(INDEX(Applications!$A$5:$A$600,MATCH($B44,Applications!$X$5:$X$600,0))&amp;"",""))</f>
        <v>FA26-0287</v>
      </c>
      <c r="D44" s="37" t="str">
        <f aca="false">IF($B44="","",IFERROR(INDEX(Applications!$B$5:$B$600,MATCH($B44,Applications!$X$5:$X$600,0))&amp;"",""))</f>
        <v>Parkside Bakery Collective</v>
      </c>
      <c r="E44" s="37" t="str">
        <f aca="false">IF($B44="","",IFERROR(INDEX(Applications!$C$5:$C$600,MATCH($B44,Applications!$X$5:$X$600,0))&amp;"",""))</f>
        <v>Kitchen to Career</v>
      </c>
      <c r="F44" s="37" t="str">
        <f aca="false">IF($B44="","",IFERROR(INDEX(Applications!$I$5:$I$600,MATCH($B44,Applications!$X$5:$X$600,0))&amp;"",""))</f>
        <v>Frank Delgado</v>
      </c>
      <c r="G44" s="48" t="n">
        <f aca="false">IF($B44="","",IFERROR(INDEX(Applications!$L$5:$L$600,MATCH($B44,Applications!$X$5:$X$600,0)),""))</f>
        <v>53</v>
      </c>
      <c r="H44" s="37" t="str">
        <f aca="false">IF($B44="","",IFERROR(INDEX(Applications!$J$5:$J$600,MATCH($B44,Applications!$X$5:$X$600,0))&amp;"",""))</f>
        <v>Rafael Ortiz</v>
      </c>
      <c r="I44" s="48" t="n">
        <f aca="false">IF($B44="","",IFERROR(INDEX(Applications!$M$5:$M$600,MATCH($B44,Applications!$X$5:$X$600,0)),""))</f>
        <v>35</v>
      </c>
      <c r="J44" s="48" t="n">
        <f aca="false">IF($B44="","",IFERROR(INDEX(Applications!$N$5:$N$600,MATCH($B44,Applications!$X$5:$X$600,0)),""))</f>
        <v>18</v>
      </c>
      <c r="K44" s="37" t="str">
        <f aca="false">IF($B44="","",IFERROR(INDEX(Applications!$K$5:$K$600,MATCH($B44,Applications!$X$5:$X$600,0))&amp;"",""))</f>
        <v>Ben Okafor</v>
      </c>
      <c r="L44" s="48" t="n">
        <f aca="false">IF($B44="","",IFERROR(INDEX(Applications!$P$5:$P$600,MATCH($B44,Applications!$X$5:$X$600,0)),""))</f>
        <v>51</v>
      </c>
      <c r="M44" s="37" t="str">
        <f aca="false">IF($B44="","",IF(K44="","Assign a third reader",IF(ISNUMBER(L44),"Third read done","Waiting on third read")))</f>
        <v>Third read done</v>
      </c>
    </row>
    <row r="45" customFormat="false" ht="15" hidden="false" customHeight="false" outlineLevel="0" collapsed="false">
      <c r="B45" s="37" t="n">
        <f aca="false">IF(41&lt;=COUNTIF(Applications!$O$5:$O$600,"Yes"),41,"")</f>
        <v>41</v>
      </c>
      <c r="C45" s="37" t="str">
        <f aca="false">IF($B45="","",IFERROR(INDEX(Applications!$A$5:$A$600,MATCH($B45,Applications!$X$5:$X$600,0))&amp;"",""))</f>
        <v>FA26-0291</v>
      </c>
      <c r="D45" s="37" t="str">
        <f aca="false">IF($B45="","",IFERROR(INDEX(Applications!$B$5:$B$600,MATCH($B45,Applications!$X$5:$X$600,0))&amp;"",""))</f>
        <v>Juniper Culinary Works</v>
      </c>
      <c r="E45" s="37" t="str">
        <f aca="false">IF($B45="","",IFERROR(INDEX(Applications!$C$5:$C$600,MATCH($B45,Applications!$X$5:$X$600,0))&amp;"",""))</f>
        <v>Kitchen to Career</v>
      </c>
      <c r="F45" s="37" t="str">
        <f aca="false">IF($B45="","",IFERROR(INDEX(Applications!$I$5:$I$600,MATCH($B45,Applications!$X$5:$X$600,0))&amp;"",""))</f>
        <v>Grace Kim</v>
      </c>
      <c r="G45" s="48" t="n">
        <f aca="false">IF($B45="","",IFERROR(INDEX(Applications!$L$5:$L$600,MATCH($B45,Applications!$X$5:$X$600,0)),""))</f>
        <v>73</v>
      </c>
      <c r="H45" s="37" t="str">
        <f aca="false">IF($B45="","",IFERROR(INDEX(Applications!$J$5:$J$600,MATCH($B45,Applications!$X$5:$X$600,0))&amp;"",""))</f>
        <v>Frank Delgado</v>
      </c>
      <c r="I45" s="48" t="n">
        <f aca="false">IF($B45="","",IFERROR(INDEX(Applications!$M$5:$M$600,MATCH($B45,Applications!$X$5:$X$600,0)),""))</f>
        <v>91</v>
      </c>
      <c r="J45" s="48" t="n">
        <f aca="false">IF($B45="","",IFERROR(INDEX(Applications!$N$5:$N$600,MATCH($B45,Applications!$X$5:$X$600,0)),""))</f>
        <v>18</v>
      </c>
      <c r="K45" s="37" t="str">
        <f aca="false">IF($B45="","",IFERROR(INDEX(Applications!$K$5:$K$600,MATCH($B45,Applications!$X$5:$X$600,0))&amp;"",""))</f>
        <v>Rafael Ortiz</v>
      </c>
      <c r="L45" s="48" t="n">
        <f aca="false">IF($B45="","",IFERROR(INDEX(Applications!$P$5:$P$600,MATCH($B45,Applications!$X$5:$X$600,0)),""))</f>
        <v>69</v>
      </c>
      <c r="M45" s="37" t="str">
        <f aca="false">IF($B45="","",IF(K45="","Assign a third reader",IF(ISNUMBER(L45),"Third read done","Waiting on third read")))</f>
        <v>Third read done</v>
      </c>
    </row>
    <row r="46" customFormat="false" ht="15" hidden="false" customHeight="false" outlineLevel="0" collapsed="false">
      <c r="B46" s="37" t="n">
        <f aca="false">IF(42&lt;=COUNTIF(Applications!$O$5:$O$600,"Yes"),42,"")</f>
        <v>42</v>
      </c>
      <c r="C46" s="37" t="str">
        <f aca="false">IF($B46="","",IFERROR(INDEX(Applications!$A$5:$A$600,MATCH($B46,Applications!$X$5:$X$600,0))&amp;"",""))</f>
        <v>FA26-0296</v>
      </c>
      <c r="D46" s="37" t="str">
        <f aca="false">IF($B46="","",IFERROR(INDEX(Applications!$B$5:$B$600,MATCH($B46,Applications!$X$5:$X$600,0))&amp;"",""))</f>
        <v>Old Town Meals Project</v>
      </c>
      <c r="E46" s="37" t="str">
        <f aca="false">IF($B46="","",IFERROR(INDEX(Applications!$C$5:$C$600,MATCH($B46,Applications!$X$5:$X$600,0))&amp;"",""))</f>
        <v>Neighborhood Tables</v>
      </c>
      <c r="F46" s="37" t="str">
        <f aca="false">IF($B46="","",IFERROR(INDEX(Applications!$I$5:$I$600,MATCH($B46,Applications!$X$5:$X$600,0))&amp;"",""))</f>
        <v>Rafael Ortiz</v>
      </c>
      <c r="G46" s="48" t="n">
        <f aca="false">IF($B46="","",IFERROR(INDEX(Applications!$L$5:$L$600,MATCH($B46,Applications!$X$5:$X$600,0)),""))</f>
        <v>48</v>
      </c>
      <c r="H46" s="37" t="str">
        <f aca="false">IF($B46="","",IFERROR(INDEX(Applications!$J$5:$J$600,MATCH($B46,Applications!$X$5:$X$600,0))&amp;"",""))</f>
        <v>Ben Okafor</v>
      </c>
      <c r="I46" s="48" t="n">
        <f aca="false">IF($B46="","",IFERROR(INDEX(Applications!$M$5:$M$600,MATCH($B46,Applications!$X$5:$X$600,0)),""))</f>
        <v>20</v>
      </c>
      <c r="J46" s="48" t="n">
        <f aca="false">IF($B46="","",IFERROR(INDEX(Applications!$N$5:$N$600,MATCH($B46,Applications!$X$5:$X$600,0)),""))</f>
        <v>28</v>
      </c>
      <c r="K46" s="37" t="str">
        <f aca="false">IF($B46="","",IFERROR(INDEX(Applications!$K$5:$K$600,MATCH($B46,Applications!$X$5:$X$600,0))&amp;"",""))</f>
        <v>Grace Kim</v>
      </c>
      <c r="L46" s="48" t="n">
        <f aca="false">IF($B46="","",IFERROR(INDEX(Applications!$P$5:$P$600,MATCH($B46,Applications!$X$5:$X$600,0)),""))</f>
        <v>45</v>
      </c>
      <c r="M46" s="37" t="str">
        <f aca="false">IF($B46="","",IF(K46="","Assign a third reader",IF(ISNUMBER(L46),"Third read done","Waiting on third read")))</f>
        <v>Third read done</v>
      </c>
    </row>
    <row r="47" customFormat="false" ht="15" hidden="false" customHeight="false" outlineLevel="0" collapsed="false">
      <c r="B47" s="37" t="n">
        <f aca="false">IF(43&lt;=COUNTIF(Applications!$O$5:$O$600,"Yes"),43,"")</f>
        <v>43</v>
      </c>
      <c r="C47" s="37" t="str">
        <f aca="false">IF($B47="","",IFERROR(INDEX(Applications!$A$5:$A$600,MATCH($B47,Applications!$X$5:$X$600,0))&amp;"",""))</f>
        <v>FA26-0318</v>
      </c>
      <c r="D47" s="37" t="str">
        <f aca="false">IF($B47="","",IFERROR(INDEX(Applications!$B$5:$B$600,MATCH($B47,Applications!$X$5:$X$600,0))&amp;"",""))</f>
        <v>Halifax Market Gardens</v>
      </c>
      <c r="E47" s="37" t="str">
        <f aca="false">IF($B47="","",IFERROR(INDEX(Applications!$C$5:$C$600,MATCH($B47,Applications!$X$5:$X$600,0))&amp;"",""))</f>
        <v>Growing Roots</v>
      </c>
      <c r="F47" s="37" t="str">
        <f aca="false">IF($B47="","",IFERROR(INDEX(Applications!$I$5:$I$600,MATCH($B47,Applications!$X$5:$X$600,0))&amp;"",""))</f>
        <v>Alicia Moreno</v>
      </c>
      <c r="G47" s="48" t="n">
        <f aca="false">IF($B47="","",IFERROR(INDEX(Applications!$L$5:$L$600,MATCH($B47,Applications!$X$5:$X$600,0)),""))</f>
        <v>87</v>
      </c>
      <c r="H47" s="37" t="str">
        <f aca="false">IF($B47="","",IFERROR(INDEX(Applications!$J$5:$J$600,MATCH($B47,Applications!$X$5:$X$600,0))&amp;"",""))</f>
        <v>Frank Delgado</v>
      </c>
      <c r="I47" s="48" t="n">
        <f aca="false">IF($B47="","",IFERROR(INDEX(Applications!$M$5:$M$600,MATCH($B47,Applications!$X$5:$X$600,0)),""))</f>
        <v>65</v>
      </c>
      <c r="J47" s="48" t="n">
        <f aca="false">IF($B47="","",IFERROR(INDEX(Applications!$N$5:$N$600,MATCH($B47,Applications!$X$5:$X$600,0)),""))</f>
        <v>22</v>
      </c>
      <c r="K47" s="37" t="str">
        <f aca="false">IF($B47="","",IFERROR(INDEX(Applications!$K$5:$K$600,MATCH($B47,Applications!$X$5:$X$600,0))&amp;"",""))</f>
        <v>Rafael Ortiz</v>
      </c>
      <c r="L47" s="48" t="n">
        <f aca="false">IF($B47="","",IFERROR(INDEX(Applications!$P$5:$P$600,MATCH($B47,Applications!$X$5:$X$600,0)),""))</f>
        <v>71</v>
      </c>
      <c r="M47" s="37" t="str">
        <f aca="false">IF($B47="","",IF(K47="","Assign a third reader",IF(ISNUMBER(L47),"Third read done","Waiting on third read")))</f>
        <v>Third read done</v>
      </c>
    </row>
    <row r="48" customFormat="false" ht="15" hidden="false" customHeight="false" outlineLevel="0" collapsed="false">
      <c r="B48" s="37" t="n">
        <f aca="false">IF(44&lt;=COUNTIF(Applications!$O$5:$O$600,"Yes"),44,"")</f>
        <v>44</v>
      </c>
      <c r="C48" s="37" t="str">
        <f aca="false">IF($B48="","",IFERROR(INDEX(Applications!$A$5:$A$600,MATCH($B48,Applications!$X$5:$X$600,0))&amp;"",""))</f>
        <v>FA26-0320</v>
      </c>
      <c r="D48" s="37" t="str">
        <f aca="false">IF($B48="","",IFERROR(INDEX(Applications!$B$5:$B$600,MATCH($B48,Applications!$X$5:$X$600,0))&amp;"",""))</f>
        <v>Cologne Meals Project</v>
      </c>
      <c r="E48" s="37" t="str">
        <f aca="false">IF($B48="","",IFERROR(INDEX(Applications!$C$5:$C$600,MATCH($B48,Applications!$X$5:$X$600,0))&amp;"",""))</f>
        <v>Neighborhood Tables</v>
      </c>
      <c r="F48" s="37" t="str">
        <f aca="false">IF($B48="","",IFERROR(INDEX(Applications!$I$5:$I$600,MATCH($B48,Applications!$X$5:$X$600,0))&amp;"",""))</f>
        <v>Grace Kim</v>
      </c>
      <c r="G48" s="48" t="n">
        <f aca="false">IF($B48="","",IFERROR(INDEX(Applications!$L$5:$L$600,MATCH($B48,Applications!$X$5:$X$600,0)),""))</f>
        <v>73</v>
      </c>
      <c r="H48" s="37" t="str">
        <f aca="false">IF($B48="","",IFERROR(INDEX(Applications!$J$5:$J$600,MATCH($B48,Applications!$X$5:$X$600,0))&amp;"",""))</f>
        <v>Erin Walsh</v>
      </c>
      <c r="I48" s="48" t="n">
        <f aca="false">IF($B48="","",IFERROR(INDEX(Applications!$M$5:$M$600,MATCH($B48,Applications!$X$5:$X$600,0)),""))</f>
        <v>100</v>
      </c>
      <c r="J48" s="48" t="n">
        <f aca="false">IF($B48="","",IFERROR(INDEX(Applications!$N$5:$N$600,MATCH($B48,Applications!$X$5:$X$600,0)),""))</f>
        <v>27</v>
      </c>
      <c r="K48" s="37" t="str">
        <f aca="false">IF($B48="","",IFERROR(INDEX(Applications!$K$5:$K$600,MATCH($B48,Applications!$X$5:$X$600,0))&amp;"",""))</f>
        <v>Alicia Moreno</v>
      </c>
      <c r="L48" s="48" t="str">
        <f aca="false">IF($B48="","",IFERROR(INDEX(Applications!$P$5:$P$600,MATCH($B48,Applications!$X$5:$X$600,0)),""))</f>
        <v/>
      </c>
      <c r="M48" s="37" t="str">
        <f aca="false">IF($B48="","",IF(K48="","Assign a third reader",IF(ISNUMBER(L48),"Third read done","Waiting on third read")))</f>
        <v>Waiting on third read</v>
      </c>
    </row>
    <row r="49" customFormat="false" ht="15" hidden="false" customHeight="false" outlineLevel="0" collapsed="false">
      <c r="B49" s="37" t="n">
        <f aca="false">IF(45&lt;=COUNTIF(Applications!$O$5:$O$600,"Yes"),45,"")</f>
        <v>45</v>
      </c>
      <c r="C49" s="37" t="str">
        <f aca="false">IF($B49="","",IFERROR(INDEX(Applications!$A$5:$A$600,MATCH($B49,Applications!$X$5:$X$600,0))&amp;"",""))</f>
        <v>FA26-0327</v>
      </c>
      <c r="D49" s="37" t="str">
        <f aca="false">IF($B49="","",IFERROR(INDEX(Applications!$B$5:$B$600,MATCH($B49,Applications!$X$5:$X$600,0))&amp;"",""))</f>
        <v>Canal Street Food Ventures</v>
      </c>
      <c r="E49" s="37" t="str">
        <f aca="false">IF($B49="","",IFERROR(INDEX(Applications!$C$5:$C$600,MATCH($B49,Applications!$X$5:$X$600,0))&amp;"",""))</f>
        <v>Kitchen to Career</v>
      </c>
      <c r="F49" s="37" t="str">
        <f aca="false">IF($B49="","",IFERROR(INDEX(Applications!$I$5:$I$600,MATCH($B49,Applications!$X$5:$X$600,0))&amp;"",""))</f>
        <v>Ben Okafor</v>
      </c>
      <c r="G49" s="48" t="n">
        <f aca="false">IF($B49="","",IFERROR(INDEX(Applications!$L$5:$L$600,MATCH($B49,Applications!$X$5:$X$600,0)),""))</f>
        <v>56</v>
      </c>
      <c r="H49" s="37" t="str">
        <f aca="false">IF($B49="","",IFERROR(INDEX(Applications!$J$5:$J$600,MATCH($B49,Applications!$X$5:$X$600,0))&amp;"",""))</f>
        <v>Frank Delgado</v>
      </c>
      <c r="I49" s="48" t="n">
        <f aca="false">IF($B49="","",IFERROR(INDEX(Applications!$M$5:$M$600,MATCH($B49,Applications!$X$5:$X$600,0)),""))</f>
        <v>83</v>
      </c>
      <c r="J49" s="48" t="n">
        <f aca="false">IF($B49="","",IFERROR(INDEX(Applications!$N$5:$N$600,MATCH($B49,Applications!$X$5:$X$600,0)),""))</f>
        <v>27</v>
      </c>
      <c r="K49" s="37" t="str">
        <f aca="false">IF($B49="","",IFERROR(INDEX(Applications!$K$5:$K$600,MATCH($B49,Applications!$X$5:$X$600,0))&amp;"",""))</f>
        <v>Erin Walsh</v>
      </c>
      <c r="L49" s="48" t="n">
        <f aca="false">IF($B49="","",IFERROR(INDEX(Applications!$P$5:$P$600,MATCH($B49,Applications!$X$5:$X$600,0)),""))</f>
        <v>68</v>
      </c>
      <c r="M49" s="37" t="str">
        <f aca="false">IF($B49="","",IF(K49="","Assign a third reader",IF(ISNUMBER(L49),"Third read done","Waiting on third read")))</f>
        <v>Third read done</v>
      </c>
    </row>
    <row r="50" customFormat="false" ht="15" hidden="false" customHeight="false" outlineLevel="0" collapsed="false">
      <c r="B50" s="37" t="n">
        <f aca="false">IF(46&lt;=COUNTIF(Applications!$O$5:$O$600,"Yes"),46,"")</f>
        <v>46</v>
      </c>
      <c r="C50" s="37" t="str">
        <f aca="false">IF($B50="","",IFERROR(INDEX(Applications!$A$5:$A$600,MATCH($B50,Applications!$X$5:$X$600,0))&amp;"",""))</f>
        <v>FA26-0329</v>
      </c>
      <c r="D50" s="37" t="str">
        <f aca="false">IF($B50="","",IFERROR(INDEX(Applications!$B$5:$B$600,MATCH($B50,Applications!$X$5:$X$600,0))&amp;"",""))</f>
        <v>Bridgeview Farm School</v>
      </c>
      <c r="E50" s="37" t="str">
        <f aca="false">IF($B50="","",IFERROR(INDEX(Applications!$C$5:$C$600,MATCH($B50,Applications!$X$5:$X$600,0))&amp;"",""))</f>
        <v>Growing Roots</v>
      </c>
      <c r="F50" s="37" t="str">
        <f aca="false">IF($B50="","",IFERROR(INDEX(Applications!$I$5:$I$600,MATCH($B50,Applications!$X$5:$X$600,0))&amp;"",""))</f>
        <v>Rafael Ortiz</v>
      </c>
      <c r="G50" s="48" t="n">
        <f aca="false">IF($B50="","",IFERROR(INDEX(Applications!$L$5:$L$600,MATCH($B50,Applications!$X$5:$X$600,0)),""))</f>
        <v>60</v>
      </c>
      <c r="H50" s="37" t="str">
        <f aca="false">IF($B50="","",IFERROR(INDEX(Applications!$J$5:$J$600,MATCH($B50,Applications!$X$5:$X$600,0))&amp;"",""))</f>
        <v>Alicia Moreno</v>
      </c>
      <c r="I50" s="48" t="n">
        <f aca="false">IF($B50="","",IFERROR(INDEX(Applications!$M$5:$M$600,MATCH($B50,Applications!$X$5:$X$600,0)),""))</f>
        <v>22</v>
      </c>
      <c r="J50" s="48" t="n">
        <f aca="false">IF($B50="","",IFERROR(INDEX(Applications!$N$5:$N$600,MATCH($B50,Applications!$X$5:$X$600,0)),""))</f>
        <v>38</v>
      </c>
      <c r="K50" s="37" t="str">
        <f aca="false">IF($B50="","",IFERROR(INDEX(Applications!$K$5:$K$600,MATCH($B50,Applications!$X$5:$X$600,0))&amp;"",""))</f>
        <v>Grace Kim</v>
      </c>
      <c r="L50" s="48" t="str">
        <f aca="false">IF($B50="","",IFERROR(INDEX(Applications!$P$5:$P$600,MATCH($B50,Applications!$X$5:$X$600,0)),""))</f>
        <v/>
      </c>
      <c r="M50" s="37" t="str">
        <f aca="false">IF($B50="","",IF(K50="","Assign a third reader",IF(ISNUMBER(L50),"Third read done","Waiting on third read")))</f>
        <v>Waiting on third read</v>
      </c>
    </row>
    <row r="51" customFormat="false" ht="15" hidden="false" customHeight="false" outlineLevel="0" collapsed="false">
      <c r="B51" s="37" t="n">
        <f aca="false">IF(47&lt;=COUNTIF(Applications!$O$5:$O$600,"Yes"),47,"")</f>
        <v>47</v>
      </c>
      <c r="C51" s="37" t="str">
        <f aca="false">IF($B51="","",IFERROR(INDEX(Applications!$A$5:$A$600,MATCH($B51,Applications!$X$5:$X$600,0))&amp;"",""))</f>
        <v>FA26-0364</v>
      </c>
      <c r="D51" s="37" t="str">
        <f aca="false">IF($B51="","",IFERROR(INDEX(Applications!$B$5:$B$600,MATCH($B51,Applications!$X$5:$X$600,0))&amp;"",""))</f>
        <v>Rotterdam Community Pantry</v>
      </c>
      <c r="E51" s="37" t="str">
        <f aca="false">IF($B51="","",IFERROR(INDEX(Applications!$C$5:$C$600,MATCH($B51,Applications!$X$5:$X$600,0))&amp;"",""))</f>
        <v>Full Plate</v>
      </c>
      <c r="F51" s="37" t="str">
        <f aca="false">IF($B51="","",IFERROR(INDEX(Applications!$I$5:$I$600,MATCH($B51,Applications!$X$5:$X$600,0))&amp;"",""))</f>
        <v>Ben Okafor</v>
      </c>
      <c r="G51" s="48" t="n">
        <f aca="false">IF($B51="","",IFERROR(INDEX(Applications!$L$5:$L$600,MATCH($B51,Applications!$X$5:$X$600,0)),""))</f>
        <v>56</v>
      </c>
      <c r="H51" s="37" t="str">
        <f aca="false">IF($B51="","",IFERROR(INDEX(Applications!$J$5:$J$600,MATCH($B51,Applications!$X$5:$X$600,0))&amp;"",""))</f>
        <v>Alicia Moreno</v>
      </c>
      <c r="I51" s="48" t="n">
        <f aca="false">IF($B51="","",IFERROR(INDEX(Applications!$M$5:$M$600,MATCH($B51,Applications!$X$5:$X$600,0)),""))</f>
        <v>20</v>
      </c>
      <c r="J51" s="48" t="n">
        <f aca="false">IF($B51="","",IFERROR(INDEX(Applications!$N$5:$N$600,MATCH($B51,Applications!$X$5:$X$600,0)),""))</f>
        <v>36</v>
      </c>
      <c r="K51" s="37" t="str">
        <f aca="false">IF($B51="","",IFERROR(INDEX(Applications!$K$5:$K$600,MATCH($B51,Applications!$X$5:$X$600,0))&amp;"",""))</f>
        <v>Rafael Ortiz</v>
      </c>
      <c r="L51" s="48" t="n">
        <f aca="false">IF($B51="","",IFERROR(INDEX(Applications!$P$5:$P$600,MATCH($B51,Applications!$X$5:$X$600,0)),""))</f>
        <v>60</v>
      </c>
      <c r="M51" s="37" t="str">
        <f aca="false">IF($B51="","",IF(K51="","Assign a third reader",IF(ISNUMBER(L51),"Third read done","Waiting on third read")))</f>
        <v>Third read done</v>
      </c>
    </row>
    <row r="52" customFormat="false" ht="15" hidden="false" customHeight="false" outlineLevel="0" collapsed="false">
      <c r="B52" s="37" t="n">
        <f aca="false">IF(48&lt;=COUNTIF(Applications!$O$5:$O$600,"Yes"),48,"")</f>
        <v>48</v>
      </c>
      <c r="C52" s="37" t="str">
        <f aca="false">IF($B52="","",IFERROR(INDEX(Applications!$A$5:$A$600,MATCH($B52,Applications!$X$5:$X$600,0))&amp;"",""))</f>
        <v>FA26-0367</v>
      </c>
      <c r="D52" s="37" t="str">
        <f aca="false">IF($B52="","",IFERROR(INDEX(Applications!$B$5:$B$600,MATCH($B52,Applications!$X$5:$X$600,0))&amp;"",""))</f>
        <v>Albany Cafe Training Program</v>
      </c>
      <c r="E52" s="37" t="str">
        <f aca="false">IF($B52="","",IFERROR(INDEX(Applications!$C$5:$C$600,MATCH($B52,Applications!$X$5:$X$600,0))&amp;"",""))</f>
        <v>Kitchen to Career</v>
      </c>
      <c r="F52" s="37" t="str">
        <f aca="false">IF($B52="","",IFERROR(INDEX(Applications!$I$5:$I$600,MATCH($B52,Applications!$X$5:$X$600,0))&amp;"",""))</f>
        <v>Grace Kim</v>
      </c>
      <c r="G52" s="48" t="n">
        <f aca="false">IF($B52="","",IFERROR(INDEX(Applications!$L$5:$L$600,MATCH($B52,Applications!$X$5:$X$600,0)),""))</f>
        <v>72</v>
      </c>
      <c r="H52" s="37" t="str">
        <f aca="false">IF($B52="","",IFERROR(INDEX(Applications!$J$5:$J$600,MATCH($B52,Applications!$X$5:$X$600,0))&amp;"",""))</f>
        <v>Rafael Ortiz</v>
      </c>
      <c r="I52" s="48" t="n">
        <f aca="false">IF($B52="","",IFERROR(INDEX(Applications!$M$5:$M$600,MATCH($B52,Applications!$X$5:$X$600,0)),""))</f>
        <v>91</v>
      </c>
      <c r="J52" s="48" t="n">
        <f aca="false">IF($B52="","",IFERROR(INDEX(Applications!$N$5:$N$600,MATCH($B52,Applications!$X$5:$X$600,0)),""))</f>
        <v>19</v>
      </c>
      <c r="K52" s="37" t="str">
        <f aca="false">IF($B52="","",IFERROR(INDEX(Applications!$K$5:$K$600,MATCH($B52,Applications!$X$5:$X$600,0))&amp;"",""))</f>
        <v>Alicia Moreno</v>
      </c>
      <c r="L52" s="48" t="n">
        <f aca="false">IF($B52="","",IFERROR(INDEX(Applications!$P$5:$P$600,MATCH($B52,Applications!$X$5:$X$600,0)),""))</f>
        <v>100</v>
      </c>
      <c r="M52" s="37" t="str">
        <f aca="false">IF($B52="","",IF(K52="","Assign a third reader",IF(ISNUMBER(L52),"Third read done","Waiting on third read")))</f>
        <v>Third read done</v>
      </c>
    </row>
    <row r="53" customFormat="false" ht="15" hidden="false" customHeight="false" outlineLevel="0" collapsed="false">
      <c r="B53" s="37" t="n">
        <f aca="false">IF(49&lt;=COUNTIF(Applications!$O$5:$O$600,"Yes"),49,"")</f>
        <v>49</v>
      </c>
      <c r="C53" s="37" t="str">
        <f aca="false">IF($B53="","",IFERROR(INDEX(Applications!$A$5:$A$600,MATCH($B53,Applications!$X$5:$X$600,0))&amp;"",""))</f>
        <v>FA26-0401</v>
      </c>
      <c r="D53" s="37" t="str">
        <f aca="false">IF($B53="","",IFERROR(INDEX(Applications!$B$5:$B$600,MATCH($B53,Applications!$X$5:$X$600,0))&amp;"",""))</f>
        <v>Sheffield Food Shelf</v>
      </c>
      <c r="E53" s="37" t="str">
        <f aca="false">IF($B53="","",IFERROR(INDEX(Applications!$C$5:$C$600,MATCH($B53,Applications!$X$5:$X$600,0))&amp;"",""))</f>
        <v>Full Plate</v>
      </c>
      <c r="F53" s="37" t="str">
        <f aca="false">IF($B53="","",IFERROR(INDEX(Applications!$I$5:$I$600,MATCH($B53,Applications!$X$5:$X$600,0))&amp;"",""))</f>
        <v>Erin Walsh</v>
      </c>
      <c r="G53" s="48" t="n">
        <f aca="false">IF($B53="","",IFERROR(INDEX(Applications!$L$5:$L$600,MATCH($B53,Applications!$X$5:$X$600,0)),""))</f>
        <v>64</v>
      </c>
      <c r="H53" s="37" t="str">
        <f aca="false">IF($B53="","",IFERROR(INDEX(Applications!$J$5:$J$600,MATCH($B53,Applications!$X$5:$X$600,0))&amp;"",""))</f>
        <v>Alicia Moreno</v>
      </c>
      <c r="I53" s="48" t="n">
        <f aca="false">IF($B53="","",IFERROR(INDEX(Applications!$M$5:$M$600,MATCH($B53,Applications!$X$5:$X$600,0)),""))</f>
        <v>45</v>
      </c>
      <c r="J53" s="48" t="n">
        <f aca="false">IF($B53="","",IFERROR(INDEX(Applications!$N$5:$N$600,MATCH($B53,Applications!$X$5:$X$600,0)),""))</f>
        <v>19</v>
      </c>
      <c r="K53" s="37" t="str">
        <f aca="false">IF($B53="","",IFERROR(INDEX(Applications!$K$5:$K$600,MATCH($B53,Applications!$X$5:$X$600,0))&amp;"",""))</f>
        <v>Ben Okafor</v>
      </c>
      <c r="L53" s="48" t="n">
        <f aca="false">IF($B53="","",IFERROR(INDEX(Applications!$P$5:$P$600,MATCH($B53,Applications!$X$5:$X$600,0)),""))</f>
        <v>54</v>
      </c>
      <c r="M53" s="37" t="str">
        <f aca="false">IF($B53="","",IF(K53="","Assign a third reader",IF(ISNUMBER(L53),"Third read done","Waiting on third read")))</f>
        <v>Third read done</v>
      </c>
    </row>
    <row r="54" customFormat="false" ht="15" hidden="false" customHeight="false" outlineLevel="0" collapsed="false">
      <c r="B54" s="37" t="n">
        <f aca="false">IF(50&lt;=COUNTIF(Applications!$O$5:$O$600,"Yes"),50,"")</f>
        <v>50</v>
      </c>
      <c r="C54" s="37" t="str">
        <f aca="false">IF($B54="","",IFERROR(INDEX(Applications!$A$5:$A$600,MATCH($B54,Applications!$X$5:$X$600,0))&amp;"",""))</f>
        <v>FA26-0405</v>
      </c>
      <c r="D54" s="37" t="str">
        <f aca="false">IF($B54="","",IFERROR(INDEX(Applications!$B$5:$B$600,MATCH($B54,Applications!$X$5:$X$600,0))&amp;"",""))</f>
        <v>Oak Hollow Food Ventures</v>
      </c>
      <c r="E54" s="37" t="str">
        <f aca="false">IF($B54="","",IFERROR(INDEX(Applications!$C$5:$C$600,MATCH($B54,Applications!$X$5:$X$600,0))&amp;"",""))</f>
        <v>Kitchen to Career</v>
      </c>
      <c r="F54" s="37" t="str">
        <f aca="false">IF($B54="","",IFERROR(INDEX(Applications!$I$5:$I$600,MATCH($B54,Applications!$X$5:$X$600,0))&amp;"",""))</f>
        <v>Frank Delgado</v>
      </c>
      <c r="G54" s="48" t="n">
        <f aca="false">IF($B54="","",IFERROR(INDEX(Applications!$L$5:$L$600,MATCH($B54,Applications!$X$5:$X$600,0)),""))</f>
        <v>98</v>
      </c>
      <c r="H54" s="37" t="str">
        <f aca="false">IF($B54="","",IFERROR(INDEX(Applications!$J$5:$J$600,MATCH($B54,Applications!$X$5:$X$600,0))&amp;"",""))</f>
        <v>Ben Okafor</v>
      </c>
      <c r="I54" s="48" t="n">
        <f aca="false">IF($B54="","",IFERROR(INDEX(Applications!$M$5:$M$600,MATCH($B54,Applications!$X$5:$X$600,0)),""))</f>
        <v>76</v>
      </c>
      <c r="J54" s="48" t="n">
        <f aca="false">IF($B54="","",IFERROR(INDEX(Applications!$N$5:$N$600,MATCH($B54,Applications!$X$5:$X$600,0)),""))</f>
        <v>22</v>
      </c>
      <c r="K54" s="37" t="str">
        <f aca="false">IF($B54="","",IFERROR(INDEX(Applications!$K$5:$K$600,MATCH($B54,Applications!$X$5:$X$600,0))&amp;"",""))</f>
        <v>Erin Walsh</v>
      </c>
      <c r="L54" s="48" t="n">
        <f aca="false">IF($B54="","",IFERROR(INDEX(Applications!$P$5:$P$600,MATCH($B54,Applications!$X$5:$X$600,0)),""))</f>
        <v>80</v>
      </c>
      <c r="M54" s="37" t="str">
        <f aca="false">IF($B54="","",IF(K54="","Assign a third reader",IF(ISNUMBER(L54),"Third read done","Waiting on third read")))</f>
        <v>Third read done</v>
      </c>
    </row>
    <row r="55" customFormat="false" ht="15" hidden="false" customHeight="false" outlineLevel="0" collapsed="false">
      <c r="B55" s="37" t="n">
        <f aca="false">IF(51&lt;=COUNTIF(Applications!$O$5:$O$600,"Yes"),51,"")</f>
        <v>51</v>
      </c>
      <c r="C55" s="37" t="str">
        <f aca="false">IF($B55="","",IFERROR(INDEX(Applications!$A$5:$A$600,MATCH($B55,Applications!$X$5:$X$600,0))&amp;"",""))</f>
        <v>FA26-0416</v>
      </c>
      <c r="D55" s="37" t="str">
        <f aca="false">IF($B55="","",IFERROR(INDEX(Applications!$B$5:$B$600,MATCH($B55,Applications!$X$5:$X$600,0))&amp;"",""))</f>
        <v>Canal Street Food Bank</v>
      </c>
      <c r="E55" s="37" t="str">
        <f aca="false">IF($B55="","",IFERROR(INDEX(Applications!$C$5:$C$600,MATCH($B55,Applications!$X$5:$X$600,0))&amp;"",""))</f>
        <v>Full Plate</v>
      </c>
      <c r="F55" s="37" t="str">
        <f aca="false">IF($B55="","",IFERROR(INDEX(Applications!$I$5:$I$600,MATCH($B55,Applications!$X$5:$X$600,0))&amp;"",""))</f>
        <v>Ben Okafor</v>
      </c>
      <c r="G55" s="48" t="n">
        <f aca="false">IF($B55="","",IFERROR(INDEX(Applications!$L$5:$L$600,MATCH($B55,Applications!$X$5:$X$600,0)),""))</f>
        <v>22</v>
      </c>
      <c r="H55" s="37" t="str">
        <f aca="false">IF($B55="","",IFERROR(INDEX(Applications!$J$5:$J$600,MATCH($B55,Applications!$X$5:$X$600,0))&amp;"",""))</f>
        <v>Rafael Ortiz</v>
      </c>
      <c r="I55" s="48" t="n">
        <f aca="false">IF($B55="","",IFERROR(INDEX(Applications!$M$5:$M$600,MATCH($B55,Applications!$X$5:$X$600,0)),""))</f>
        <v>42</v>
      </c>
      <c r="J55" s="48" t="n">
        <f aca="false">IF($B55="","",IFERROR(INDEX(Applications!$N$5:$N$600,MATCH($B55,Applications!$X$5:$X$600,0)),""))</f>
        <v>20</v>
      </c>
      <c r="K55" s="37" t="str">
        <f aca="false">IF($B55="","",IFERROR(INDEX(Applications!$K$5:$K$600,MATCH($B55,Applications!$X$5:$X$600,0))&amp;"",""))</f>
        <v>Alicia Moreno</v>
      </c>
      <c r="L55" s="48" t="str">
        <f aca="false">IF($B55="","",IFERROR(INDEX(Applications!$P$5:$P$600,MATCH($B55,Applications!$X$5:$X$600,0)),""))</f>
        <v/>
      </c>
      <c r="M55" s="37" t="str">
        <f aca="false">IF($B55="","",IF(K55="","Assign a third reader",IF(ISNUMBER(L55),"Third read done","Waiting on third read")))</f>
        <v>Waiting on third read</v>
      </c>
    </row>
    <row r="56" customFormat="false" ht="15" hidden="false" customHeight="false" outlineLevel="0" collapsed="false">
      <c r="B56" s="37" t="n">
        <f aca="false">IF(52&lt;=COUNTIF(Applications!$O$5:$O$600,"Yes"),52,"")</f>
        <v>52</v>
      </c>
      <c r="C56" s="37" t="str">
        <f aca="false">IF($B56="","",IFERROR(INDEX(Applications!$A$5:$A$600,MATCH($B56,Applications!$X$5:$X$600,0))&amp;"",""))</f>
        <v>FA26-0420</v>
      </c>
      <c r="D56" s="37" t="str">
        <f aca="false">IF($B56="","",IFERROR(INDEX(Applications!$B$5:$B$600,MATCH($B56,Applications!$X$5:$X$600,0))&amp;"",""))</f>
        <v>Valley Bakery Collective</v>
      </c>
      <c r="E56" s="37" t="str">
        <f aca="false">IF($B56="","",IFERROR(INDEX(Applications!$C$5:$C$600,MATCH($B56,Applications!$X$5:$X$600,0))&amp;"",""))</f>
        <v>Kitchen to Career</v>
      </c>
      <c r="F56" s="37" t="str">
        <f aca="false">IF($B56="","",IFERROR(INDEX(Applications!$I$5:$I$600,MATCH($B56,Applications!$X$5:$X$600,0))&amp;"",""))</f>
        <v>Erin Walsh</v>
      </c>
      <c r="G56" s="48" t="n">
        <f aca="false">IF($B56="","",IFERROR(INDEX(Applications!$L$5:$L$600,MATCH($B56,Applications!$X$5:$X$600,0)),""))</f>
        <v>41</v>
      </c>
      <c r="H56" s="37" t="str">
        <f aca="false">IF($B56="","",IFERROR(INDEX(Applications!$J$5:$J$600,MATCH($B56,Applications!$X$5:$X$600,0))&amp;"",""))</f>
        <v>Alicia Moreno</v>
      </c>
      <c r="I56" s="48" t="n">
        <f aca="false">IF($B56="","",IFERROR(INDEX(Applications!$M$5:$M$600,MATCH($B56,Applications!$X$5:$X$600,0)),""))</f>
        <v>59</v>
      </c>
      <c r="J56" s="48" t="n">
        <f aca="false">IF($B56="","",IFERROR(INDEX(Applications!$N$5:$N$600,MATCH($B56,Applications!$X$5:$X$600,0)),""))</f>
        <v>18</v>
      </c>
      <c r="K56" s="37" t="str">
        <f aca="false">IF($B56="","",IFERROR(INDEX(Applications!$K$5:$K$600,MATCH($B56,Applications!$X$5:$X$600,0))&amp;"",""))</f>
        <v>Rafael Ortiz</v>
      </c>
      <c r="L56" s="48" t="n">
        <f aca="false">IF($B56="","",IFERROR(INDEX(Applications!$P$5:$P$600,MATCH($B56,Applications!$X$5:$X$600,0)),""))</f>
        <v>51</v>
      </c>
      <c r="M56" s="37" t="str">
        <f aca="false">IF($B56="","",IF(K56="","Assign a third reader",IF(ISNUMBER(L56),"Third read done","Waiting on third read")))</f>
        <v>Third read done</v>
      </c>
    </row>
    <row r="57" customFormat="false" ht="15" hidden="false" customHeight="false" outlineLevel="0" collapsed="false">
      <c r="B57" s="37" t="n">
        <f aca="false">IF(53&lt;=COUNTIF(Applications!$O$5:$O$600,"Yes"),53,"")</f>
        <v>53</v>
      </c>
      <c r="C57" s="37" t="str">
        <f aca="false">IF($B57="","",IFERROR(INDEX(Applications!$A$5:$A$600,MATCH($B57,Applications!$X$5:$X$600,0))&amp;"",""))</f>
        <v>FA26-0435</v>
      </c>
      <c r="D57" s="37" t="str">
        <f aca="false">IF($B57="","",IFERROR(INDEX(Applications!$B$5:$B$600,MATCH($B57,Applications!$X$5:$X$600,0))&amp;"",""))</f>
        <v>Greenway Family Center</v>
      </c>
      <c r="E57" s="37" t="str">
        <f aca="false">IF($B57="","",IFERROR(INDEX(Applications!$C$5:$C$600,MATCH($B57,Applications!$X$5:$X$600,0))&amp;"",""))</f>
        <v>Neighborhood Tables</v>
      </c>
      <c r="F57" s="37" t="str">
        <f aca="false">IF($B57="","",IFERROR(INDEX(Applications!$I$5:$I$600,MATCH($B57,Applications!$X$5:$X$600,0))&amp;"",""))</f>
        <v>Rafael Ortiz</v>
      </c>
      <c r="G57" s="48" t="n">
        <f aca="false">IF($B57="","",IFERROR(INDEX(Applications!$L$5:$L$600,MATCH($B57,Applications!$X$5:$X$600,0)),""))</f>
        <v>91</v>
      </c>
      <c r="H57" s="37" t="str">
        <f aca="false">IF($B57="","",IFERROR(INDEX(Applications!$J$5:$J$600,MATCH($B57,Applications!$X$5:$X$600,0))&amp;"",""))</f>
        <v>Frank Delgado</v>
      </c>
      <c r="I57" s="48" t="n">
        <f aca="false">IF($B57="","",IFERROR(INDEX(Applications!$M$5:$M$600,MATCH($B57,Applications!$X$5:$X$600,0)),""))</f>
        <v>51</v>
      </c>
      <c r="J57" s="48" t="n">
        <f aca="false">IF($B57="","",IFERROR(INDEX(Applications!$N$5:$N$600,MATCH($B57,Applications!$X$5:$X$600,0)),""))</f>
        <v>40</v>
      </c>
      <c r="K57" s="37" t="str">
        <f aca="false">IF($B57="","",IFERROR(INDEX(Applications!$K$5:$K$600,MATCH($B57,Applications!$X$5:$X$600,0))&amp;"",""))</f>
        <v>Grace Kim</v>
      </c>
      <c r="L57" s="48" t="str">
        <f aca="false">IF($B57="","",IFERROR(INDEX(Applications!$P$5:$P$600,MATCH($B57,Applications!$X$5:$X$600,0)),""))</f>
        <v/>
      </c>
      <c r="M57" s="37" t="str">
        <f aca="false">IF($B57="","",IF(K57="","Assign a third reader",IF(ISNUMBER(L57),"Third read done","Waiting on third read")))</f>
        <v>Waiting on third read</v>
      </c>
    </row>
    <row r="58" customFormat="false" ht="15" hidden="false" customHeight="false" outlineLevel="0" collapsed="false">
      <c r="B58" s="37" t="n">
        <f aca="false">IF(54&lt;=COUNTIF(Applications!$O$5:$O$600,"Yes"),54,"")</f>
        <v>54</v>
      </c>
      <c r="C58" s="37" t="str">
        <f aca="false">IF($B58="","",IFERROR(INDEX(Applications!$A$5:$A$600,MATCH($B58,Applications!$X$5:$X$600,0))&amp;"",""))</f>
        <v>FA26-0439</v>
      </c>
      <c r="D58" s="37" t="str">
        <f aca="false">IF($B58="","",IFERROR(INDEX(Applications!$B$5:$B$600,MATCH($B58,Applications!$X$5:$X$600,0))&amp;"",""))</f>
        <v>Kestrel Kitchen Project</v>
      </c>
      <c r="E58" s="37" t="str">
        <f aca="false">IF($B58="","",IFERROR(INDEX(Applications!$C$5:$C$600,MATCH($B58,Applications!$X$5:$X$600,0))&amp;"",""))</f>
        <v>Kitchen to Career</v>
      </c>
      <c r="F58" s="37" t="str">
        <f aca="false">IF($B58="","",IFERROR(INDEX(Applications!$I$5:$I$600,MATCH($B58,Applications!$X$5:$X$600,0))&amp;"",""))</f>
        <v>Ben Okafor</v>
      </c>
      <c r="G58" s="48" t="n">
        <f aca="false">IF($B58="","",IFERROR(INDEX(Applications!$L$5:$L$600,MATCH($B58,Applications!$X$5:$X$600,0)),""))</f>
        <v>66</v>
      </c>
      <c r="H58" s="37" t="str">
        <f aca="false">IF($B58="","",IFERROR(INDEX(Applications!$J$5:$J$600,MATCH($B58,Applications!$X$5:$X$600,0))&amp;"",""))</f>
        <v>Erin Walsh</v>
      </c>
      <c r="I58" s="48" t="n">
        <f aca="false">IF($B58="","",IFERROR(INDEX(Applications!$M$5:$M$600,MATCH($B58,Applications!$X$5:$X$600,0)),""))</f>
        <v>30</v>
      </c>
      <c r="J58" s="48" t="n">
        <f aca="false">IF($B58="","",IFERROR(INDEX(Applications!$N$5:$N$600,MATCH($B58,Applications!$X$5:$X$600,0)),""))</f>
        <v>36</v>
      </c>
      <c r="K58" s="37" t="str">
        <f aca="false">IF($B58="","",IFERROR(INDEX(Applications!$K$5:$K$600,MATCH($B58,Applications!$X$5:$X$600,0))&amp;"",""))</f>
        <v>Alicia Moreno</v>
      </c>
      <c r="L58" s="48" t="n">
        <f aca="false">IF($B58="","",IFERROR(INDEX(Applications!$P$5:$P$600,MATCH($B58,Applications!$X$5:$X$600,0)),""))</f>
        <v>60</v>
      </c>
      <c r="M58" s="37" t="str">
        <f aca="false">IF($B58="","",IF(K58="","Assign a third reader",IF(ISNUMBER(L58),"Third read done","Waiting on third read")))</f>
        <v>Third read done</v>
      </c>
    </row>
    <row r="59" customFormat="false" ht="15" hidden="false" customHeight="false" outlineLevel="0" collapsed="false">
      <c r="B59" s="37" t="n">
        <f aca="false">IF(55&lt;=COUNTIF(Applications!$O$5:$O$600,"Yes"),55,"")</f>
        <v>55</v>
      </c>
      <c r="C59" s="37" t="str">
        <f aca="false">IF($B59="","",IFERROR(INDEX(Applications!$A$5:$A$600,MATCH($B59,Applications!$X$5:$X$600,0))&amp;"",""))</f>
        <v>FA26-0443</v>
      </c>
      <c r="D59" s="37" t="str">
        <f aca="false">IF($B59="","",IFERROR(INDEX(Applications!$B$5:$B$600,MATCH($B59,Applications!$X$5:$X$600,0))&amp;"",""))</f>
        <v>Sheffield Meals Project</v>
      </c>
      <c r="E59" s="37" t="str">
        <f aca="false">IF($B59="","",IFERROR(INDEX(Applications!$C$5:$C$600,MATCH($B59,Applications!$X$5:$X$600,0))&amp;"",""))</f>
        <v>Neighborhood Tables</v>
      </c>
      <c r="F59" s="37" t="str">
        <f aca="false">IF($B59="","",IFERROR(INDEX(Applications!$I$5:$I$600,MATCH($B59,Applications!$X$5:$X$600,0))&amp;"",""))</f>
        <v>Erin Walsh</v>
      </c>
      <c r="G59" s="48" t="n">
        <f aca="false">IF($B59="","",IFERROR(INDEX(Applications!$L$5:$L$600,MATCH($B59,Applications!$X$5:$X$600,0)),""))</f>
        <v>23</v>
      </c>
      <c r="H59" s="37" t="str">
        <f aca="false">IF($B59="","",IFERROR(INDEX(Applications!$J$5:$J$600,MATCH($B59,Applications!$X$5:$X$600,0))&amp;"",""))</f>
        <v>Grace Kim</v>
      </c>
      <c r="I59" s="48" t="n">
        <f aca="false">IF($B59="","",IFERROR(INDEX(Applications!$M$5:$M$600,MATCH($B59,Applications!$X$5:$X$600,0)),""))</f>
        <v>43</v>
      </c>
      <c r="J59" s="48" t="n">
        <f aca="false">IF($B59="","",IFERROR(INDEX(Applications!$N$5:$N$600,MATCH($B59,Applications!$X$5:$X$600,0)),""))</f>
        <v>20</v>
      </c>
      <c r="K59" s="37" t="str">
        <f aca="false">IF($B59="","",IFERROR(INDEX(Applications!$K$5:$K$600,MATCH($B59,Applications!$X$5:$X$600,0))&amp;"",""))</f>
        <v>Ben Okafor</v>
      </c>
      <c r="L59" s="48" t="str">
        <f aca="false">IF($B59="","",IFERROR(INDEX(Applications!$P$5:$P$600,MATCH($B59,Applications!$X$5:$X$600,0)),""))</f>
        <v/>
      </c>
      <c r="M59" s="37" t="str">
        <f aca="false">IF($B59="","",IF(K59="","Assign a third reader",IF(ISNUMBER(L59),"Third read done","Waiting on third read")))</f>
        <v>Waiting on third read</v>
      </c>
    </row>
    <row r="60" customFormat="false" ht="15" hidden="false" customHeight="false" outlineLevel="0" collapsed="false">
      <c r="B60" s="37" t="n">
        <f aca="false">IF(56&lt;=COUNTIF(Applications!$O$5:$O$600,"Yes"),56,"")</f>
        <v>56</v>
      </c>
      <c r="C60" s="37" t="str">
        <f aca="false">IF($B60="","",IFERROR(INDEX(Applications!$A$5:$A$600,MATCH($B60,Applications!$X$5:$X$600,0))&amp;"",""))</f>
        <v>FA26-0444</v>
      </c>
      <c r="D60" s="37" t="str">
        <f aca="false">IF($B60="","",IFERROR(INDEX(Applications!$B$5:$B$600,MATCH($B60,Applications!$X$5:$X$600,0))&amp;"",""))</f>
        <v>Atlanta Mobile Market</v>
      </c>
      <c r="E60" s="37" t="str">
        <f aca="false">IF($B60="","",IFERROR(INDEX(Applications!$C$5:$C$600,MATCH($B60,Applications!$X$5:$X$600,0))&amp;"",""))</f>
        <v>Full Plate</v>
      </c>
      <c r="F60" s="37" t="str">
        <f aca="false">IF($B60="","",IFERROR(INDEX(Applications!$I$5:$I$600,MATCH($B60,Applications!$X$5:$X$600,0))&amp;"",""))</f>
        <v>Ben Okafor</v>
      </c>
      <c r="G60" s="48" t="n">
        <f aca="false">IF($B60="","",IFERROR(INDEX(Applications!$L$5:$L$600,MATCH($B60,Applications!$X$5:$X$600,0)),""))</f>
        <v>37</v>
      </c>
      <c r="H60" s="37" t="str">
        <f aca="false">IF($B60="","",IFERROR(INDEX(Applications!$J$5:$J$600,MATCH($B60,Applications!$X$5:$X$600,0))&amp;"",""))</f>
        <v>Rafael Ortiz</v>
      </c>
      <c r="I60" s="48" t="n">
        <f aca="false">IF($B60="","",IFERROR(INDEX(Applications!$M$5:$M$600,MATCH($B60,Applications!$X$5:$X$600,0)),""))</f>
        <v>60</v>
      </c>
      <c r="J60" s="48" t="n">
        <f aca="false">IF($B60="","",IFERROR(INDEX(Applications!$N$5:$N$600,MATCH($B60,Applications!$X$5:$X$600,0)),""))</f>
        <v>23</v>
      </c>
      <c r="K60" s="37" t="str">
        <f aca="false">IF($B60="","",IFERROR(INDEX(Applications!$K$5:$K$600,MATCH($B60,Applications!$X$5:$X$600,0))&amp;"",""))</f>
        <v>Erin Walsh</v>
      </c>
      <c r="L60" s="48" t="n">
        <f aca="false">IF($B60="","",IFERROR(INDEX(Applications!$P$5:$P$600,MATCH($B60,Applications!$X$5:$X$600,0)),""))</f>
        <v>47</v>
      </c>
      <c r="M60" s="37" t="str">
        <f aca="false">IF($B60="","",IF(K60="","Assign a third reader",IF(ISNUMBER(L60),"Third read done","Waiting on third read")))</f>
        <v>Third read done</v>
      </c>
    </row>
    <row r="61" customFormat="false" ht="15" hidden="false" customHeight="false" outlineLevel="0" collapsed="false">
      <c r="B61" s="37" t="n">
        <f aca="false">IF(57&lt;=COUNTIF(Applications!$O$5:$O$600,"Yes"),57,"")</f>
        <v>57</v>
      </c>
      <c r="C61" s="37" t="str">
        <f aca="false">IF($B61="","",IFERROR(INDEX(Applications!$A$5:$A$600,MATCH($B61,Applications!$X$5:$X$600,0))&amp;"",""))</f>
        <v>FA26-0460</v>
      </c>
      <c r="D61" s="37" t="str">
        <f aca="false">IF($B61="","",IFERROR(INDEX(Applications!$B$5:$B$600,MATCH($B61,Applications!$X$5:$X$600,0))&amp;"",""))</f>
        <v>Greenway Food Bank</v>
      </c>
      <c r="E61" s="37" t="str">
        <f aca="false">IF($B61="","",IFERROR(INDEX(Applications!$C$5:$C$600,MATCH($B61,Applications!$X$5:$X$600,0))&amp;"",""))</f>
        <v>Full Plate</v>
      </c>
      <c r="F61" s="37" t="str">
        <f aca="false">IF($B61="","",IFERROR(INDEX(Applications!$I$5:$I$600,MATCH($B61,Applications!$X$5:$X$600,0))&amp;"",""))</f>
        <v>Erin Walsh</v>
      </c>
      <c r="G61" s="48" t="n">
        <f aca="false">IF($B61="","",IFERROR(INDEX(Applications!$L$5:$L$600,MATCH($B61,Applications!$X$5:$X$600,0)),""))</f>
        <v>64</v>
      </c>
      <c r="H61" s="37" t="str">
        <f aca="false">IF($B61="","",IFERROR(INDEX(Applications!$J$5:$J$600,MATCH($B61,Applications!$X$5:$X$600,0))&amp;"",""))</f>
        <v>Ben Okafor</v>
      </c>
      <c r="I61" s="48" t="n">
        <f aca="false">IF($B61="","",IFERROR(INDEX(Applications!$M$5:$M$600,MATCH($B61,Applications!$X$5:$X$600,0)),""))</f>
        <v>89</v>
      </c>
      <c r="J61" s="48" t="n">
        <f aca="false">IF($B61="","",IFERROR(INDEX(Applications!$N$5:$N$600,MATCH($B61,Applications!$X$5:$X$600,0)),""))</f>
        <v>25</v>
      </c>
      <c r="K61" s="37" t="str">
        <f aca="false">IF($B61="","",IFERROR(INDEX(Applications!$K$5:$K$600,MATCH($B61,Applications!$X$5:$X$600,0))&amp;"",""))</f>
        <v>Grace Kim</v>
      </c>
      <c r="L61" s="48" t="n">
        <f aca="false">IF($B61="","",IFERROR(INDEX(Applications!$P$5:$P$600,MATCH($B61,Applications!$X$5:$X$600,0)),""))</f>
        <v>76</v>
      </c>
      <c r="M61" s="37" t="str">
        <f aca="false">IF($B61="","",IF(K61="","Assign a third reader",IF(ISNUMBER(L61),"Third read done","Waiting on third read")))</f>
        <v>Third read done</v>
      </c>
    </row>
    <row r="62" customFormat="false" ht="15" hidden="false" customHeight="false" outlineLevel="0" collapsed="false">
      <c r="B62" s="37" t="n">
        <f aca="false">IF(58&lt;=COUNTIF(Applications!$O$5:$O$600,"Yes"),58,"")</f>
        <v>58</v>
      </c>
      <c r="C62" s="37" t="str">
        <f aca="false">IF($B62="","",IFERROR(INDEX(Applications!$A$5:$A$600,MATCH($B62,Applications!$X$5:$X$600,0))&amp;"",""))</f>
        <v>FA26-0475</v>
      </c>
      <c r="D62" s="37" t="str">
        <f aca="false">IF($B62="","",IFERROR(INDEX(Applications!$B$5:$B$600,MATCH($B62,Applications!$X$5:$X$600,0))&amp;"",""))</f>
        <v>Toronto Food Shelf</v>
      </c>
      <c r="E62" s="37" t="str">
        <f aca="false">IF($B62="","",IFERROR(INDEX(Applications!$C$5:$C$600,MATCH($B62,Applications!$X$5:$X$600,0))&amp;"",""))</f>
        <v>Full Plate</v>
      </c>
      <c r="F62" s="37" t="str">
        <f aca="false">IF($B62="","",IFERROR(INDEX(Applications!$I$5:$I$600,MATCH($B62,Applications!$X$5:$X$600,0))&amp;"",""))</f>
        <v>Erin Walsh</v>
      </c>
      <c r="G62" s="48" t="n">
        <f aca="false">IF($B62="","",IFERROR(INDEX(Applications!$L$5:$L$600,MATCH($B62,Applications!$X$5:$X$600,0)),""))</f>
        <v>61</v>
      </c>
      <c r="H62" s="37" t="str">
        <f aca="false">IF($B62="","",IFERROR(INDEX(Applications!$J$5:$J$600,MATCH($B62,Applications!$X$5:$X$600,0))&amp;"",""))</f>
        <v>Frank Delgado</v>
      </c>
      <c r="I62" s="48" t="n">
        <f aca="false">IF($B62="","",IFERROR(INDEX(Applications!$M$5:$M$600,MATCH($B62,Applications!$X$5:$X$600,0)),""))</f>
        <v>80</v>
      </c>
      <c r="J62" s="48" t="n">
        <f aca="false">IF($B62="","",IFERROR(INDEX(Applications!$N$5:$N$600,MATCH($B62,Applications!$X$5:$X$600,0)),""))</f>
        <v>19</v>
      </c>
      <c r="K62" s="37" t="str">
        <f aca="false">IF($B62="","",IFERROR(INDEX(Applications!$K$5:$K$600,MATCH($B62,Applications!$X$5:$X$600,0))&amp;"",""))</f>
        <v>Rafael Ortiz</v>
      </c>
      <c r="L62" s="48" t="n">
        <f aca="false">IF($B62="","",IFERROR(INDEX(Applications!$P$5:$P$600,MATCH($B62,Applications!$X$5:$X$600,0)),""))</f>
        <v>64</v>
      </c>
      <c r="M62" s="37" t="str">
        <f aca="false">IF($B62="","",IF(K62="","Assign a third reader",IF(ISNUMBER(L62),"Third read done","Waiting on third read")))</f>
        <v>Third read done</v>
      </c>
    </row>
    <row r="63" customFormat="false" ht="15" hidden="false" customHeight="false" outlineLevel="0" collapsed="false">
      <c r="B63" s="37" t="n">
        <f aca="false">IF(59&lt;=COUNTIF(Applications!$O$5:$O$600,"Yes"),59,"")</f>
        <v>59</v>
      </c>
      <c r="C63" s="37" t="str">
        <f aca="false">IF($B63="","",IFERROR(INDEX(Applications!$A$5:$A$600,MATCH($B63,Applications!$X$5:$X$600,0))&amp;"",""))</f>
        <v>FA26-0486</v>
      </c>
      <c r="D63" s="37" t="str">
        <f aca="false">IF($B63="","",IFERROR(INDEX(Applications!$B$5:$B$600,MATCH($B63,Applications!$X$5:$X$600,0))&amp;"",""))</f>
        <v>Louisville Family Center</v>
      </c>
      <c r="E63" s="37" t="str">
        <f aca="false">IF($B63="","",IFERROR(INDEX(Applications!$C$5:$C$600,MATCH($B63,Applications!$X$5:$X$600,0))&amp;"",""))</f>
        <v>Neighborhood Tables</v>
      </c>
      <c r="F63" s="37" t="str">
        <f aca="false">IF($B63="","",IFERROR(INDEX(Applications!$I$5:$I$600,MATCH($B63,Applications!$X$5:$X$600,0))&amp;"",""))</f>
        <v>Alicia Moreno</v>
      </c>
      <c r="G63" s="48" t="n">
        <f aca="false">IF($B63="","",IFERROR(INDEX(Applications!$L$5:$L$600,MATCH($B63,Applications!$X$5:$X$600,0)),""))</f>
        <v>20</v>
      </c>
      <c r="H63" s="37" t="str">
        <f aca="false">IF($B63="","",IFERROR(INDEX(Applications!$J$5:$J$600,MATCH($B63,Applications!$X$5:$X$600,0))&amp;"",""))</f>
        <v>Ben Okafor</v>
      </c>
      <c r="I63" s="48" t="n">
        <f aca="false">IF($B63="","",IFERROR(INDEX(Applications!$M$5:$M$600,MATCH($B63,Applications!$X$5:$X$600,0)),""))</f>
        <v>52</v>
      </c>
      <c r="J63" s="48" t="n">
        <f aca="false">IF($B63="","",IFERROR(INDEX(Applications!$N$5:$N$600,MATCH($B63,Applications!$X$5:$X$600,0)),""))</f>
        <v>32</v>
      </c>
      <c r="K63" s="37" t="str">
        <f aca="false">IF($B63="","",IFERROR(INDEX(Applications!$K$5:$K$600,MATCH($B63,Applications!$X$5:$X$600,0))&amp;"",""))</f>
        <v>Erin Walsh</v>
      </c>
      <c r="L63" s="48" t="n">
        <f aca="false">IF($B63="","",IFERROR(INDEX(Applications!$P$5:$P$600,MATCH($B63,Applications!$X$5:$X$600,0)),""))</f>
        <v>50</v>
      </c>
      <c r="M63" s="37" t="str">
        <f aca="false">IF($B63="","",IF(K63="","Assign a third reader",IF(ISNUMBER(L63),"Third read done","Waiting on third read")))</f>
        <v>Third read done</v>
      </c>
    </row>
    <row r="64" customFormat="false" ht="15" hidden="false" customHeight="false" outlineLevel="0" collapsed="false">
      <c r="B64" s="37" t="n">
        <f aca="false">IF(60&lt;=COUNTIF(Applications!$O$5:$O$600,"Yes"),60,"")</f>
        <v>60</v>
      </c>
      <c r="C64" s="37" t="str">
        <f aca="false">IF($B64="","",IFERROR(INDEX(Applications!$A$5:$A$600,MATCH($B64,Applications!$X$5:$X$600,0))&amp;"",""))</f>
        <v>FA26-0494</v>
      </c>
      <c r="D64" s="37" t="str">
        <f aca="false">IF($B64="","",IFERROR(INDEX(Applications!$B$5:$B$600,MATCH($B64,Applications!$X$5:$X$600,0))&amp;"",""))</f>
        <v>Cologne Family Center</v>
      </c>
      <c r="E64" s="37" t="str">
        <f aca="false">IF($B64="","",IFERROR(INDEX(Applications!$C$5:$C$600,MATCH($B64,Applications!$X$5:$X$600,0))&amp;"",""))</f>
        <v>Neighborhood Tables</v>
      </c>
      <c r="F64" s="37" t="str">
        <f aca="false">IF($B64="","",IFERROR(INDEX(Applications!$I$5:$I$600,MATCH($B64,Applications!$X$5:$X$600,0))&amp;"",""))</f>
        <v>Frank Delgado</v>
      </c>
      <c r="G64" s="48" t="n">
        <f aca="false">IF($B64="","",IFERROR(INDEX(Applications!$L$5:$L$600,MATCH($B64,Applications!$X$5:$X$600,0)),""))</f>
        <v>80</v>
      </c>
      <c r="H64" s="37" t="str">
        <f aca="false">IF($B64="","",IFERROR(INDEX(Applications!$J$5:$J$600,MATCH($B64,Applications!$X$5:$X$600,0))&amp;"",""))</f>
        <v>Grace Kim</v>
      </c>
      <c r="I64" s="48" t="n">
        <f aca="false">IF($B64="","",IFERROR(INDEX(Applications!$M$5:$M$600,MATCH($B64,Applications!$X$5:$X$600,0)),""))</f>
        <v>60</v>
      </c>
      <c r="J64" s="48" t="n">
        <f aca="false">IF($B64="","",IFERROR(INDEX(Applications!$N$5:$N$600,MATCH($B64,Applications!$X$5:$X$600,0)),""))</f>
        <v>20</v>
      </c>
      <c r="K64" s="37" t="str">
        <f aca="false">IF($B64="","",IFERROR(INDEX(Applications!$K$5:$K$600,MATCH($B64,Applications!$X$5:$X$600,0))&amp;"",""))</f>
        <v>Ben Okafor</v>
      </c>
      <c r="L64" s="48" t="n">
        <f aca="false">IF($B64="","",IFERROR(INDEX(Applications!$P$5:$P$600,MATCH($B64,Applications!$X$5:$X$600,0)),""))</f>
        <v>73</v>
      </c>
      <c r="M64" s="37" t="str">
        <f aca="false">IF($B64="","",IF(K64="","Assign a third reader",IF(ISNUMBER(L64),"Third read done","Waiting on third read")))</f>
        <v>Third read done</v>
      </c>
    </row>
    <row r="65" customFormat="false" ht="15" hidden="false" customHeight="false" outlineLevel="0" collapsed="false">
      <c r="B65" s="37" t="n">
        <f aca="false">IF(61&lt;=COUNTIF(Applications!$O$5:$O$600,"Yes"),61,"")</f>
        <v>61</v>
      </c>
      <c r="C65" s="37" t="str">
        <f aca="false">IF($B65="","",IFERROR(INDEX(Applications!$A$5:$A$600,MATCH($B65,Applications!$X$5:$X$600,0))&amp;"",""))</f>
        <v>FA26-0500</v>
      </c>
      <c r="D65" s="37" t="str">
        <f aca="false">IF($B65="","",IFERROR(INDEX(Applications!$B$5:$B$600,MATCH($B65,Applications!$X$5:$X$600,0))&amp;"",""))</f>
        <v>Toronto Community Pantry</v>
      </c>
      <c r="E65" s="37" t="str">
        <f aca="false">IF($B65="","",IFERROR(INDEX(Applications!$C$5:$C$600,MATCH($B65,Applications!$X$5:$X$600,0))&amp;"",""))</f>
        <v>Full Plate</v>
      </c>
      <c r="F65" s="37" t="str">
        <f aca="false">IF($B65="","",IFERROR(INDEX(Applications!$I$5:$I$600,MATCH($B65,Applications!$X$5:$X$600,0))&amp;"",""))</f>
        <v>Alicia Moreno</v>
      </c>
      <c r="G65" s="48" t="n">
        <f aca="false">IF($B65="","",IFERROR(INDEX(Applications!$L$5:$L$600,MATCH($B65,Applications!$X$5:$X$600,0)),""))</f>
        <v>69</v>
      </c>
      <c r="H65" s="37" t="str">
        <f aca="false">IF($B65="","",IFERROR(INDEX(Applications!$J$5:$J$600,MATCH($B65,Applications!$X$5:$X$600,0))&amp;"",""))</f>
        <v>Erin Walsh</v>
      </c>
      <c r="I65" s="48" t="n">
        <f aca="false">IF($B65="","",IFERROR(INDEX(Applications!$M$5:$M$600,MATCH($B65,Applications!$X$5:$X$600,0)),""))</f>
        <v>51</v>
      </c>
      <c r="J65" s="48" t="n">
        <f aca="false">IF($B65="","",IFERROR(INDEX(Applications!$N$5:$N$600,MATCH($B65,Applications!$X$5:$X$600,0)),""))</f>
        <v>18</v>
      </c>
      <c r="K65" s="37" t="str">
        <f aca="false">IF($B65="","",IFERROR(INDEX(Applications!$K$5:$K$600,MATCH($B65,Applications!$X$5:$X$600,0))&amp;"",""))</f>
        <v>Grace Kim</v>
      </c>
      <c r="L65" s="48" t="n">
        <f aca="false">IF($B65="","",IFERROR(INDEX(Applications!$P$5:$P$600,MATCH($B65,Applications!$X$5:$X$600,0)),""))</f>
        <v>60</v>
      </c>
      <c r="M65" s="37" t="str">
        <f aca="false">IF($B65="","",IF(K65="","Assign a third reader",IF(ISNUMBER(L65),"Third read done","Waiting on third read")))</f>
        <v>Third read done</v>
      </c>
    </row>
    <row r="66" customFormat="false" ht="15" hidden="false" customHeight="false" outlineLevel="0" collapsed="false">
      <c r="B66" s="37" t="n">
        <f aca="false">IF(62&lt;=COUNTIF(Applications!$O$5:$O$600,"Yes"),62,"")</f>
        <v>62</v>
      </c>
      <c r="C66" s="37" t="str">
        <f aca="false">IF($B66="","",IFERROR(INDEX(Applications!$A$5:$A$600,MATCH($B66,Applications!$X$5:$X$600,0))&amp;"",""))</f>
        <v>FA26-0502</v>
      </c>
      <c r="D66" s="37" t="str">
        <f aca="false">IF($B66="","",IFERROR(INDEX(Applications!$B$5:$B$600,MATCH($B66,Applications!$X$5:$X$600,0))&amp;"",""))</f>
        <v>Atlanta Farm Collective</v>
      </c>
      <c r="E66" s="37" t="str">
        <f aca="false">IF($B66="","",IFERROR(INDEX(Applications!$C$5:$C$600,MATCH($B66,Applications!$X$5:$X$600,0))&amp;"",""))</f>
        <v>Growing Roots</v>
      </c>
      <c r="F66" s="37" t="str">
        <f aca="false">IF($B66="","",IFERROR(INDEX(Applications!$I$5:$I$600,MATCH($B66,Applications!$X$5:$X$600,0))&amp;"",""))</f>
        <v>Ben Okafor</v>
      </c>
      <c r="G66" s="48" t="n">
        <f aca="false">IF($B66="","",IFERROR(INDEX(Applications!$L$5:$L$600,MATCH($B66,Applications!$X$5:$X$600,0)),""))</f>
        <v>70</v>
      </c>
      <c r="H66" s="37" t="str">
        <f aca="false">IF($B66="","",IFERROR(INDEX(Applications!$J$5:$J$600,MATCH($B66,Applications!$X$5:$X$600,0))&amp;"",""))</f>
        <v>Rafael Ortiz</v>
      </c>
      <c r="I66" s="48" t="n">
        <f aca="false">IF($B66="","",IFERROR(INDEX(Applications!$M$5:$M$600,MATCH($B66,Applications!$X$5:$X$600,0)),""))</f>
        <v>40</v>
      </c>
      <c r="J66" s="48" t="n">
        <f aca="false">IF($B66="","",IFERROR(INDEX(Applications!$N$5:$N$600,MATCH($B66,Applications!$X$5:$X$600,0)),""))</f>
        <v>30</v>
      </c>
      <c r="K66" s="37" t="str">
        <f aca="false">IF($B66="","",IFERROR(INDEX(Applications!$K$5:$K$600,MATCH($B66,Applications!$X$5:$X$600,0))&amp;"",""))</f>
        <v>Alicia Moreno</v>
      </c>
      <c r="L66" s="48" t="str">
        <f aca="false">IF($B66="","",IFERROR(INDEX(Applications!$P$5:$P$600,MATCH($B66,Applications!$X$5:$X$600,0)),""))</f>
        <v/>
      </c>
      <c r="M66" s="37" t="str">
        <f aca="false">IF($B66="","",IF(K66="","Assign a third reader",IF(ISNUMBER(L66),"Third read done","Waiting on third read")))</f>
        <v>Waiting on third read</v>
      </c>
    </row>
    <row r="67" customFormat="false" ht="15" hidden="false" customHeight="false" outlineLevel="0" collapsed="false">
      <c r="B67" s="37" t="n">
        <f aca="false">IF(63&lt;=COUNTIF(Applications!$O$5:$O$600,"Yes"),63,"")</f>
        <v>63</v>
      </c>
      <c r="C67" s="37" t="str">
        <f aca="false">IF($B67="","",IFERROR(INDEX(Applications!$A$5:$A$600,MATCH($B67,Applications!$X$5:$X$600,0))&amp;"",""))</f>
        <v>FA26-0508</v>
      </c>
      <c r="D67" s="37" t="str">
        <f aca="false">IF($B67="","",IFERROR(INDEX(Applications!$B$5:$B$600,MATCH($B67,Applications!$X$5:$X$600,0))&amp;"",""))</f>
        <v>Columbus Food Bank</v>
      </c>
      <c r="E67" s="37" t="str">
        <f aca="false">IF($B67="","",IFERROR(INDEX(Applications!$C$5:$C$600,MATCH($B67,Applications!$X$5:$X$600,0))&amp;"",""))</f>
        <v>Full Plate</v>
      </c>
      <c r="F67" s="37" t="str">
        <f aca="false">IF($B67="","",IFERROR(INDEX(Applications!$I$5:$I$600,MATCH($B67,Applications!$X$5:$X$600,0))&amp;"",""))</f>
        <v>Frank Delgado</v>
      </c>
      <c r="G67" s="48" t="n">
        <f aca="false">IF($B67="","",IFERROR(INDEX(Applications!$L$5:$L$600,MATCH($B67,Applications!$X$5:$X$600,0)),""))</f>
        <v>68</v>
      </c>
      <c r="H67" s="37" t="str">
        <f aca="false">IF($B67="","",IFERROR(INDEX(Applications!$J$5:$J$600,MATCH($B67,Applications!$X$5:$X$600,0))&amp;"",""))</f>
        <v>Rafael Ortiz</v>
      </c>
      <c r="I67" s="48" t="n">
        <f aca="false">IF($B67="","",IFERROR(INDEX(Applications!$M$5:$M$600,MATCH($B67,Applications!$X$5:$X$600,0)),""))</f>
        <v>50</v>
      </c>
      <c r="J67" s="48" t="n">
        <f aca="false">IF($B67="","",IFERROR(INDEX(Applications!$N$5:$N$600,MATCH($B67,Applications!$X$5:$X$600,0)),""))</f>
        <v>18</v>
      </c>
      <c r="K67" s="37" t="str">
        <f aca="false">IF($B67="","",IFERROR(INDEX(Applications!$K$5:$K$600,MATCH($B67,Applications!$X$5:$X$600,0))&amp;"",""))</f>
        <v>Ben Okafor</v>
      </c>
      <c r="L67" s="48" t="n">
        <f aca="false">IF($B67="","",IFERROR(INDEX(Applications!$P$5:$P$600,MATCH($B67,Applications!$X$5:$X$600,0)),""))</f>
        <v>57</v>
      </c>
      <c r="M67" s="37" t="str">
        <f aca="false">IF($B67="","",IF(K67="","Assign a third reader",IF(ISNUMBER(L67),"Third read done","Waiting on third read")))</f>
        <v>Third read done</v>
      </c>
    </row>
    <row r="68" customFormat="false" ht="15" hidden="false" customHeight="false" outlineLevel="0" collapsed="false">
      <c r="B68" s="37" t="n">
        <f aca="false">IF(64&lt;=COUNTIF(Applications!$O$5:$O$600,"Yes"),64,"")</f>
        <v>64</v>
      </c>
      <c r="C68" s="37" t="str">
        <f aca="false">IF($B68="","",IFERROR(INDEX(Applications!$A$5:$A$600,MATCH($B68,Applications!$X$5:$X$600,0))&amp;"",""))</f>
        <v>FA26-0535</v>
      </c>
      <c r="D68" s="37" t="str">
        <f aca="false">IF($B68="","",IFERROR(INDEX(Applications!$B$5:$B$600,MATCH($B68,Applications!$X$5:$X$600,0))&amp;"",""))</f>
        <v>Valley Mobile Market</v>
      </c>
      <c r="E68" s="37" t="str">
        <f aca="false">IF($B68="","",IFERROR(INDEX(Applications!$C$5:$C$600,MATCH($B68,Applications!$X$5:$X$600,0))&amp;"",""))</f>
        <v>Full Plate</v>
      </c>
      <c r="F68" s="37" t="str">
        <f aca="false">IF($B68="","",IFERROR(INDEX(Applications!$I$5:$I$600,MATCH($B68,Applications!$X$5:$X$600,0))&amp;"",""))</f>
        <v>Rafael Ortiz</v>
      </c>
      <c r="G68" s="48" t="n">
        <f aca="false">IF($B68="","",IFERROR(INDEX(Applications!$L$5:$L$600,MATCH($B68,Applications!$X$5:$X$600,0)),""))</f>
        <v>62</v>
      </c>
      <c r="H68" s="37" t="str">
        <f aca="false">IF($B68="","",IFERROR(INDEX(Applications!$J$5:$J$600,MATCH($B68,Applications!$X$5:$X$600,0))&amp;"",""))</f>
        <v>Frank Delgado</v>
      </c>
      <c r="I68" s="48" t="n">
        <f aca="false">IF($B68="","",IFERROR(INDEX(Applications!$M$5:$M$600,MATCH($B68,Applications!$X$5:$X$600,0)),""))</f>
        <v>80</v>
      </c>
      <c r="J68" s="48" t="n">
        <f aca="false">IF($B68="","",IFERROR(INDEX(Applications!$N$5:$N$600,MATCH($B68,Applications!$X$5:$X$600,0)),""))</f>
        <v>18</v>
      </c>
      <c r="K68" s="37" t="str">
        <f aca="false">IF($B68="","",IFERROR(INDEX(Applications!$K$5:$K$600,MATCH($B68,Applications!$X$5:$X$600,0))&amp;"",""))</f>
        <v>Erin Walsh</v>
      </c>
      <c r="L68" s="48" t="str">
        <f aca="false">IF($B68="","",IFERROR(INDEX(Applications!$P$5:$P$600,MATCH($B68,Applications!$X$5:$X$600,0)),""))</f>
        <v/>
      </c>
      <c r="M68" s="37" t="str">
        <f aca="false">IF($B68="","",IF(K68="","Assign a third reader",IF(ISNUMBER(L68),"Third read done","Waiting on third read")))</f>
        <v>Waiting on third read</v>
      </c>
    </row>
    <row r="69" customFormat="false" ht="15" hidden="false" customHeight="false" outlineLevel="0" collapsed="false">
      <c r="B69" s="37" t="n">
        <f aca="false">IF(65&lt;=COUNTIF(Applications!$O$5:$O$600,"Yes"),65,"")</f>
        <v>65</v>
      </c>
      <c r="C69" s="37" t="str">
        <f aca="false">IF($B69="","",IFERROR(INDEX(Applications!$A$5:$A$600,MATCH($B69,Applications!$X$5:$X$600,0))&amp;"",""))</f>
        <v>FA26-0542</v>
      </c>
      <c r="D69" s="37" t="str">
        <f aca="false">IF($B69="","",IFERROR(INDEX(Applications!$B$5:$B$600,MATCH($B69,Applications!$X$5:$X$600,0))&amp;"",""))</f>
        <v>Marigold Bakery Collective</v>
      </c>
      <c r="E69" s="37" t="str">
        <f aca="false">IF($B69="","",IFERROR(INDEX(Applications!$C$5:$C$600,MATCH($B69,Applications!$X$5:$X$600,0))&amp;"",""))</f>
        <v>Kitchen to Career</v>
      </c>
      <c r="F69" s="37" t="str">
        <f aca="false">IF($B69="","",IFERROR(INDEX(Applications!$I$5:$I$600,MATCH($B69,Applications!$X$5:$X$600,0))&amp;"",""))</f>
        <v>Erin Walsh</v>
      </c>
      <c r="G69" s="48" t="n">
        <f aca="false">IF($B69="","",IFERROR(INDEX(Applications!$L$5:$L$600,MATCH($B69,Applications!$X$5:$X$600,0)),""))</f>
        <v>75</v>
      </c>
      <c r="H69" s="37" t="str">
        <f aca="false">IF($B69="","",IFERROR(INDEX(Applications!$J$5:$J$600,MATCH($B69,Applications!$X$5:$X$600,0))&amp;"",""))</f>
        <v>Rafael Ortiz</v>
      </c>
      <c r="I69" s="48" t="n">
        <f aca="false">IF($B69="","",IFERROR(INDEX(Applications!$M$5:$M$600,MATCH($B69,Applications!$X$5:$X$600,0)),""))</f>
        <v>28</v>
      </c>
      <c r="J69" s="48" t="n">
        <f aca="false">IF($B69="","",IFERROR(INDEX(Applications!$N$5:$N$600,MATCH($B69,Applications!$X$5:$X$600,0)),""))</f>
        <v>47</v>
      </c>
      <c r="K69" s="37" t="str">
        <f aca="false">IF($B69="","",IFERROR(INDEX(Applications!$K$5:$K$600,MATCH($B69,Applications!$X$5:$X$600,0))&amp;"",""))</f>
        <v>Ben Okafor</v>
      </c>
      <c r="L69" s="48" t="str">
        <f aca="false">IF($B69="","",IFERROR(INDEX(Applications!$P$5:$P$600,MATCH($B69,Applications!$X$5:$X$600,0)),""))</f>
        <v/>
      </c>
      <c r="M69" s="37" t="str">
        <f aca="false">IF($B69="","",IF(K69="","Assign a third reader",IF(ISNUMBER(L69),"Third read done","Waiting on third read")))</f>
        <v>Waiting on third read</v>
      </c>
    </row>
    <row r="70" customFormat="false" ht="15" hidden="false" customHeight="false" outlineLevel="0" collapsed="false">
      <c r="B70" s="37" t="n">
        <f aca="false">IF(66&lt;=COUNTIF(Applications!$O$5:$O$600,"Yes"),66,"")</f>
        <v>66</v>
      </c>
      <c r="C70" s="37" t="str">
        <f aca="false">IF($B70="","",IFERROR(INDEX(Applications!$A$5:$A$600,MATCH($B70,Applications!$X$5:$X$600,0))&amp;"",""))</f>
        <v>FA26-0545</v>
      </c>
      <c r="D70" s="37" t="str">
        <f aca="false">IF($B70="","",IFERROR(INDEX(Applications!$B$5:$B$600,MATCH($B70,Applications!$X$5:$X$600,0))&amp;"",""))</f>
        <v>Lakeshore Food Shelf</v>
      </c>
      <c r="E70" s="37" t="str">
        <f aca="false">IF($B70="","",IFERROR(INDEX(Applications!$C$5:$C$600,MATCH($B70,Applications!$X$5:$X$600,0))&amp;"",""))</f>
        <v>Full Plate</v>
      </c>
      <c r="F70" s="37" t="str">
        <f aca="false">IF($B70="","",IFERROR(INDEX(Applications!$I$5:$I$600,MATCH($B70,Applications!$X$5:$X$600,0))&amp;"",""))</f>
        <v>Frank Delgado</v>
      </c>
      <c r="G70" s="48" t="n">
        <f aca="false">IF($B70="","",IFERROR(INDEX(Applications!$L$5:$L$600,MATCH($B70,Applications!$X$5:$X$600,0)),""))</f>
        <v>72</v>
      </c>
      <c r="H70" s="37" t="str">
        <f aca="false">IF($B70="","",IFERROR(INDEX(Applications!$J$5:$J$600,MATCH($B70,Applications!$X$5:$X$600,0))&amp;"",""))</f>
        <v>Erin Walsh</v>
      </c>
      <c r="I70" s="48" t="n">
        <f aca="false">IF($B70="","",IFERROR(INDEX(Applications!$M$5:$M$600,MATCH($B70,Applications!$X$5:$X$600,0)),""))</f>
        <v>47</v>
      </c>
      <c r="J70" s="48" t="n">
        <f aca="false">IF($B70="","",IFERROR(INDEX(Applications!$N$5:$N$600,MATCH($B70,Applications!$X$5:$X$600,0)),""))</f>
        <v>25</v>
      </c>
      <c r="K70" s="37" t="str">
        <f aca="false">IF($B70="","",IFERROR(INDEX(Applications!$K$5:$K$600,MATCH($B70,Applications!$X$5:$X$600,0))&amp;"",""))</f>
        <v>Rafael Ortiz</v>
      </c>
      <c r="L70" s="48" t="str">
        <f aca="false">IF($B70="","",IFERROR(INDEX(Applications!$P$5:$P$600,MATCH($B70,Applications!$X$5:$X$600,0)),""))</f>
        <v/>
      </c>
      <c r="M70" s="37" t="str">
        <f aca="false">IF($B70="","",IF(K70="","Assign a third reader",IF(ISNUMBER(L70),"Third read done","Waiting on third read")))</f>
        <v>Waiting on third read</v>
      </c>
    </row>
    <row r="71" customFormat="false" ht="15" hidden="false" customHeight="false" outlineLevel="0" collapsed="false">
      <c r="B71" s="37" t="n">
        <f aca="false">IF(67&lt;=COUNTIF(Applications!$O$5:$O$600,"Yes"),67,"")</f>
        <v>67</v>
      </c>
      <c r="C71" s="37" t="str">
        <f aca="false">IF($B71="","",IFERROR(INDEX(Applications!$A$5:$A$600,MATCH($B71,Applications!$X$5:$X$600,0))&amp;"",""))</f>
        <v>FA26-0550</v>
      </c>
      <c r="D71" s="37" t="str">
        <f aca="false">IF($B71="","",IFERROR(INDEX(Applications!$B$5:$B$600,MATCH($B71,Applications!$X$5:$X$600,0))&amp;"",""))</f>
        <v>Fairmount Family Center</v>
      </c>
      <c r="E71" s="37" t="str">
        <f aca="false">IF($B71="","",IFERROR(INDEX(Applications!$C$5:$C$600,MATCH($B71,Applications!$X$5:$X$600,0))&amp;"",""))</f>
        <v>Neighborhood Tables</v>
      </c>
      <c r="F71" s="37" t="str">
        <f aca="false">IF($B71="","",IFERROR(INDEX(Applications!$I$5:$I$600,MATCH($B71,Applications!$X$5:$X$600,0))&amp;"",""))</f>
        <v>Alicia Moreno</v>
      </c>
      <c r="G71" s="48" t="n">
        <f aca="false">IF($B71="","",IFERROR(INDEX(Applications!$L$5:$L$600,MATCH($B71,Applications!$X$5:$X$600,0)),""))</f>
        <v>48</v>
      </c>
      <c r="H71" s="37" t="str">
        <f aca="false">IF($B71="","",IFERROR(INDEX(Applications!$J$5:$J$600,MATCH($B71,Applications!$X$5:$X$600,0))&amp;"",""))</f>
        <v>Frank Delgado</v>
      </c>
      <c r="I71" s="48" t="n">
        <f aca="false">IF($B71="","",IFERROR(INDEX(Applications!$M$5:$M$600,MATCH($B71,Applications!$X$5:$X$600,0)),""))</f>
        <v>76</v>
      </c>
      <c r="J71" s="48" t="n">
        <f aca="false">IF($B71="","",IFERROR(INDEX(Applications!$N$5:$N$600,MATCH($B71,Applications!$X$5:$X$600,0)),""))</f>
        <v>28</v>
      </c>
      <c r="K71" s="37" t="str">
        <f aca="false">IF($B71="","",IFERROR(INDEX(Applications!$K$5:$K$600,MATCH($B71,Applications!$X$5:$X$600,0))&amp;"",""))</f>
        <v>Rafael Ortiz</v>
      </c>
      <c r="L71" s="48" t="n">
        <f aca="false">IF($B71="","",IFERROR(INDEX(Applications!$P$5:$P$600,MATCH($B71,Applications!$X$5:$X$600,0)),""))</f>
        <v>64</v>
      </c>
      <c r="M71" s="37" t="str">
        <f aca="false">IF($B71="","",IF(K71="","Assign a third reader",IF(ISNUMBER(L71),"Third read done","Waiting on third read")))</f>
        <v>Third read done</v>
      </c>
    </row>
    <row r="72" customFormat="false" ht="15" hidden="false" customHeight="false" outlineLevel="0" collapsed="false">
      <c r="B72" s="37" t="n">
        <f aca="false">IF(68&lt;=COUNTIF(Applications!$O$5:$O$600,"Yes"),68,"")</f>
        <v>68</v>
      </c>
      <c r="C72" s="37" t="str">
        <f aca="false">IF($B72="","",IFERROR(INDEX(Applications!$A$5:$A$600,MATCH($B72,Applications!$X$5:$X$600,0))&amp;"",""))</f>
        <v>FA26-0556</v>
      </c>
      <c r="D72" s="37" t="str">
        <f aca="false">IF($B72="","",IFERROR(INDEX(Applications!$B$5:$B$600,MATCH($B72,Applications!$X$5:$X$600,0))&amp;"",""))</f>
        <v>Cedar Farm Collective</v>
      </c>
      <c r="E72" s="37" t="str">
        <f aca="false">IF($B72="","",IFERROR(INDEX(Applications!$C$5:$C$600,MATCH($B72,Applications!$X$5:$X$600,0))&amp;"",""))</f>
        <v>Growing Roots</v>
      </c>
      <c r="F72" s="37" t="str">
        <f aca="false">IF($B72="","",IFERROR(INDEX(Applications!$I$5:$I$600,MATCH($B72,Applications!$X$5:$X$600,0))&amp;"",""))</f>
        <v>Frank Delgado</v>
      </c>
      <c r="G72" s="48" t="n">
        <f aca="false">IF($B72="","",IFERROR(INDEX(Applications!$L$5:$L$600,MATCH($B72,Applications!$X$5:$X$600,0)),""))</f>
        <v>25</v>
      </c>
      <c r="H72" s="37" t="str">
        <f aca="false">IF($B72="","",IFERROR(INDEX(Applications!$J$5:$J$600,MATCH($B72,Applications!$X$5:$X$600,0))&amp;"",""))</f>
        <v>Rafael Ortiz</v>
      </c>
      <c r="I72" s="48" t="n">
        <f aca="false">IF($B72="","",IFERROR(INDEX(Applications!$M$5:$M$600,MATCH($B72,Applications!$X$5:$X$600,0)),""))</f>
        <v>60</v>
      </c>
      <c r="J72" s="48" t="n">
        <f aca="false">IF($B72="","",IFERROR(INDEX(Applications!$N$5:$N$600,MATCH($B72,Applications!$X$5:$X$600,0)),""))</f>
        <v>35</v>
      </c>
      <c r="K72" s="37" t="str">
        <f aca="false">IF($B72="","",IFERROR(INDEX(Applications!$K$5:$K$600,MATCH($B72,Applications!$X$5:$X$600,0))&amp;"",""))</f>
        <v>Grace Kim</v>
      </c>
      <c r="L72" s="48" t="str">
        <f aca="false">IF($B72="","",IFERROR(INDEX(Applications!$P$5:$P$600,MATCH($B72,Applications!$X$5:$X$600,0)),""))</f>
        <v/>
      </c>
      <c r="M72" s="37" t="str">
        <f aca="false">IF($B72="","",IF(K72="","Assign a third reader",IF(ISNUMBER(L72),"Third read done","Waiting on third read")))</f>
        <v>Waiting on third read</v>
      </c>
    </row>
    <row r="73" customFormat="false" ht="15" hidden="false" customHeight="false" outlineLevel="0" collapsed="false">
      <c r="B73" s="37" t="n">
        <f aca="false">IF(69&lt;=COUNTIF(Applications!$O$5:$O$600,"Yes"),69,"")</f>
        <v>69</v>
      </c>
      <c r="C73" s="37" t="str">
        <f aca="false">IF($B73="","",IFERROR(INDEX(Applications!$A$5:$A$600,MATCH($B73,Applications!$X$5:$X$600,0))&amp;"",""))</f>
        <v>FA26-0571</v>
      </c>
      <c r="D73" s="37" t="str">
        <f aca="false">IF($B73="","",IFERROR(INDEX(Applications!$B$5:$B$600,MATCH($B73,Applications!$X$5:$X$600,0))&amp;"",""))</f>
        <v>Willow Run Food Shelf</v>
      </c>
      <c r="E73" s="37" t="str">
        <f aca="false">IF($B73="","",IFERROR(INDEX(Applications!$C$5:$C$600,MATCH($B73,Applications!$X$5:$X$600,0))&amp;"",""))</f>
        <v>Full Plate</v>
      </c>
      <c r="F73" s="37" t="str">
        <f aca="false">IF($B73="","",IFERROR(INDEX(Applications!$I$5:$I$600,MATCH($B73,Applications!$X$5:$X$600,0))&amp;"",""))</f>
        <v>Alicia Moreno</v>
      </c>
      <c r="G73" s="48" t="n">
        <f aca="false">IF($B73="","",IFERROR(INDEX(Applications!$L$5:$L$600,MATCH($B73,Applications!$X$5:$X$600,0)),""))</f>
        <v>71</v>
      </c>
      <c r="H73" s="37" t="str">
        <f aca="false">IF($B73="","",IFERROR(INDEX(Applications!$J$5:$J$600,MATCH($B73,Applications!$X$5:$X$600,0))&amp;"",""))</f>
        <v>Erin Walsh</v>
      </c>
      <c r="I73" s="48" t="n">
        <f aca="false">IF($B73="","",IFERROR(INDEX(Applications!$M$5:$M$600,MATCH($B73,Applications!$X$5:$X$600,0)),""))</f>
        <v>90</v>
      </c>
      <c r="J73" s="48" t="n">
        <f aca="false">IF($B73="","",IFERROR(INDEX(Applications!$N$5:$N$600,MATCH($B73,Applications!$X$5:$X$600,0)),""))</f>
        <v>19</v>
      </c>
      <c r="K73" s="37" t="str">
        <f aca="false">IF($B73="","",IFERROR(INDEX(Applications!$K$5:$K$600,MATCH($B73,Applications!$X$5:$X$600,0))&amp;"",""))</f>
        <v>Grace Kim</v>
      </c>
      <c r="L73" s="48" t="str">
        <f aca="false">IF($B73="","",IFERROR(INDEX(Applications!$P$5:$P$600,MATCH($B73,Applications!$X$5:$X$600,0)),""))</f>
        <v/>
      </c>
      <c r="M73" s="37" t="str">
        <f aca="false">IF($B73="","",IF(K73="","Assign a third reader",IF(ISNUMBER(L73),"Third read done","Waiting on third read")))</f>
        <v>Waiting on third read</v>
      </c>
    </row>
    <row r="74" customFormat="false" ht="15" hidden="false" customHeight="false" outlineLevel="0" collapsed="false">
      <c r="B74" s="37" t="n">
        <f aca="false">IF(70&lt;=COUNTIF(Applications!$O$5:$O$600,"Yes"),70,"")</f>
        <v>70</v>
      </c>
      <c r="C74" s="37" t="str">
        <f aca="false">IF($B74="","",IFERROR(INDEX(Applications!$A$5:$A$600,MATCH($B74,Applications!$X$5:$X$600,0))&amp;"",""))</f>
        <v>FA26-0580</v>
      </c>
      <c r="D74" s="37" t="str">
        <f aca="false">IF($B74="","",IFERROR(INDEX(Applications!$B$5:$B$600,MATCH($B74,Applications!$X$5:$X$600,0))&amp;"",""))</f>
        <v>Greenway Pantry Network</v>
      </c>
      <c r="E74" s="37" t="str">
        <f aca="false">IF($B74="","",IFERROR(INDEX(Applications!$C$5:$C$600,MATCH($B74,Applications!$X$5:$X$600,0))&amp;"",""))</f>
        <v>Full Plate</v>
      </c>
      <c r="F74" s="37" t="str">
        <f aca="false">IF($B74="","",IFERROR(INDEX(Applications!$I$5:$I$600,MATCH($B74,Applications!$X$5:$X$600,0))&amp;"",""))</f>
        <v>Alicia Moreno</v>
      </c>
      <c r="G74" s="48" t="n">
        <f aca="false">IF($B74="","",IFERROR(INDEX(Applications!$L$5:$L$600,MATCH($B74,Applications!$X$5:$X$600,0)),""))</f>
        <v>40</v>
      </c>
      <c r="H74" s="37" t="str">
        <f aca="false">IF($B74="","",IFERROR(INDEX(Applications!$J$5:$J$600,MATCH($B74,Applications!$X$5:$X$600,0))&amp;"",""))</f>
        <v>Erin Walsh</v>
      </c>
      <c r="I74" s="48" t="n">
        <f aca="false">IF($B74="","",IFERROR(INDEX(Applications!$M$5:$M$600,MATCH($B74,Applications!$X$5:$X$600,0)),""))</f>
        <v>22</v>
      </c>
      <c r="J74" s="48" t="n">
        <f aca="false">IF($B74="","",IFERROR(INDEX(Applications!$N$5:$N$600,MATCH($B74,Applications!$X$5:$X$600,0)),""))</f>
        <v>18</v>
      </c>
      <c r="K74" s="37" t="str">
        <f aca="false">IF($B74="","",IFERROR(INDEX(Applications!$K$5:$K$600,MATCH($B74,Applications!$X$5:$X$600,0))&amp;"",""))</f>
        <v>Rafael Ortiz</v>
      </c>
      <c r="L74" s="48" t="n">
        <f aca="false">IF($B74="","",IFERROR(INDEX(Applications!$P$5:$P$600,MATCH($B74,Applications!$X$5:$X$600,0)),""))</f>
        <v>33</v>
      </c>
      <c r="M74" s="37" t="str">
        <f aca="false">IF($B74="","",IF(K74="","Assign a third reader",IF(ISNUMBER(L74),"Third read done","Waiting on third read")))</f>
        <v>Third read done</v>
      </c>
    </row>
    <row r="75" customFormat="false" ht="15" hidden="false" customHeight="false" outlineLevel="0" collapsed="false">
      <c r="B75" s="37" t="n">
        <f aca="false">IF(71&lt;=COUNTIF(Applications!$O$5:$O$600,"Yes"),71,"")</f>
        <v>71</v>
      </c>
      <c r="C75" s="37" t="str">
        <f aca="false">IF($B75="","",IFERROR(INDEX(Applications!$A$5:$A$600,MATCH($B75,Applications!$X$5:$X$600,0))&amp;"",""))</f>
        <v>FA26-0594</v>
      </c>
      <c r="D75" s="37" t="str">
        <f aca="false">IF($B75="","",IFERROR(INDEX(Applications!$B$5:$B$600,MATCH($B75,Applications!$X$5:$X$600,0))&amp;"",""))</f>
        <v>Davao Community Pantry</v>
      </c>
      <c r="E75" s="37" t="str">
        <f aca="false">IF($B75="","",IFERROR(INDEX(Applications!$C$5:$C$600,MATCH($B75,Applications!$X$5:$X$600,0))&amp;"",""))</f>
        <v>Full Plate</v>
      </c>
      <c r="F75" s="37" t="str">
        <f aca="false">IF($B75="","",IFERROR(INDEX(Applications!$I$5:$I$600,MATCH($B75,Applications!$X$5:$X$600,0))&amp;"",""))</f>
        <v>Rafael Ortiz</v>
      </c>
      <c r="G75" s="48" t="n">
        <f aca="false">IF($B75="","",IFERROR(INDEX(Applications!$L$5:$L$600,MATCH($B75,Applications!$X$5:$X$600,0)),""))</f>
        <v>87</v>
      </c>
      <c r="H75" s="37" t="str">
        <f aca="false">IF($B75="","",IFERROR(INDEX(Applications!$J$5:$J$600,MATCH($B75,Applications!$X$5:$X$600,0))&amp;"",""))</f>
        <v>Frank Delgado</v>
      </c>
      <c r="I75" s="48" t="n">
        <f aca="false">IF($B75="","",IFERROR(INDEX(Applications!$M$5:$M$600,MATCH($B75,Applications!$X$5:$X$600,0)),""))</f>
        <v>65</v>
      </c>
      <c r="J75" s="48" t="n">
        <f aca="false">IF($B75="","",IFERROR(INDEX(Applications!$N$5:$N$600,MATCH($B75,Applications!$X$5:$X$600,0)),""))</f>
        <v>22</v>
      </c>
      <c r="K75" s="37" t="str">
        <f aca="false">IF($B75="","",IFERROR(INDEX(Applications!$K$5:$K$600,MATCH($B75,Applications!$X$5:$X$600,0))&amp;"",""))</f>
        <v>Erin Walsh</v>
      </c>
      <c r="L75" s="48" t="str">
        <f aca="false">IF($B75="","",IFERROR(INDEX(Applications!$P$5:$P$600,MATCH($B75,Applications!$X$5:$X$600,0)),""))</f>
        <v/>
      </c>
      <c r="M75" s="37" t="str">
        <f aca="false">IF($B75="","",IF(K75="","Assign a third reader",IF(ISNUMBER(L75),"Third read done","Waiting on third read")))</f>
        <v>Waiting on third read</v>
      </c>
    </row>
    <row r="76" customFormat="false" ht="15" hidden="false" customHeight="false" outlineLevel="0" collapsed="false">
      <c r="B76" s="37" t="str">
        <f aca="false">IF(72&lt;=COUNTIF(Applications!$O$5:$O$600,"Yes"),72,"")</f>
        <v/>
      </c>
      <c r="C76" s="37" t="str">
        <f aca="false">IF($B76="","",IFERROR(INDEX(Applications!$A$5:$A$600,MATCH($B76,Applications!$X$5:$X$600,0))&amp;"",""))</f>
        <v/>
      </c>
      <c r="D76" s="37" t="str">
        <f aca="false">IF($B76="","",IFERROR(INDEX(Applications!$B$5:$B$600,MATCH($B76,Applications!$X$5:$X$600,0))&amp;"",""))</f>
        <v/>
      </c>
      <c r="E76" s="37" t="str">
        <f aca="false">IF($B76="","",IFERROR(INDEX(Applications!$C$5:$C$600,MATCH($B76,Applications!$X$5:$X$600,0))&amp;"",""))</f>
        <v/>
      </c>
      <c r="F76" s="37" t="str">
        <f aca="false">IF($B76="","",IFERROR(INDEX(Applications!$I$5:$I$600,MATCH($B76,Applications!$X$5:$X$600,0))&amp;"",""))</f>
        <v/>
      </c>
      <c r="G76" s="48" t="str">
        <f aca="false">IF($B76="","",IFERROR(INDEX(Applications!$L$5:$L$600,MATCH($B76,Applications!$X$5:$X$600,0)),""))</f>
        <v/>
      </c>
      <c r="H76" s="37" t="str">
        <f aca="false">IF($B76="","",IFERROR(INDEX(Applications!$J$5:$J$600,MATCH($B76,Applications!$X$5:$X$600,0))&amp;"",""))</f>
        <v/>
      </c>
      <c r="I76" s="48" t="str">
        <f aca="false">IF($B76="","",IFERROR(INDEX(Applications!$M$5:$M$600,MATCH($B76,Applications!$X$5:$X$600,0)),""))</f>
        <v/>
      </c>
      <c r="J76" s="48" t="str">
        <f aca="false">IF($B76="","",IFERROR(INDEX(Applications!$N$5:$N$600,MATCH($B76,Applications!$X$5:$X$600,0)),""))</f>
        <v/>
      </c>
      <c r="K76" s="37" t="str">
        <f aca="false">IF($B76="","",IFERROR(INDEX(Applications!$K$5:$K$600,MATCH($B76,Applications!$X$5:$X$600,0))&amp;"",""))</f>
        <v/>
      </c>
      <c r="L76" s="48" t="str">
        <f aca="false">IF($B76="","",IFERROR(INDEX(Applications!$P$5:$P$600,MATCH($B76,Applications!$X$5:$X$600,0)),""))</f>
        <v/>
      </c>
      <c r="M76" s="37" t="str">
        <f aca="false">IF($B76="","",IF(K76="","Assign a third reader",IF(ISNUMBER(L76),"Third read done","Waiting on third read")))</f>
        <v/>
      </c>
    </row>
    <row r="77" customFormat="false" ht="15" hidden="false" customHeight="false" outlineLevel="0" collapsed="false">
      <c r="B77" s="37" t="str">
        <f aca="false">IF(73&lt;=COUNTIF(Applications!$O$5:$O$600,"Yes"),73,"")</f>
        <v/>
      </c>
      <c r="C77" s="37" t="str">
        <f aca="false">IF($B77="","",IFERROR(INDEX(Applications!$A$5:$A$600,MATCH($B77,Applications!$X$5:$X$600,0))&amp;"",""))</f>
        <v/>
      </c>
      <c r="D77" s="37" t="str">
        <f aca="false">IF($B77="","",IFERROR(INDEX(Applications!$B$5:$B$600,MATCH($B77,Applications!$X$5:$X$600,0))&amp;"",""))</f>
        <v/>
      </c>
      <c r="E77" s="37" t="str">
        <f aca="false">IF($B77="","",IFERROR(INDEX(Applications!$C$5:$C$600,MATCH($B77,Applications!$X$5:$X$600,0))&amp;"",""))</f>
        <v/>
      </c>
      <c r="F77" s="37" t="str">
        <f aca="false">IF($B77="","",IFERROR(INDEX(Applications!$I$5:$I$600,MATCH($B77,Applications!$X$5:$X$600,0))&amp;"",""))</f>
        <v/>
      </c>
      <c r="G77" s="48" t="str">
        <f aca="false">IF($B77="","",IFERROR(INDEX(Applications!$L$5:$L$600,MATCH($B77,Applications!$X$5:$X$600,0)),""))</f>
        <v/>
      </c>
      <c r="H77" s="37" t="str">
        <f aca="false">IF($B77="","",IFERROR(INDEX(Applications!$J$5:$J$600,MATCH($B77,Applications!$X$5:$X$600,0))&amp;"",""))</f>
        <v/>
      </c>
      <c r="I77" s="48" t="str">
        <f aca="false">IF($B77="","",IFERROR(INDEX(Applications!$M$5:$M$600,MATCH($B77,Applications!$X$5:$X$600,0)),""))</f>
        <v/>
      </c>
      <c r="J77" s="48" t="str">
        <f aca="false">IF($B77="","",IFERROR(INDEX(Applications!$N$5:$N$600,MATCH($B77,Applications!$X$5:$X$600,0)),""))</f>
        <v/>
      </c>
      <c r="K77" s="37" t="str">
        <f aca="false">IF($B77="","",IFERROR(INDEX(Applications!$K$5:$K$600,MATCH($B77,Applications!$X$5:$X$600,0))&amp;"",""))</f>
        <v/>
      </c>
      <c r="L77" s="48" t="str">
        <f aca="false">IF($B77="","",IFERROR(INDEX(Applications!$P$5:$P$600,MATCH($B77,Applications!$X$5:$X$600,0)),""))</f>
        <v/>
      </c>
      <c r="M77" s="37" t="str">
        <f aca="false">IF($B77="","",IF(K77="","Assign a third reader",IF(ISNUMBER(L77),"Third read done","Waiting on third read")))</f>
        <v/>
      </c>
    </row>
    <row r="78" customFormat="false" ht="15" hidden="false" customHeight="false" outlineLevel="0" collapsed="false">
      <c r="B78" s="37" t="str">
        <f aca="false">IF(74&lt;=COUNTIF(Applications!$O$5:$O$600,"Yes"),74,"")</f>
        <v/>
      </c>
      <c r="C78" s="37" t="str">
        <f aca="false">IF($B78="","",IFERROR(INDEX(Applications!$A$5:$A$600,MATCH($B78,Applications!$X$5:$X$600,0))&amp;"",""))</f>
        <v/>
      </c>
      <c r="D78" s="37" t="str">
        <f aca="false">IF($B78="","",IFERROR(INDEX(Applications!$B$5:$B$600,MATCH($B78,Applications!$X$5:$X$600,0))&amp;"",""))</f>
        <v/>
      </c>
      <c r="E78" s="37" t="str">
        <f aca="false">IF($B78="","",IFERROR(INDEX(Applications!$C$5:$C$600,MATCH($B78,Applications!$X$5:$X$600,0))&amp;"",""))</f>
        <v/>
      </c>
      <c r="F78" s="37" t="str">
        <f aca="false">IF($B78="","",IFERROR(INDEX(Applications!$I$5:$I$600,MATCH($B78,Applications!$X$5:$X$600,0))&amp;"",""))</f>
        <v/>
      </c>
      <c r="G78" s="48" t="str">
        <f aca="false">IF($B78="","",IFERROR(INDEX(Applications!$L$5:$L$600,MATCH($B78,Applications!$X$5:$X$600,0)),""))</f>
        <v/>
      </c>
      <c r="H78" s="37" t="str">
        <f aca="false">IF($B78="","",IFERROR(INDEX(Applications!$J$5:$J$600,MATCH($B78,Applications!$X$5:$X$600,0))&amp;"",""))</f>
        <v/>
      </c>
      <c r="I78" s="48" t="str">
        <f aca="false">IF($B78="","",IFERROR(INDEX(Applications!$M$5:$M$600,MATCH($B78,Applications!$X$5:$X$600,0)),""))</f>
        <v/>
      </c>
      <c r="J78" s="48" t="str">
        <f aca="false">IF($B78="","",IFERROR(INDEX(Applications!$N$5:$N$600,MATCH($B78,Applications!$X$5:$X$600,0)),""))</f>
        <v/>
      </c>
      <c r="K78" s="37" t="str">
        <f aca="false">IF($B78="","",IFERROR(INDEX(Applications!$K$5:$K$600,MATCH($B78,Applications!$X$5:$X$600,0))&amp;"",""))</f>
        <v/>
      </c>
      <c r="L78" s="48" t="str">
        <f aca="false">IF($B78="","",IFERROR(INDEX(Applications!$P$5:$P$600,MATCH($B78,Applications!$X$5:$X$600,0)),""))</f>
        <v/>
      </c>
      <c r="M78" s="37" t="str">
        <f aca="false">IF($B78="","",IF(K78="","Assign a third reader",IF(ISNUMBER(L78),"Third read done","Waiting on third read")))</f>
        <v/>
      </c>
    </row>
    <row r="79" customFormat="false" ht="15" hidden="false" customHeight="false" outlineLevel="0" collapsed="false">
      <c r="B79" s="37" t="str">
        <f aca="false">IF(75&lt;=COUNTIF(Applications!$O$5:$O$600,"Yes"),75,"")</f>
        <v/>
      </c>
      <c r="C79" s="37" t="str">
        <f aca="false">IF($B79="","",IFERROR(INDEX(Applications!$A$5:$A$600,MATCH($B79,Applications!$X$5:$X$600,0))&amp;"",""))</f>
        <v/>
      </c>
      <c r="D79" s="37" t="str">
        <f aca="false">IF($B79="","",IFERROR(INDEX(Applications!$B$5:$B$600,MATCH($B79,Applications!$X$5:$X$600,0))&amp;"",""))</f>
        <v/>
      </c>
      <c r="E79" s="37" t="str">
        <f aca="false">IF($B79="","",IFERROR(INDEX(Applications!$C$5:$C$600,MATCH($B79,Applications!$X$5:$X$600,0))&amp;"",""))</f>
        <v/>
      </c>
      <c r="F79" s="37" t="str">
        <f aca="false">IF($B79="","",IFERROR(INDEX(Applications!$I$5:$I$600,MATCH($B79,Applications!$X$5:$X$600,0))&amp;"",""))</f>
        <v/>
      </c>
      <c r="G79" s="48" t="str">
        <f aca="false">IF($B79="","",IFERROR(INDEX(Applications!$L$5:$L$600,MATCH($B79,Applications!$X$5:$X$600,0)),""))</f>
        <v/>
      </c>
      <c r="H79" s="37" t="str">
        <f aca="false">IF($B79="","",IFERROR(INDEX(Applications!$J$5:$J$600,MATCH($B79,Applications!$X$5:$X$600,0))&amp;"",""))</f>
        <v/>
      </c>
      <c r="I79" s="48" t="str">
        <f aca="false">IF($B79="","",IFERROR(INDEX(Applications!$M$5:$M$600,MATCH($B79,Applications!$X$5:$X$600,0)),""))</f>
        <v/>
      </c>
      <c r="J79" s="48" t="str">
        <f aca="false">IF($B79="","",IFERROR(INDEX(Applications!$N$5:$N$600,MATCH($B79,Applications!$X$5:$X$600,0)),""))</f>
        <v/>
      </c>
      <c r="K79" s="37" t="str">
        <f aca="false">IF($B79="","",IFERROR(INDEX(Applications!$K$5:$K$600,MATCH($B79,Applications!$X$5:$X$600,0))&amp;"",""))</f>
        <v/>
      </c>
      <c r="L79" s="48" t="str">
        <f aca="false">IF($B79="","",IFERROR(INDEX(Applications!$P$5:$P$600,MATCH($B79,Applications!$X$5:$X$600,0)),""))</f>
        <v/>
      </c>
      <c r="M79" s="37" t="str">
        <f aca="false">IF($B79="","",IF(K79="","Assign a third reader",IF(ISNUMBER(L79),"Third read done","Waiting on third read")))</f>
        <v/>
      </c>
    </row>
    <row r="80" customFormat="false" ht="15" hidden="false" customHeight="false" outlineLevel="0" collapsed="false">
      <c r="B80" s="37" t="str">
        <f aca="false">IF(76&lt;=COUNTIF(Applications!$O$5:$O$600,"Yes"),76,"")</f>
        <v/>
      </c>
      <c r="C80" s="37" t="str">
        <f aca="false">IF($B80="","",IFERROR(INDEX(Applications!$A$5:$A$600,MATCH($B80,Applications!$X$5:$X$600,0))&amp;"",""))</f>
        <v/>
      </c>
      <c r="D80" s="37" t="str">
        <f aca="false">IF($B80="","",IFERROR(INDEX(Applications!$B$5:$B$600,MATCH($B80,Applications!$X$5:$X$600,0))&amp;"",""))</f>
        <v/>
      </c>
      <c r="E80" s="37" t="str">
        <f aca="false">IF($B80="","",IFERROR(INDEX(Applications!$C$5:$C$600,MATCH($B80,Applications!$X$5:$X$600,0))&amp;"",""))</f>
        <v/>
      </c>
      <c r="F80" s="37" t="str">
        <f aca="false">IF($B80="","",IFERROR(INDEX(Applications!$I$5:$I$600,MATCH($B80,Applications!$X$5:$X$600,0))&amp;"",""))</f>
        <v/>
      </c>
      <c r="G80" s="48" t="str">
        <f aca="false">IF($B80="","",IFERROR(INDEX(Applications!$L$5:$L$600,MATCH($B80,Applications!$X$5:$X$600,0)),""))</f>
        <v/>
      </c>
      <c r="H80" s="37" t="str">
        <f aca="false">IF($B80="","",IFERROR(INDEX(Applications!$J$5:$J$600,MATCH($B80,Applications!$X$5:$X$600,0))&amp;"",""))</f>
        <v/>
      </c>
      <c r="I80" s="48" t="str">
        <f aca="false">IF($B80="","",IFERROR(INDEX(Applications!$M$5:$M$600,MATCH($B80,Applications!$X$5:$X$600,0)),""))</f>
        <v/>
      </c>
      <c r="J80" s="48" t="str">
        <f aca="false">IF($B80="","",IFERROR(INDEX(Applications!$N$5:$N$600,MATCH($B80,Applications!$X$5:$X$600,0)),""))</f>
        <v/>
      </c>
      <c r="K80" s="37" t="str">
        <f aca="false">IF($B80="","",IFERROR(INDEX(Applications!$K$5:$K$600,MATCH($B80,Applications!$X$5:$X$600,0))&amp;"",""))</f>
        <v/>
      </c>
      <c r="L80" s="48" t="str">
        <f aca="false">IF($B80="","",IFERROR(INDEX(Applications!$P$5:$P$600,MATCH($B80,Applications!$X$5:$X$600,0)),""))</f>
        <v/>
      </c>
      <c r="M80" s="37" t="str">
        <f aca="false">IF($B80="","",IF(K80="","Assign a third reader",IF(ISNUMBER(L80),"Third read done","Waiting on third read")))</f>
        <v/>
      </c>
    </row>
    <row r="81" customFormat="false" ht="15" hidden="false" customHeight="false" outlineLevel="0" collapsed="false">
      <c r="B81" s="37" t="str">
        <f aca="false">IF(77&lt;=COUNTIF(Applications!$O$5:$O$600,"Yes"),77,"")</f>
        <v/>
      </c>
      <c r="C81" s="37" t="str">
        <f aca="false">IF($B81="","",IFERROR(INDEX(Applications!$A$5:$A$600,MATCH($B81,Applications!$X$5:$X$600,0))&amp;"",""))</f>
        <v/>
      </c>
      <c r="D81" s="37" t="str">
        <f aca="false">IF($B81="","",IFERROR(INDEX(Applications!$B$5:$B$600,MATCH($B81,Applications!$X$5:$X$600,0))&amp;"",""))</f>
        <v/>
      </c>
      <c r="E81" s="37" t="str">
        <f aca="false">IF($B81="","",IFERROR(INDEX(Applications!$C$5:$C$600,MATCH($B81,Applications!$X$5:$X$600,0))&amp;"",""))</f>
        <v/>
      </c>
      <c r="F81" s="37" t="str">
        <f aca="false">IF($B81="","",IFERROR(INDEX(Applications!$I$5:$I$600,MATCH($B81,Applications!$X$5:$X$600,0))&amp;"",""))</f>
        <v/>
      </c>
      <c r="G81" s="48" t="str">
        <f aca="false">IF($B81="","",IFERROR(INDEX(Applications!$L$5:$L$600,MATCH($B81,Applications!$X$5:$X$600,0)),""))</f>
        <v/>
      </c>
      <c r="H81" s="37" t="str">
        <f aca="false">IF($B81="","",IFERROR(INDEX(Applications!$J$5:$J$600,MATCH($B81,Applications!$X$5:$X$600,0))&amp;"",""))</f>
        <v/>
      </c>
      <c r="I81" s="48" t="str">
        <f aca="false">IF($B81="","",IFERROR(INDEX(Applications!$M$5:$M$600,MATCH($B81,Applications!$X$5:$X$600,0)),""))</f>
        <v/>
      </c>
      <c r="J81" s="48" t="str">
        <f aca="false">IF($B81="","",IFERROR(INDEX(Applications!$N$5:$N$600,MATCH($B81,Applications!$X$5:$X$600,0)),""))</f>
        <v/>
      </c>
      <c r="K81" s="37" t="str">
        <f aca="false">IF($B81="","",IFERROR(INDEX(Applications!$K$5:$K$600,MATCH($B81,Applications!$X$5:$X$600,0))&amp;"",""))</f>
        <v/>
      </c>
      <c r="L81" s="48" t="str">
        <f aca="false">IF($B81="","",IFERROR(INDEX(Applications!$P$5:$P$600,MATCH($B81,Applications!$X$5:$X$600,0)),""))</f>
        <v/>
      </c>
      <c r="M81" s="37" t="str">
        <f aca="false">IF($B81="","",IF(K81="","Assign a third reader",IF(ISNUMBER(L81),"Third read done","Waiting on third read")))</f>
        <v/>
      </c>
    </row>
    <row r="82" customFormat="false" ht="15" hidden="false" customHeight="false" outlineLevel="0" collapsed="false">
      <c r="B82" s="37" t="str">
        <f aca="false">IF(78&lt;=COUNTIF(Applications!$O$5:$O$600,"Yes"),78,"")</f>
        <v/>
      </c>
      <c r="C82" s="37" t="str">
        <f aca="false">IF($B82="","",IFERROR(INDEX(Applications!$A$5:$A$600,MATCH($B82,Applications!$X$5:$X$600,0))&amp;"",""))</f>
        <v/>
      </c>
      <c r="D82" s="37" t="str">
        <f aca="false">IF($B82="","",IFERROR(INDEX(Applications!$B$5:$B$600,MATCH($B82,Applications!$X$5:$X$600,0))&amp;"",""))</f>
        <v/>
      </c>
      <c r="E82" s="37" t="str">
        <f aca="false">IF($B82="","",IFERROR(INDEX(Applications!$C$5:$C$600,MATCH($B82,Applications!$X$5:$X$600,0))&amp;"",""))</f>
        <v/>
      </c>
      <c r="F82" s="37" t="str">
        <f aca="false">IF($B82="","",IFERROR(INDEX(Applications!$I$5:$I$600,MATCH($B82,Applications!$X$5:$X$600,0))&amp;"",""))</f>
        <v/>
      </c>
      <c r="G82" s="48" t="str">
        <f aca="false">IF($B82="","",IFERROR(INDEX(Applications!$L$5:$L$600,MATCH($B82,Applications!$X$5:$X$600,0)),""))</f>
        <v/>
      </c>
      <c r="H82" s="37" t="str">
        <f aca="false">IF($B82="","",IFERROR(INDEX(Applications!$J$5:$J$600,MATCH($B82,Applications!$X$5:$X$600,0))&amp;"",""))</f>
        <v/>
      </c>
      <c r="I82" s="48" t="str">
        <f aca="false">IF($B82="","",IFERROR(INDEX(Applications!$M$5:$M$600,MATCH($B82,Applications!$X$5:$X$600,0)),""))</f>
        <v/>
      </c>
      <c r="J82" s="48" t="str">
        <f aca="false">IF($B82="","",IFERROR(INDEX(Applications!$N$5:$N$600,MATCH($B82,Applications!$X$5:$X$600,0)),""))</f>
        <v/>
      </c>
      <c r="K82" s="37" t="str">
        <f aca="false">IF($B82="","",IFERROR(INDEX(Applications!$K$5:$K$600,MATCH($B82,Applications!$X$5:$X$600,0))&amp;"",""))</f>
        <v/>
      </c>
      <c r="L82" s="48" t="str">
        <f aca="false">IF($B82="","",IFERROR(INDEX(Applications!$P$5:$P$600,MATCH($B82,Applications!$X$5:$X$600,0)),""))</f>
        <v/>
      </c>
      <c r="M82" s="37" t="str">
        <f aca="false">IF($B82="","",IF(K82="","Assign a third reader",IF(ISNUMBER(L82),"Third read done","Waiting on third read")))</f>
        <v/>
      </c>
    </row>
    <row r="83" customFormat="false" ht="15" hidden="false" customHeight="false" outlineLevel="0" collapsed="false">
      <c r="B83" s="37" t="str">
        <f aca="false">IF(79&lt;=COUNTIF(Applications!$O$5:$O$600,"Yes"),79,"")</f>
        <v/>
      </c>
      <c r="C83" s="37" t="str">
        <f aca="false">IF($B83="","",IFERROR(INDEX(Applications!$A$5:$A$600,MATCH($B83,Applications!$X$5:$X$600,0))&amp;"",""))</f>
        <v/>
      </c>
      <c r="D83" s="37" t="str">
        <f aca="false">IF($B83="","",IFERROR(INDEX(Applications!$B$5:$B$600,MATCH($B83,Applications!$X$5:$X$600,0))&amp;"",""))</f>
        <v/>
      </c>
      <c r="E83" s="37" t="str">
        <f aca="false">IF($B83="","",IFERROR(INDEX(Applications!$C$5:$C$600,MATCH($B83,Applications!$X$5:$X$600,0))&amp;"",""))</f>
        <v/>
      </c>
      <c r="F83" s="37" t="str">
        <f aca="false">IF($B83="","",IFERROR(INDEX(Applications!$I$5:$I$600,MATCH($B83,Applications!$X$5:$X$600,0))&amp;"",""))</f>
        <v/>
      </c>
      <c r="G83" s="48" t="str">
        <f aca="false">IF($B83="","",IFERROR(INDEX(Applications!$L$5:$L$600,MATCH($B83,Applications!$X$5:$X$600,0)),""))</f>
        <v/>
      </c>
      <c r="H83" s="37" t="str">
        <f aca="false">IF($B83="","",IFERROR(INDEX(Applications!$J$5:$J$600,MATCH($B83,Applications!$X$5:$X$600,0))&amp;"",""))</f>
        <v/>
      </c>
      <c r="I83" s="48" t="str">
        <f aca="false">IF($B83="","",IFERROR(INDEX(Applications!$M$5:$M$600,MATCH($B83,Applications!$X$5:$X$600,0)),""))</f>
        <v/>
      </c>
      <c r="J83" s="48" t="str">
        <f aca="false">IF($B83="","",IFERROR(INDEX(Applications!$N$5:$N$600,MATCH($B83,Applications!$X$5:$X$600,0)),""))</f>
        <v/>
      </c>
      <c r="K83" s="37" t="str">
        <f aca="false">IF($B83="","",IFERROR(INDEX(Applications!$K$5:$K$600,MATCH($B83,Applications!$X$5:$X$600,0))&amp;"",""))</f>
        <v/>
      </c>
      <c r="L83" s="48" t="str">
        <f aca="false">IF($B83="","",IFERROR(INDEX(Applications!$P$5:$P$600,MATCH($B83,Applications!$X$5:$X$600,0)),""))</f>
        <v/>
      </c>
      <c r="M83" s="37" t="str">
        <f aca="false">IF($B83="","",IF(K83="","Assign a third reader",IF(ISNUMBER(L83),"Third read done","Waiting on third read")))</f>
        <v/>
      </c>
    </row>
    <row r="84" customFormat="false" ht="15" hidden="false" customHeight="false" outlineLevel="0" collapsed="false">
      <c r="B84" s="37" t="str">
        <f aca="false">IF(80&lt;=COUNTIF(Applications!$O$5:$O$600,"Yes"),80,"")</f>
        <v/>
      </c>
      <c r="C84" s="37" t="str">
        <f aca="false">IF($B84="","",IFERROR(INDEX(Applications!$A$5:$A$600,MATCH($B84,Applications!$X$5:$X$600,0))&amp;"",""))</f>
        <v/>
      </c>
      <c r="D84" s="37" t="str">
        <f aca="false">IF($B84="","",IFERROR(INDEX(Applications!$B$5:$B$600,MATCH($B84,Applications!$X$5:$X$600,0))&amp;"",""))</f>
        <v/>
      </c>
      <c r="E84" s="37" t="str">
        <f aca="false">IF($B84="","",IFERROR(INDEX(Applications!$C$5:$C$600,MATCH($B84,Applications!$X$5:$X$600,0))&amp;"",""))</f>
        <v/>
      </c>
      <c r="F84" s="37" t="str">
        <f aca="false">IF($B84="","",IFERROR(INDEX(Applications!$I$5:$I$600,MATCH($B84,Applications!$X$5:$X$600,0))&amp;"",""))</f>
        <v/>
      </c>
      <c r="G84" s="48" t="str">
        <f aca="false">IF($B84="","",IFERROR(INDEX(Applications!$L$5:$L$600,MATCH($B84,Applications!$X$5:$X$600,0)),""))</f>
        <v/>
      </c>
      <c r="H84" s="37" t="str">
        <f aca="false">IF($B84="","",IFERROR(INDEX(Applications!$J$5:$J$600,MATCH($B84,Applications!$X$5:$X$600,0))&amp;"",""))</f>
        <v/>
      </c>
      <c r="I84" s="48" t="str">
        <f aca="false">IF($B84="","",IFERROR(INDEX(Applications!$M$5:$M$600,MATCH($B84,Applications!$X$5:$X$600,0)),""))</f>
        <v/>
      </c>
      <c r="J84" s="48" t="str">
        <f aca="false">IF($B84="","",IFERROR(INDEX(Applications!$N$5:$N$600,MATCH($B84,Applications!$X$5:$X$600,0)),""))</f>
        <v/>
      </c>
      <c r="K84" s="37" t="str">
        <f aca="false">IF($B84="","",IFERROR(INDEX(Applications!$K$5:$K$600,MATCH($B84,Applications!$X$5:$X$600,0))&amp;"",""))</f>
        <v/>
      </c>
      <c r="L84" s="48" t="str">
        <f aca="false">IF($B84="","",IFERROR(INDEX(Applications!$P$5:$P$600,MATCH($B84,Applications!$X$5:$X$600,0)),""))</f>
        <v/>
      </c>
      <c r="M84" s="37" t="str">
        <f aca="false">IF($B84="","",IF(K84="","Assign a third reader",IF(ISNUMBER(L84),"Third read done","Waiting on third read")))</f>
        <v/>
      </c>
    </row>
    <row r="85" customFormat="false" ht="15" hidden="false" customHeight="false" outlineLevel="0" collapsed="false">
      <c r="B85" s="37" t="str">
        <f aca="false">IF(81&lt;=COUNTIF(Applications!$O$5:$O$600,"Yes"),81,"")</f>
        <v/>
      </c>
      <c r="C85" s="37" t="str">
        <f aca="false">IF($B85="","",IFERROR(INDEX(Applications!$A$5:$A$600,MATCH($B85,Applications!$X$5:$X$600,0))&amp;"",""))</f>
        <v/>
      </c>
      <c r="D85" s="37" t="str">
        <f aca="false">IF($B85="","",IFERROR(INDEX(Applications!$B$5:$B$600,MATCH($B85,Applications!$X$5:$X$600,0))&amp;"",""))</f>
        <v/>
      </c>
      <c r="E85" s="37" t="str">
        <f aca="false">IF($B85="","",IFERROR(INDEX(Applications!$C$5:$C$600,MATCH($B85,Applications!$X$5:$X$600,0))&amp;"",""))</f>
        <v/>
      </c>
      <c r="F85" s="37" t="str">
        <f aca="false">IF($B85="","",IFERROR(INDEX(Applications!$I$5:$I$600,MATCH($B85,Applications!$X$5:$X$600,0))&amp;"",""))</f>
        <v/>
      </c>
      <c r="G85" s="48" t="str">
        <f aca="false">IF($B85="","",IFERROR(INDEX(Applications!$L$5:$L$600,MATCH($B85,Applications!$X$5:$X$600,0)),""))</f>
        <v/>
      </c>
      <c r="H85" s="37" t="str">
        <f aca="false">IF($B85="","",IFERROR(INDEX(Applications!$J$5:$J$600,MATCH($B85,Applications!$X$5:$X$600,0))&amp;"",""))</f>
        <v/>
      </c>
      <c r="I85" s="48" t="str">
        <f aca="false">IF($B85="","",IFERROR(INDEX(Applications!$M$5:$M$600,MATCH($B85,Applications!$X$5:$X$600,0)),""))</f>
        <v/>
      </c>
      <c r="J85" s="48" t="str">
        <f aca="false">IF($B85="","",IFERROR(INDEX(Applications!$N$5:$N$600,MATCH($B85,Applications!$X$5:$X$600,0)),""))</f>
        <v/>
      </c>
      <c r="K85" s="37" t="str">
        <f aca="false">IF($B85="","",IFERROR(INDEX(Applications!$K$5:$K$600,MATCH($B85,Applications!$X$5:$X$600,0))&amp;"",""))</f>
        <v/>
      </c>
      <c r="L85" s="48" t="str">
        <f aca="false">IF($B85="","",IFERROR(INDEX(Applications!$P$5:$P$600,MATCH($B85,Applications!$X$5:$X$600,0)),""))</f>
        <v/>
      </c>
      <c r="M85" s="37" t="str">
        <f aca="false">IF($B85="","",IF(K85="","Assign a third reader",IF(ISNUMBER(L85),"Third read done","Waiting on third read")))</f>
        <v/>
      </c>
    </row>
    <row r="86" customFormat="false" ht="15" hidden="false" customHeight="false" outlineLevel="0" collapsed="false">
      <c r="B86" s="37" t="str">
        <f aca="false">IF(82&lt;=COUNTIF(Applications!$O$5:$O$600,"Yes"),82,"")</f>
        <v/>
      </c>
      <c r="C86" s="37" t="str">
        <f aca="false">IF($B86="","",IFERROR(INDEX(Applications!$A$5:$A$600,MATCH($B86,Applications!$X$5:$X$600,0))&amp;"",""))</f>
        <v/>
      </c>
      <c r="D86" s="37" t="str">
        <f aca="false">IF($B86="","",IFERROR(INDEX(Applications!$B$5:$B$600,MATCH($B86,Applications!$X$5:$X$600,0))&amp;"",""))</f>
        <v/>
      </c>
      <c r="E86" s="37" t="str">
        <f aca="false">IF($B86="","",IFERROR(INDEX(Applications!$C$5:$C$600,MATCH($B86,Applications!$X$5:$X$600,0))&amp;"",""))</f>
        <v/>
      </c>
      <c r="F86" s="37" t="str">
        <f aca="false">IF($B86="","",IFERROR(INDEX(Applications!$I$5:$I$600,MATCH($B86,Applications!$X$5:$X$600,0))&amp;"",""))</f>
        <v/>
      </c>
      <c r="G86" s="48" t="str">
        <f aca="false">IF($B86="","",IFERROR(INDEX(Applications!$L$5:$L$600,MATCH($B86,Applications!$X$5:$X$600,0)),""))</f>
        <v/>
      </c>
      <c r="H86" s="37" t="str">
        <f aca="false">IF($B86="","",IFERROR(INDEX(Applications!$J$5:$J$600,MATCH($B86,Applications!$X$5:$X$600,0))&amp;"",""))</f>
        <v/>
      </c>
      <c r="I86" s="48" t="str">
        <f aca="false">IF($B86="","",IFERROR(INDEX(Applications!$M$5:$M$600,MATCH($B86,Applications!$X$5:$X$600,0)),""))</f>
        <v/>
      </c>
      <c r="J86" s="48" t="str">
        <f aca="false">IF($B86="","",IFERROR(INDEX(Applications!$N$5:$N$600,MATCH($B86,Applications!$X$5:$X$600,0)),""))</f>
        <v/>
      </c>
      <c r="K86" s="37" t="str">
        <f aca="false">IF($B86="","",IFERROR(INDEX(Applications!$K$5:$K$600,MATCH($B86,Applications!$X$5:$X$600,0))&amp;"",""))</f>
        <v/>
      </c>
      <c r="L86" s="48" t="str">
        <f aca="false">IF($B86="","",IFERROR(INDEX(Applications!$P$5:$P$600,MATCH($B86,Applications!$X$5:$X$600,0)),""))</f>
        <v/>
      </c>
      <c r="M86" s="37" t="str">
        <f aca="false">IF($B86="","",IF(K86="","Assign a third reader",IF(ISNUMBER(L86),"Third read done","Waiting on third read")))</f>
        <v/>
      </c>
    </row>
    <row r="87" customFormat="false" ht="15" hidden="false" customHeight="false" outlineLevel="0" collapsed="false">
      <c r="B87" s="37" t="str">
        <f aca="false">IF(83&lt;=COUNTIF(Applications!$O$5:$O$600,"Yes"),83,"")</f>
        <v/>
      </c>
      <c r="C87" s="37" t="str">
        <f aca="false">IF($B87="","",IFERROR(INDEX(Applications!$A$5:$A$600,MATCH($B87,Applications!$X$5:$X$600,0))&amp;"",""))</f>
        <v/>
      </c>
      <c r="D87" s="37" t="str">
        <f aca="false">IF($B87="","",IFERROR(INDEX(Applications!$B$5:$B$600,MATCH($B87,Applications!$X$5:$X$600,0))&amp;"",""))</f>
        <v/>
      </c>
      <c r="E87" s="37" t="str">
        <f aca="false">IF($B87="","",IFERROR(INDEX(Applications!$C$5:$C$600,MATCH($B87,Applications!$X$5:$X$600,0))&amp;"",""))</f>
        <v/>
      </c>
      <c r="F87" s="37" t="str">
        <f aca="false">IF($B87="","",IFERROR(INDEX(Applications!$I$5:$I$600,MATCH($B87,Applications!$X$5:$X$600,0))&amp;"",""))</f>
        <v/>
      </c>
      <c r="G87" s="48" t="str">
        <f aca="false">IF($B87="","",IFERROR(INDEX(Applications!$L$5:$L$600,MATCH($B87,Applications!$X$5:$X$600,0)),""))</f>
        <v/>
      </c>
      <c r="H87" s="37" t="str">
        <f aca="false">IF($B87="","",IFERROR(INDEX(Applications!$J$5:$J$600,MATCH($B87,Applications!$X$5:$X$600,0))&amp;"",""))</f>
        <v/>
      </c>
      <c r="I87" s="48" t="str">
        <f aca="false">IF($B87="","",IFERROR(INDEX(Applications!$M$5:$M$600,MATCH($B87,Applications!$X$5:$X$600,0)),""))</f>
        <v/>
      </c>
      <c r="J87" s="48" t="str">
        <f aca="false">IF($B87="","",IFERROR(INDEX(Applications!$N$5:$N$600,MATCH($B87,Applications!$X$5:$X$600,0)),""))</f>
        <v/>
      </c>
      <c r="K87" s="37" t="str">
        <f aca="false">IF($B87="","",IFERROR(INDEX(Applications!$K$5:$K$600,MATCH($B87,Applications!$X$5:$X$600,0))&amp;"",""))</f>
        <v/>
      </c>
      <c r="L87" s="48" t="str">
        <f aca="false">IF($B87="","",IFERROR(INDEX(Applications!$P$5:$P$600,MATCH($B87,Applications!$X$5:$X$600,0)),""))</f>
        <v/>
      </c>
      <c r="M87" s="37" t="str">
        <f aca="false">IF($B87="","",IF(K87="","Assign a third reader",IF(ISNUMBER(L87),"Third read done","Waiting on third read")))</f>
        <v/>
      </c>
    </row>
    <row r="88" customFormat="false" ht="15" hidden="false" customHeight="false" outlineLevel="0" collapsed="false">
      <c r="B88" s="37" t="str">
        <f aca="false">IF(84&lt;=COUNTIF(Applications!$O$5:$O$600,"Yes"),84,"")</f>
        <v/>
      </c>
      <c r="C88" s="37" t="str">
        <f aca="false">IF($B88="","",IFERROR(INDEX(Applications!$A$5:$A$600,MATCH($B88,Applications!$X$5:$X$600,0))&amp;"",""))</f>
        <v/>
      </c>
      <c r="D88" s="37" t="str">
        <f aca="false">IF($B88="","",IFERROR(INDEX(Applications!$B$5:$B$600,MATCH($B88,Applications!$X$5:$X$600,0))&amp;"",""))</f>
        <v/>
      </c>
      <c r="E88" s="37" t="str">
        <f aca="false">IF($B88="","",IFERROR(INDEX(Applications!$C$5:$C$600,MATCH($B88,Applications!$X$5:$X$600,0))&amp;"",""))</f>
        <v/>
      </c>
      <c r="F88" s="37" t="str">
        <f aca="false">IF($B88="","",IFERROR(INDEX(Applications!$I$5:$I$600,MATCH($B88,Applications!$X$5:$X$600,0))&amp;"",""))</f>
        <v/>
      </c>
      <c r="G88" s="48" t="str">
        <f aca="false">IF($B88="","",IFERROR(INDEX(Applications!$L$5:$L$600,MATCH($B88,Applications!$X$5:$X$600,0)),""))</f>
        <v/>
      </c>
      <c r="H88" s="37" t="str">
        <f aca="false">IF($B88="","",IFERROR(INDEX(Applications!$J$5:$J$600,MATCH($B88,Applications!$X$5:$X$600,0))&amp;"",""))</f>
        <v/>
      </c>
      <c r="I88" s="48" t="str">
        <f aca="false">IF($B88="","",IFERROR(INDEX(Applications!$M$5:$M$600,MATCH($B88,Applications!$X$5:$X$600,0)),""))</f>
        <v/>
      </c>
      <c r="J88" s="48" t="str">
        <f aca="false">IF($B88="","",IFERROR(INDEX(Applications!$N$5:$N$600,MATCH($B88,Applications!$X$5:$X$600,0)),""))</f>
        <v/>
      </c>
      <c r="K88" s="37" t="str">
        <f aca="false">IF($B88="","",IFERROR(INDEX(Applications!$K$5:$K$600,MATCH($B88,Applications!$X$5:$X$600,0))&amp;"",""))</f>
        <v/>
      </c>
      <c r="L88" s="48" t="str">
        <f aca="false">IF($B88="","",IFERROR(INDEX(Applications!$P$5:$P$600,MATCH($B88,Applications!$X$5:$X$600,0)),""))</f>
        <v/>
      </c>
      <c r="M88" s="37" t="str">
        <f aca="false">IF($B88="","",IF(K88="","Assign a third reader",IF(ISNUMBER(L88),"Third read done","Waiting on third read")))</f>
        <v/>
      </c>
    </row>
    <row r="89" customFormat="false" ht="15" hidden="false" customHeight="false" outlineLevel="0" collapsed="false">
      <c r="B89" s="37" t="str">
        <f aca="false">IF(85&lt;=COUNTIF(Applications!$O$5:$O$600,"Yes"),85,"")</f>
        <v/>
      </c>
      <c r="C89" s="37" t="str">
        <f aca="false">IF($B89="","",IFERROR(INDEX(Applications!$A$5:$A$600,MATCH($B89,Applications!$X$5:$X$600,0))&amp;"",""))</f>
        <v/>
      </c>
      <c r="D89" s="37" t="str">
        <f aca="false">IF($B89="","",IFERROR(INDEX(Applications!$B$5:$B$600,MATCH($B89,Applications!$X$5:$X$600,0))&amp;"",""))</f>
        <v/>
      </c>
      <c r="E89" s="37" t="str">
        <f aca="false">IF($B89="","",IFERROR(INDEX(Applications!$C$5:$C$600,MATCH($B89,Applications!$X$5:$X$600,0))&amp;"",""))</f>
        <v/>
      </c>
      <c r="F89" s="37" t="str">
        <f aca="false">IF($B89="","",IFERROR(INDEX(Applications!$I$5:$I$600,MATCH($B89,Applications!$X$5:$X$600,0))&amp;"",""))</f>
        <v/>
      </c>
      <c r="G89" s="48" t="str">
        <f aca="false">IF($B89="","",IFERROR(INDEX(Applications!$L$5:$L$600,MATCH($B89,Applications!$X$5:$X$600,0)),""))</f>
        <v/>
      </c>
      <c r="H89" s="37" t="str">
        <f aca="false">IF($B89="","",IFERROR(INDEX(Applications!$J$5:$J$600,MATCH($B89,Applications!$X$5:$X$600,0))&amp;"",""))</f>
        <v/>
      </c>
      <c r="I89" s="48" t="str">
        <f aca="false">IF($B89="","",IFERROR(INDEX(Applications!$M$5:$M$600,MATCH($B89,Applications!$X$5:$X$600,0)),""))</f>
        <v/>
      </c>
      <c r="J89" s="48" t="str">
        <f aca="false">IF($B89="","",IFERROR(INDEX(Applications!$N$5:$N$600,MATCH($B89,Applications!$X$5:$X$600,0)),""))</f>
        <v/>
      </c>
      <c r="K89" s="37" t="str">
        <f aca="false">IF($B89="","",IFERROR(INDEX(Applications!$K$5:$K$600,MATCH($B89,Applications!$X$5:$X$600,0))&amp;"",""))</f>
        <v/>
      </c>
      <c r="L89" s="48" t="str">
        <f aca="false">IF($B89="","",IFERROR(INDEX(Applications!$P$5:$P$600,MATCH($B89,Applications!$X$5:$X$600,0)),""))</f>
        <v/>
      </c>
      <c r="M89" s="37" t="str">
        <f aca="false">IF($B89="","",IF(K89="","Assign a third reader",IF(ISNUMBER(L89),"Third read done","Waiting on third read")))</f>
        <v/>
      </c>
    </row>
    <row r="90" customFormat="false" ht="15" hidden="false" customHeight="false" outlineLevel="0" collapsed="false">
      <c r="B90" s="37" t="str">
        <f aca="false">IF(86&lt;=COUNTIF(Applications!$O$5:$O$600,"Yes"),86,"")</f>
        <v/>
      </c>
      <c r="C90" s="37" t="str">
        <f aca="false">IF($B90="","",IFERROR(INDEX(Applications!$A$5:$A$600,MATCH($B90,Applications!$X$5:$X$600,0))&amp;"",""))</f>
        <v/>
      </c>
      <c r="D90" s="37" t="str">
        <f aca="false">IF($B90="","",IFERROR(INDEX(Applications!$B$5:$B$600,MATCH($B90,Applications!$X$5:$X$600,0))&amp;"",""))</f>
        <v/>
      </c>
      <c r="E90" s="37" t="str">
        <f aca="false">IF($B90="","",IFERROR(INDEX(Applications!$C$5:$C$600,MATCH($B90,Applications!$X$5:$X$600,0))&amp;"",""))</f>
        <v/>
      </c>
      <c r="F90" s="37" t="str">
        <f aca="false">IF($B90="","",IFERROR(INDEX(Applications!$I$5:$I$600,MATCH($B90,Applications!$X$5:$X$600,0))&amp;"",""))</f>
        <v/>
      </c>
      <c r="G90" s="48" t="str">
        <f aca="false">IF($B90="","",IFERROR(INDEX(Applications!$L$5:$L$600,MATCH($B90,Applications!$X$5:$X$600,0)),""))</f>
        <v/>
      </c>
      <c r="H90" s="37" t="str">
        <f aca="false">IF($B90="","",IFERROR(INDEX(Applications!$J$5:$J$600,MATCH($B90,Applications!$X$5:$X$600,0))&amp;"",""))</f>
        <v/>
      </c>
      <c r="I90" s="48" t="str">
        <f aca="false">IF($B90="","",IFERROR(INDEX(Applications!$M$5:$M$600,MATCH($B90,Applications!$X$5:$X$600,0)),""))</f>
        <v/>
      </c>
      <c r="J90" s="48" t="str">
        <f aca="false">IF($B90="","",IFERROR(INDEX(Applications!$N$5:$N$600,MATCH($B90,Applications!$X$5:$X$600,0)),""))</f>
        <v/>
      </c>
      <c r="K90" s="37" t="str">
        <f aca="false">IF($B90="","",IFERROR(INDEX(Applications!$K$5:$K$600,MATCH($B90,Applications!$X$5:$X$600,0))&amp;"",""))</f>
        <v/>
      </c>
      <c r="L90" s="48" t="str">
        <f aca="false">IF($B90="","",IFERROR(INDEX(Applications!$P$5:$P$600,MATCH($B90,Applications!$X$5:$X$600,0)),""))</f>
        <v/>
      </c>
      <c r="M90" s="37" t="str">
        <f aca="false">IF($B90="","",IF(K90="","Assign a third reader",IF(ISNUMBER(L90),"Third read done","Waiting on third read")))</f>
        <v/>
      </c>
    </row>
    <row r="91" customFormat="false" ht="15" hidden="false" customHeight="false" outlineLevel="0" collapsed="false">
      <c r="B91" s="37" t="str">
        <f aca="false">IF(87&lt;=COUNTIF(Applications!$O$5:$O$600,"Yes"),87,"")</f>
        <v/>
      </c>
      <c r="C91" s="37" t="str">
        <f aca="false">IF($B91="","",IFERROR(INDEX(Applications!$A$5:$A$600,MATCH($B91,Applications!$X$5:$X$600,0))&amp;"",""))</f>
        <v/>
      </c>
      <c r="D91" s="37" t="str">
        <f aca="false">IF($B91="","",IFERROR(INDEX(Applications!$B$5:$B$600,MATCH($B91,Applications!$X$5:$X$600,0))&amp;"",""))</f>
        <v/>
      </c>
      <c r="E91" s="37" t="str">
        <f aca="false">IF($B91="","",IFERROR(INDEX(Applications!$C$5:$C$600,MATCH($B91,Applications!$X$5:$X$600,0))&amp;"",""))</f>
        <v/>
      </c>
      <c r="F91" s="37" t="str">
        <f aca="false">IF($B91="","",IFERROR(INDEX(Applications!$I$5:$I$600,MATCH($B91,Applications!$X$5:$X$600,0))&amp;"",""))</f>
        <v/>
      </c>
      <c r="G91" s="48" t="str">
        <f aca="false">IF($B91="","",IFERROR(INDEX(Applications!$L$5:$L$600,MATCH($B91,Applications!$X$5:$X$600,0)),""))</f>
        <v/>
      </c>
      <c r="H91" s="37" t="str">
        <f aca="false">IF($B91="","",IFERROR(INDEX(Applications!$J$5:$J$600,MATCH($B91,Applications!$X$5:$X$600,0))&amp;"",""))</f>
        <v/>
      </c>
      <c r="I91" s="48" t="str">
        <f aca="false">IF($B91="","",IFERROR(INDEX(Applications!$M$5:$M$600,MATCH($B91,Applications!$X$5:$X$600,0)),""))</f>
        <v/>
      </c>
      <c r="J91" s="48" t="str">
        <f aca="false">IF($B91="","",IFERROR(INDEX(Applications!$N$5:$N$600,MATCH($B91,Applications!$X$5:$X$600,0)),""))</f>
        <v/>
      </c>
      <c r="K91" s="37" t="str">
        <f aca="false">IF($B91="","",IFERROR(INDEX(Applications!$K$5:$K$600,MATCH($B91,Applications!$X$5:$X$600,0))&amp;"",""))</f>
        <v/>
      </c>
      <c r="L91" s="48" t="str">
        <f aca="false">IF($B91="","",IFERROR(INDEX(Applications!$P$5:$P$600,MATCH($B91,Applications!$X$5:$X$600,0)),""))</f>
        <v/>
      </c>
      <c r="M91" s="37" t="str">
        <f aca="false">IF($B91="","",IF(K91="","Assign a third reader",IF(ISNUMBER(L91),"Third read done","Waiting on third read")))</f>
        <v/>
      </c>
    </row>
    <row r="92" customFormat="false" ht="15" hidden="false" customHeight="false" outlineLevel="0" collapsed="false">
      <c r="B92" s="37" t="str">
        <f aca="false">IF(88&lt;=COUNTIF(Applications!$O$5:$O$600,"Yes"),88,"")</f>
        <v/>
      </c>
      <c r="C92" s="37" t="str">
        <f aca="false">IF($B92="","",IFERROR(INDEX(Applications!$A$5:$A$600,MATCH($B92,Applications!$X$5:$X$600,0))&amp;"",""))</f>
        <v/>
      </c>
      <c r="D92" s="37" t="str">
        <f aca="false">IF($B92="","",IFERROR(INDEX(Applications!$B$5:$B$600,MATCH($B92,Applications!$X$5:$X$600,0))&amp;"",""))</f>
        <v/>
      </c>
      <c r="E92" s="37" t="str">
        <f aca="false">IF($B92="","",IFERROR(INDEX(Applications!$C$5:$C$600,MATCH($B92,Applications!$X$5:$X$600,0))&amp;"",""))</f>
        <v/>
      </c>
      <c r="F92" s="37" t="str">
        <f aca="false">IF($B92="","",IFERROR(INDEX(Applications!$I$5:$I$600,MATCH($B92,Applications!$X$5:$X$600,0))&amp;"",""))</f>
        <v/>
      </c>
      <c r="G92" s="48" t="str">
        <f aca="false">IF($B92="","",IFERROR(INDEX(Applications!$L$5:$L$600,MATCH($B92,Applications!$X$5:$X$600,0)),""))</f>
        <v/>
      </c>
      <c r="H92" s="37" t="str">
        <f aca="false">IF($B92="","",IFERROR(INDEX(Applications!$J$5:$J$600,MATCH($B92,Applications!$X$5:$X$600,0))&amp;"",""))</f>
        <v/>
      </c>
      <c r="I92" s="48" t="str">
        <f aca="false">IF($B92="","",IFERROR(INDEX(Applications!$M$5:$M$600,MATCH($B92,Applications!$X$5:$X$600,0)),""))</f>
        <v/>
      </c>
      <c r="J92" s="48" t="str">
        <f aca="false">IF($B92="","",IFERROR(INDEX(Applications!$N$5:$N$600,MATCH($B92,Applications!$X$5:$X$600,0)),""))</f>
        <v/>
      </c>
      <c r="K92" s="37" t="str">
        <f aca="false">IF($B92="","",IFERROR(INDEX(Applications!$K$5:$K$600,MATCH($B92,Applications!$X$5:$X$600,0))&amp;"",""))</f>
        <v/>
      </c>
      <c r="L92" s="48" t="str">
        <f aca="false">IF($B92="","",IFERROR(INDEX(Applications!$P$5:$P$600,MATCH($B92,Applications!$X$5:$X$600,0)),""))</f>
        <v/>
      </c>
      <c r="M92" s="37" t="str">
        <f aca="false">IF($B92="","",IF(K92="","Assign a third reader",IF(ISNUMBER(L92),"Third read done","Waiting on third read")))</f>
        <v/>
      </c>
    </row>
    <row r="93" customFormat="false" ht="15" hidden="false" customHeight="false" outlineLevel="0" collapsed="false">
      <c r="B93" s="37" t="str">
        <f aca="false">IF(89&lt;=COUNTIF(Applications!$O$5:$O$600,"Yes"),89,"")</f>
        <v/>
      </c>
      <c r="C93" s="37" t="str">
        <f aca="false">IF($B93="","",IFERROR(INDEX(Applications!$A$5:$A$600,MATCH($B93,Applications!$X$5:$X$600,0))&amp;"",""))</f>
        <v/>
      </c>
      <c r="D93" s="37" t="str">
        <f aca="false">IF($B93="","",IFERROR(INDEX(Applications!$B$5:$B$600,MATCH($B93,Applications!$X$5:$X$600,0))&amp;"",""))</f>
        <v/>
      </c>
      <c r="E93" s="37" t="str">
        <f aca="false">IF($B93="","",IFERROR(INDEX(Applications!$C$5:$C$600,MATCH($B93,Applications!$X$5:$X$600,0))&amp;"",""))</f>
        <v/>
      </c>
      <c r="F93" s="37" t="str">
        <f aca="false">IF($B93="","",IFERROR(INDEX(Applications!$I$5:$I$600,MATCH($B93,Applications!$X$5:$X$600,0))&amp;"",""))</f>
        <v/>
      </c>
      <c r="G93" s="48" t="str">
        <f aca="false">IF($B93="","",IFERROR(INDEX(Applications!$L$5:$L$600,MATCH($B93,Applications!$X$5:$X$600,0)),""))</f>
        <v/>
      </c>
      <c r="H93" s="37" t="str">
        <f aca="false">IF($B93="","",IFERROR(INDEX(Applications!$J$5:$J$600,MATCH($B93,Applications!$X$5:$X$600,0))&amp;"",""))</f>
        <v/>
      </c>
      <c r="I93" s="48" t="str">
        <f aca="false">IF($B93="","",IFERROR(INDEX(Applications!$M$5:$M$600,MATCH($B93,Applications!$X$5:$X$600,0)),""))</f>
        <v/>
      </c>
      <c r="J93" s="48" t="str">
        <f aca="false">IF($B93="","",IFERROR(INDEX(Applications!$N$5:$N$600,MATCH($B93,Applications!$X$5:$X$600,0)),""))</f>
        <v/>
      </c>
      <c r="K93" s="37" t="str">
        <f aca="false">IF($B93="","",IFERROR(INDEX(Applications!$K$5:$K$600,MATCH($B93,Applications!$X$5:$X$600,0))&amp;"",""))</f>
        <v/>
      </c>
      <c r="L93" s="48" t="str">
        <f aca="false">IF($B93="","",IFERROR(INDEX(Applications!$P$5:$P$600,MATCH($B93,Applications!$X$5:$X$600,0)),""))</f>
        <v/>
      </c>
      <c r="M93" s="37" t="str">
        <f aca="false">IF($B93="","",IF(K93="","Assign a third reader",IF(ISNUMBER(L93),"Third read done","Waiting on third read")))</f>
        <v/>
      </c>
    </row>
    <row r="94" customFormat="false" ht="15" hidden="false" customHeight="false" outlineLevel="0" collapsed="false">
      <c r="B94" s="37" t="str">
        <f aca="false">IF(90&lt;=COUNTIF(Applications!$O$5:$O$600,"Yes"),90,"")</f>
        <v/>
      </c>
      <c r="C94" s="37" t="str">
        <f aca="false">IF($B94="","",IFERROR(INDEX(Applications!$A$5:$A$600,MATCH($B94,Applications!$X$5:$X$600,0))&amp;"",""))</f>
        <v/>
      </c>
      <c r="D94" s="37" t="str">
        <f aca="false">IF($B94="","",IFERROR(INDEX(Applications!$B$5:$B$600,MATCH($B94,Applications!$X$5:$X$600,0))&amp;"",""))</f>
        <v/>
      </c>
      <c r="E94" s="37" t="str">
        <f aca="false">IF($B94="","",IFERROR(INDEX(Applications!$C$5:$C$600,MATCH($B94,Applications!$X$5:$X$600,0))&amp;"",""))</f>
        <v/>
      </c>
      <c r="F94" s="37" t="str">
        <f aca="false">IF($B94="","",IFERROR(INDEX(Applications!$I$5:$I$600,MATCH($B94,Applications!$X$5:$X$600,0))&amp;"",""))</f>
        <v/>
      </c>
      <c r="G94" s="48" t="str">
        <f aca="false">IF($B94="","",IFERROR(INDEX(Applications!$L$5:$L$600,MATCH($B94,Applications!$X$5:$X$600,0)),""))</f>
        <v/>
      </c>
      <c r="H94" s="37" t="str">
        <f aca="false">IF($B94="","",IFERROR(INDEX(Applications!$J$5:$J$600,MATCH($B94,Applications!$X$5:$X$600,0))&amp;"",""))</f>
        <v/>
      </c>
      <c r="I94" s="48" t="str">
        <f aca="false">IF($B94="","",IFERROR(INDEX(Applications!$M$5:$M$600,MATCH($B94,Applications!$X$5:$X$600,0)),""))</f>
        <v/>
      </c>
      <c r="J94" s="48" t="str">
        <f aca="false">IF($B94="","",IFERROR(INDEX(Applications!$N$5:$N$600,MATCH($B94,Applications!$X$5:$X$600,0)),""))</f>
        <v/>
      </c>
      <c r="K94" s="37" t="str">
        <f aca="false">IF($B94="","",IFERROR(INDEX(Applications!$K$5:$K$600,MATCH($B94,Applications!$X$5:$X$600,0))&amp;"",""))</f>
        <v/>
      </c>
      <c r="L94" s="48" t="str">
        <f aca="false">IF($B94="","",IFERROR(INDEX(Applications!$P$5:$P$600,MATCH($B94,Applications!$X$5:$X$600,0)),""))</f>
        <v/>
      </c>
      <c r="M94" s="37" t="str">
        <f aca="false">IF($B94="","",IF(K94="","Assign a third reader",IF(ISNUMBER(L94),"Third read done","Waiting on third read")))</f>
        <v/>
      </c>
    </row>
    <row r="95" customFormat="false" ht="15" hidden="false" customHeight="false" outlineLevel="0" collapsed="false">
      <c r="B95" s="37" t="str">
        <f aca="false">IF(91&lt;=COUNTIF(Applications!$O$5:$O$600,"Yes"),91,"")</f>
        <v/>
      </c>
      <c r="C95" s="37" t="str">
        <f aca="false">IF($B95="","",IFERROR(INDEX(Applications!$A$5:$A$600,MATCH($B95,Applications!$X$5:$X$600,0))&amp;"",""))</f>
        <v/>
      </c>
      <c r="D95" s="37" t="str">
        <f aca="false">IF($B95="","",IFERROR(INDEX(Applications!$B$5:$B$600,MATCH($B95,Applications!$X$5:$X$600,0))&amp;"",""))</f>
        <v/>
      </c>
      <c r="E95" s="37" t="str">
        <f aca="false">IF($B95="","",IFERROR(INDEX(Applications!$C$5:$C$600,MATCH($B95,Applications!$X$5:$X$600,0))&amp;"",""))</f>
        <v/>
      </c>
      <c r="F95" s="37" t="str">
        <f aca="false">IF($B95="","",IFERROR(INDEX(Applications!$I$5:$I$600,MATCH($B95,Applications!$X$5:$X$600,0))&amp;"",""))</f>
        <v/>
      </c>
      <c r="G95" s="48" t="str">
        <f aca="false">IF($B95="","",IFERROR(INDEX(Applications!$L$5:$L$600,MATCH($B95,Applications!$X$5:$X$600,0)),""))</f>
        <v/>
      </c>
      <c r="H95" s="37" t="str">
        <f aca="false">IF($B95="","",IFERROR(INDEX(Applications!$J$5:$J$600,MATCH($B95,Applications!$X$5:$X$600,0))&amp;"",""))</f>
        <v/>
      </c>
      <c r="I95" s="48" t="str">
        <f aca="false">IF($B95="","",IFERROR(INDEX(Applications!$M$5:$M$600,MATCH($B95,Applications!$X$5:$X$600,0)),""))</f>
        <v/>
      </c>
      <c r="J95" s="48" t="str">
        <f aca="false">IF($B95="","",IFERROR(INDEX(Applications!$N$5:$N$600,MATCH($B95,Applications!$X$5:$X$600,0)),""))</f>
        <v/>
      </c>
      <c r="K95" s="37" t="str">
        <f aca="false">IF($B95="","",IFERROR(INDEX(Applications!$K$5:$K$600,MATCH($B95,Applications!$X$5:$X$600,0))&amp;"",""))</f>
        <v/>
      </c>
      <c r="L95" s="48" t="str">
        <f aca="false">IF($B95="","",IFERROR(INDEX(Applications!$P$5:$P$600,MATCH($B95,Applications!$X$5:$X$600,0)),""))</f>
        <v/>
      </c>
      <c r="M95" s="37" t="str">
        <f aca="false">IF($B95="","",IF(K95="","Assign a third reader",IF(ISNUMBER(L95),"Third read done","Waiting on third read")))</f>
        <v/>
      </c>
    </row>
    <row r="96" customFormat="false" ht="15" hidden="false" customHeight="false" outlineLevel="0" collapsed="false">
      <c r="B96" s="37" t="str">
        <f aca="false">IF(92&lt;=COUNTIF(Applications!$O$5:$O$600,"Yes"),92,"")</f>
        <v/>
      </c>
      <c r="C96" s="37" t="str">
        <f aca="false">IF($B96="","",IFERROR(INDEX(Applications!$A$5:$A$600,MATCH($B96,Applications!$X$5:$X$600,0))&amp;"",""))</f>
        <v/>
      </c>
      <c r="D96" s="37" t="str">
        <f aca="false">IF($B96="","",IFERROR(INDEX(Applications!$B$5:$B$600,MATCH($B96,Applications!$X$5:$X$600,0))&amp;"",""))</f>
        <v/>
      </c>
      <c r="E96" s="37" t="str">
        <f aca="false">IF($B96="","",IFERROR(INDEX(Applications!$C$5:$C$600,MATCH($B96,Applications!$X$5:$X$600,0))&amp;"",""))</f>
        <v/>
      </c>
      <c r="F96" s="37" t="str">
        <f aca="false">IF($B96="","",IFERROR(INDEX(Applications!$I$5:$I$600,MATCH($B96,Applications!$X$5:$X$600,0))&amp;"",""))</f>
        <v/>
      </c>
      <c r="G96" s="48" t="str">
        <f aca="false">IF($B96="","",IFERROR(INDEX(Applications!$L$5:$L$600,MATCH($B96,Applications!$X$5:$X$600,0)),""))</f>
        <v/>
      </c>
      <c r="H96" s="37" t="str">
        <f aca="false">IF($B96="","",IFERROR(INDEX(Applications!$J$5:$J$600,MATCH($B96,Applications!$X$5:$X$600,0))&amp;"",""))</f>
        <v/>
      </c>
      <c r="I96" s="48" t="str">
        <f aca="false">IF($B96="","",IFERROR(INDEX(Applications!$M$5:$M$600,MATCH($B96,Applications!$X$5:$X$600,0)),""))</f>
        <v/>
      </c>
      <c r="J96" s="48" t="str">
        <f aca="false">IF($B96="","",IFERROR(INDEX(Applications!$N$5:$N$600,MATCH($B96,Applications!$X$5:$X$600,0)),""))</f>
        <v/>
      </c>
      <c r="K96" s="37" t="str">
        <f aca="false">IF($B96="","",IFERROR(INDEX(Applications!$K$5:$K$600,MATCH($B96,Applications!$X$5:$X$600,0))&amp;"",""))</f>
        <v/>
      </c>
      <c r="L96" s="48" t="str">
        <f aca="false">IF($B96="","",IFERROR(INDEX(Applications!$P$5:$P$600,MATCH($B96,Applications!$X$5:$X$600,0)),""))</f>
        <v/>
      </c>
      <c r="M96" s="37" t="str">
        <f aca="false">IF($B96="","",IF(K96="","Assign a third reader",IF(ISNUMBER(L96),"Third read done","Waiting on third read")))</f>
        <v/>
      </c>
    </row>
    <row r="97" customFormat="false" ht="15" hidden="false" customHeight="false" outlineLevel="0" collapsed="false">
      <c r="B97" s="37" t="str">
        <f aca="false">IF(93&lt;=COUNTIF(Applications!$O$5:$O$600,"Yes"),93,"")</f>
        <v/>
      </c>
      <c r="C97" s="37" t="str">
        <f aca="false">IF($B97="","",IFERROR(INDEX(Applications!$A$5:$A$600,MATCH($B97,Applications!$X$5:$X$600,0))&amp;"",""))</f>
        <v/>
      </c>
      <c r="D97" s="37" t="str">
        <f aca="false">IF($B97="","",IFERROR(INDEX(Applications!$B$5:$B$600,MATCH($B97,Applications!$X$5:$X$600,0))&amp;"",""))</f>
        <v/>
      </c>
      <c r="E97" s="37" t="str">
        <f aca="false">IF($B97="","",IFERROR(INDEX(Applications!$C$5:$C$600,MATCH($B97,Applications!$X$5:$X$600,0))&amp;"",""))</f>
        <v/>
      </c>
      <c r="F97" s="37" t="str">
        <f aca="false">IF($B97="","",IFERROR(INDEX(Applications!$I$5:$I$600,MATCH($B97,Applications!$X$5:$X$600,0))&amp;"",""))</f>
        <v/>
      </c>
      <c r="G97" s="48" t="str">
        <f aca="false">IF($B97="","",IFERROR(INDEX(Applications!$L$5:$L$600,MATCH($B97,Applications!$X$5:$X$600,0)),""))</f>
        <v/>
      </c>
      <c r="H97" s="37" t="str">
        <f aca="false">IF($B97="","",IFERROR(INDEX(Applications!$J$5:$J$600,MATCH($B97,Applications!$X$5:$X$600,0))&amp;"",""))</f>
        <v/>
      </c>
      <c r="I97" s="48" t="str">
        <f aca="false">IF($B97="","",IFERROR(INDEX(Applications!$M$5:$M$600,MATCH($B97,Applications!$X$5:$X$600,0)),""))</f>
        <v/>
      </c>
      <c r="J97" s="48" t="str">
        <f aca="false">IF($B97="","",IFERROR(INDEX(Applications!$N$5:$N$600,MATCH($B97,Applications!$X$5:$X$600,0)),""))</f>
        <v/>
      </c>
      <c r="K97" s="37" t="str">
        <f aca="false">IF($B97="","",IFERROR(INDEX(Applications!$K$5:$K$600,MATCH($B97,Applications!$X$5:$X$600,0))&amp;"",""))</f>
        <v/>
      </c>
      <c r="L97" s="48" t="str">
        <f aca="false">IF($B97="","",IFERROR(INDEX(Applications!$P$5:$P$600,MATCH($B97,Applications!$X$5:$X$600,0)),""))</f>
        <v/>
      </c>
      <c r="M97" s="37" t="str">
        <f aca="false">IF($B97="","",IF(K97="","Assign a third reader",IF(ISNUMBER(L97),"Third read done","Waiting on third read")))</f>
        <v/>
      </c>
    </row>
    <row r="98" customFormat="false" ht="15" hidden="false" customHeight="false" outlineLevel="0" collapsed="false">
      <c r="B98" s="37" t="str">
        <f aca="false">IF(94&lt;=COUNTIF(Applications!$O$5:$O$600,"Yes"),94,"")</f>
        <v/>
      </c>
      <c r="C98" s="37" t="str">
        <f aca="false">IF($B98="","",IFERROR(INDEX(Applications!$A$5:$A$600,MATCH($B98,Applications!$X$5:$X$600,0))&amp;"",""))</f>
        <v/>
      </c>
      <c r="D98" s="37" t="str">
        <f aca="false">IF($B98="","",IFERROR(INDEX(Applications!$B$5:$B$600,MATCH($B98,Applications!$X$5:$X$600,0))&amp;"",""))</f>
        <v/>
      </c>
      <c r="E98" s="37" t="str">
        <f aca="false">IF($B98="","",IFERROR(INDEX(Applications!$C$5:$C$600,MATCH($B98,Applications!$X$5:$X$600,0))&amp;"",""))</f>
        <v/>
      </c>
      <c r="F98" s="37" t="str">
        <f aca="false">IF($B98="","",IFERROR(INDEX(Applications!$I$5:$I$600,MATCH($B98,Applications!$X$5:$X$600,0))&amp;"",""))</f>
        <v/>
      </c>
      <c r="G98" s="48" t="str">
        <f aca="false">IF($B98="","",IFERROR(INDEX(Applications!$L$5:$L$600,MATCH($B98,Applications!$X$5:$X$600,0)),""))</f>
        <v/>
      </c>
      <c r="H98" s="37" t="str">
        <f aca="false">IF($B98="","",IFERROR(INDEX(Applications!$J$5:$J$600,MATCH($B98,Applications!$X$5:$X$600,0))&amp;"",""))</f>
        <v/>
      </c>
      <c r="I98" s="48" t="str">
        <f aca="false">IF($B98="","",IFERROR(INDEX(Applications!$M$5:$M$600,MATCH($B98,Applications!$X$5:$X$600,0)),""))</f>
        <v/>
      </c>
      <c r="J98" s="48" t="str">
        <f aca="false">IF($B98="","",IFERROR(INDEX(Applications!$N$5:$N$600,MATCH($B98,Applications!$X$5:$X$600,0)),""))</f>
        <v/>
      </c>
      <c r="K98" s="37" t="str">
        <f aca="false">IF($B98="","",IFERROR(INDEX(Applications!$K$5:$K$600,MATCH($B98,Applications!$X$5:$X$600,0))&amp;"",""))</f>
        <v/>
      </c>
      <c r="L98" s="48" t="str">
        <f aca="false">IF($B98="","",IFERROR(INDEX(Applications!$P$5:$P$600,MATCH($B98,Applications!$X$5:$X$600,0)),""))</f>
        <v/>
      </c>
      <c r="M98" s="37" t="str">
        <f aca="false">IF($B98="","",IF(K98="","Assign a third reader",IF(ISNUMBER(L98),"Third read done","Waiting on third read")))</f>
        <v/>
      </c>
    </row>
    <row r="99" customFormat="false" ht="15" hidden="false" customHeight="false" outlineLevel="0" collapsed="false">
      <c r="B99" s="37" t="str">
        <f aca="false">IF(95&lt;=COUNTIF(Applications!$O$5:$O$600,"Yes"),95,"")</f>
        <v/>
      </c>
      <c r="C99" s="37" t="str">
        <f aca="false">IF($B99="","",IFERROR(INDEX(Applications!$A$5:$A$600,MATCH($B99,Applications!$X$5:$X$600,0))&amp;"",""))</f>
        <v/>
      </c>
      <c r="D99" s="37" t="str">
        <f aca="false">IF($B99="","",IFERROR(INDEX(Applications!$B$5:$B$600,MATCH($B99,Applications!$X$5:$X$600,0))&amp;"",""))</f>
        <v/>
      </c>
      <c r="E99" s="37" t="str">
        <f aca="false">IF($B99="","",IFERROR(INDEX(Applications!$C$5:$C$600,MATCH($B99,Applications!$X$5:$X$600,0))&amp;"",""))</f>
        <v/>
      </c>
      <c r="F99" s="37" t="str">
        <f aca="false">IF($B99="","",IFERROR(INDEX(Applications!$I$5:$I$600,MATCH($B99,Applications!$X$5:$X$600,0))&amp;"",""))</f>
        <v/>
      </c>
      <c r="G99" s="48" t="str">
        <f aca="false">IF($B99="","",IFERROR(INDEX(Applications!$L$5:$L$600,MATCH($B99,Applications!$X$5:$X$600,0)),""))</f>
        <v/>
      </c>
      <c r="H99" s="37" t="str">
        <f aca="false">IF($B99="","",IFERROR(INDEX(Applications!$J$5:$J$600,MATCH($B99,Applications!$X$5:$X$600,0))&amp;"",""))</f>
        <v/>
      </c>
      <c r="I99" s="48" t="str">
        <f aca="false">IF($B99="","",IFERROR(INDEX(Applications!$M$5:$M$600,MATCH($B99,Applications!$X$5:$X$600,0)),""))</f>
        <v/>
      </c>
      <c r="J99" s="48" t="str">
        <f aca="false">IF($B99="","",IFERROR(INDEX(Applications!$N$5:$N$600,MATCH($B99,Applications!$X$5:$X$600,0)),""))</f>
        <v/>
      </c>
      <c r="K99" s="37" t="str">
        <f aca="false">IF($B99="","",IFERROR(INDEX(Applications!$K$5:$K$600,MATCH($B99,Applications!$X$5:$X$600,0))&amp;"",""))</f>
        <v/>
      </c>
      <c r="L99" s="48" t="str">
        <f aca="false">IF($B99="","",IFERROR(INDEX(Applications!$P$5:$P$600,MATCH($B99,Applications!$X$5:$X$600,0)),""))</f>
        <v/>
      </c>
      <c r="M99" s="37" t="str">
        <f aca="false">IF($B99="","",IF(K99="","Assign a third reader",IF(ISNUMBER(L99),"Third read done","Waiting on third read")))</f>
        <v/>
      </c>
    </row>
    <row r="100" customFormat="false" ht="15" hidden="false" customHeight="false" outlineLevel="0" collapsed="false">
      <c r="B100" s="37" t="str">
        <f aca="false">IF(96&lt;=COUNTIF(Applications!$O$5:$O$600,"Yes"),96,"")</f>
        <v/>
      </c>
      <c r="C100" s="37" t="str">
        <f aca="false">IF($B100="","",IFERROR(INDEX(Applications!$A$5:$A$600,MATCH($B100,Applications!$X$5:$X$600,0))&amp;"",""))</f>
        <v/>
      </c>
      <c r="D100" s="37" t="str">
        <f aca="false">IF($B100="","",IFERROR(INDEX(Applications!$B$5:$B$600,MATCH($B100,Applications!$X$5:$X$600,0))&amp;"",""))</f>
        <v/>
      </c>
      <c r="E100" s="37" t="str">
        <f aca="false">IF($B100="","",IFERROR(INDEX(Applications!$C$5:$C$600,MATCH($B100,Applications!$X$5:$X$600,0))&amp;"",""))</f>
        <v/>
      </c>
      <c r="F100" s="37" t="str">
        <f aca="false">IF($B100="","",IFERROR(INDEX(Applications!$I$5:$I$600,MATCH($B100,Applications!$X$5:$X$600,0))&amp;"",""))</f>
        <v/>
      </c>
      <c r="G100" s="48" t="str">
        <f aca="false">IF($B100="","",IFERROR(INDEX(Applications!$L$5:$L$600,MATCH($B100,Applications!$X$5:$X$600,0)),""))</f>
        <v/>
      </c>
      <c r="H100" s="37" t="str">
        <f aca="false">IF($B100="","",IFERROR(INDEX(Applications!$J$5:$J$600,MATCH($B100,Applications!$X$5:$X$600,0))&amp;"",""))</f>
        <v/>
      </c>
      <c r="I100" s="48" t="str">
        <f aca="false">IF($B100="","",IFERROR(INDEX(Applications!$M$5:$M$600,MATCH($B100,Applications!$X$5:$X$600,0)),""))</f>
        <v/>
      </c>
      <c r="J100" s="48" t="str">
        <f aca="false">IF($B100="","",IFERROR(INDEX(Applications!$N$5:$N$600,MATCH($B100,Applications!$X$5:$X$600,0)),""))</f>
        <v/>
      </c>
      <c r="K100" s="37" t="str">
        <f aca="false">IF($B100="","",IFERROR(INDEX(Applications!$K$5:$K$600,MATCH($B100,Applications!$X$5:$X$600,0))&amp;"",""))</f>
        <v/>
      </c>
      <c r="L100" s="48" t="str">
        <f aca="false">IF($B100="","",IFERROR(INDEX(Applications!$P$5:$P$600,MATCH($B100,Applications!$X$5:$X$600,0)),""))</f>
        <v/>
      </c>
      <c r="M100" s="37" t="str">
        <f aca="false">IF($B100="","",IF(K100="","Assign a third reader",IF(ISNUMBER(L100),"Third read done","Waiting on third read")))</f>
        <v/>
      </c>
    </row>
    <row r="101" customFormat="false" ht="15" hidden="false" customHeight="false" outlineLevel="0" collapsed="false">
      <c r="B101" s="37" t="str">
        <f aca="false">IF(97&lt;=COUNTIF(Applications!$O$5:$O$600,"Yes"),97,"")</f>
        <v/>
      </c>
      <c r="C101" s="37" t="str">
        <f aca="false">IF($B101="","",IFERROR(INDEX(Applications!$A$5:$A$600,MATCH($B101,Applications!$X$5:$X$600,0))&amp;"",""))</f>
        <v/>
      </c>
      <c r="D101" s="37" t="str">
        <f aca="false">IF($B101="","",IFERROR(INDEX(Applications!$B$5:$B$600,MATCH($B101,Applications!$X$5:$X$600,0))&amp;"",""))</f>
        <v/>
      </c>
      <c r="E101" s="37" t="str">
        <f aca="false">IF($B101="","",IFERROR(INDEX(Applications!$C$5:$C$600,MATCH($B101,Applications!$X$5:$X$600,0))&amp;"",""))</f>
        <v/>
      </c>
      <c r="F101" s="37" t="str">
        <f aca="false">IF($B101="","",IFERROR(INDEX(Applications!$I$5:$I$600,MATCH($B101,Applications!$X$5:$X$600,0))&amp;"",""))</f>
        <v/>
      </c>
      <c r="G101" s="48" t="str">
        <f aca="false">IF($B101="","",IFERROR(INDEX(Applications!$L$5:$L$600,MATCH($B101,Applications!$X$5:$X$600,0)),""))</f>
        <v/>
      </c>
      <c r="H101" s="37" t="str">
        <f aca="false">IF($B101="","",IFERROR(INDEX(Applications!$J$5:$J$600,MATCH($B101,Applications!$X$5:$X$600,0))&amp;"",""))</f>
        <v/>
      </c>
      <c r="I101" s="48" t="str">
        <f aca="false">IF($B101="","",IFERROR(INDEX(Applications!$M$5:$M$600,MATCH($B101,Applications!$X$5:$X$600,0)),""))</f>
        <v/>
      </c>
      <c r="J101" s="48" t="str">
        <f aca="false">IF($B101="","",IFERROR(INDEX(Applications!$N$5:$N$600,MATCH($B101,Applications!$X$5:$X$600,0)),""))</f>
        <v/>
      </c>
      <c r="K101" s="37" t="str">
        <f aca="false">IF($B101="","",IFERROR(INDEX(Applications!$K$5:$K$600,MATCH($B101,Applications!$X$5:$X$600,0))&amp;"",""))</f>
        <v/>
      </c>
      <c r="L101" s="48" t="str">
        <f aca="false">IF($B101="","",IFERROR(INDEX(Applications!$P$5:$P$600,MATCH($B101,Applications!$X$5:$X$600,0)),""))</f>
        <v/>
      </c>
      <c r="M101" s="37" t="str">
        <f aca="false">IF($B101="","",IF(K101="","Assign a third reader",IF(ISNUMBER(L101),"Third read done","Waiting on third read")))</f>
        <v/>
      </c>
    </row>
    <row r="102" customFormat="false" ht="15" hidden="false" customHeight="false" outlineLevel="0" collapsed="false">
      <c r="B102" s="37" t="str">
        <f aca="false">IF(98&lt;=COUNTIF(Applications!$O$5:$O$600,"Yes"),98,"")</f>
        <v/>
      </c>
      <c r="C102" s="37" t="str">
        <f aca="false">IF($B102="","",IFERROR(INDEX(Applications!$A$5:$A$600,MATCH($B102,Applications!$X$5:$X$600,0))&amp;"",""))</f>
        <v/>
      </c>
      <c r="D102" s="37" t="str">
        <f aca="false">IF($B102="","",IFERROR(INDEX(Applications!$B$5:$B$600,MATCH($B102,Applications!$X$5:$X$600,0))&amp;"",""))</f>
        <v/>
      </c>
      <c r="E102" s="37" t="str">
        <f aca="false">IF($B102="","",IFERROR(INDEX(Applications!$C$5:$C$600,MATCH($B102,Applications!$X$5:$X$600,0))&amp;"",""))</f>
        <v/>
      </c>
      <c r="F102" s="37" t="str">
        <f aca="false">IF($B102="","",IFERROR(INDEX(Applications!$I$5:$I$600,MATCH($B102,Applications!$X$5:$X$600,0))&amp;"",""))</f>
        <v/>
      </c>
      <c r="G102" s="48" t="str">
        <f aca="false">IF($B102="","",IFERROR(INDEX(Applications!$L$5:$L$600,MATCH($B102,Applications!$X$5:$X$600,0)),""))</f>
        <v/>
      </c>
      <c r="H102" s="37" t="str">
        <f aca="false">IF($B102="","",IFERROR(INDEX(Applications!$J$5:$J$600,MATCH($B102,Applications!$X$5:$X$600,0))&amp;"",""))</f>
        <v/>
      </c>
      <c r="I102" s="48" t="str">
        <f aca="false">IF($B102="","",IFERROR(INDEX(Applications!$M$5:$M$600,MATCH($B102,Applications!$X$5:$X$600,0)),""))</f>
        <v/>
      </c>
      <c r="J102" s="48" t="str">
        <f aca="false">IF($B102="","",IFERROR(INDEX(Applications!$N$5:$N$600,MATCH($B102,Applications!$X$5:$X$600,0)),""))</f>
        <v/>
      </c>
      <c r="K102" s="37" t="str">
        <f aca="false">IF($B102="","",IFERROR(INDEX(Applications!$K$5:$K$600,MATCH($B102,Applications!$X$5:$X$600,0))&amp;"",""))</f>
        <v/>
      </c>
      <c r="L102" s="48" t="str">
        <f aca="false">IF($B102="","",IFERROR(INDEX(Applications!$P$5:$P$600,MATCH($B102,Applications!$X$5:$X$600,0)),""))</f>
        <v/>
      </c>
      <c r="M102" s="37" t="str">
        <f aca="false">IF($B102="","",IF(K102="","Assign a third reader",IF(ISNUMBER(L102),"Third read done","Waiting on third read")))</f>
        <v/>
      </c>
    </row>
    <row r="103" customFormat="false" ht="15" hidden="false" customHeight="false" outlineLevel="0" collapsed="false">
      <c r="B103" s="37" t="str">
        <f aca="false">IF(99&lt;=COUNTIF(Applications!$O$5:$O$600,"Yes"),99,"")</f>
        <v/>
      </c>
      <c r="C103" s="37" t="str">
        <f aca="false">IF($B103="","",IFERROR(INDEX(Applications!$A$5:$A$600,MATCH($B103,Applications!$X$5:$X$600,0))&amp;"",""))</f>
        <v/>
      </c>
      <c r="D103" s="37" t="str">
        <f aca="false">IF($B103="","",IFERROR(INDEX(Applications!$B$5:$B$600,MATCH($B103,Applications!$X$5:$X$600,0))&amp;"",""))</f>
        <v/>
      </c>
      <c r="E103" s="37" t="str">
        <f aca="false">IF($B103="","",IFERROR(INDEX(Applications!$C$5:$C$600,MATCH($B103,Applications!$X$5:$X$600,0))&amp;"",""))</f>
        <v/>
      </c>
      <c r="F103" s="37" t="str">
        <f aca="false">IF($B103="","",IFERROR(INDEX(Applications!$I$5:$I$600,MATCH($B103,Applications!$X$5:$X$600,0))&amp;"",""))</f>
        <v/>
      </c>
      <c r="G103" s="48" t="str">
        <f aca="false">IF($B103="","",IFERROR(INDEX(Applications!$L$5:$L$600,MATCH($B103,Applications!$X$5:$X$600,0)),""))</f>
        <v/>
      </c>
      <c r="H103" s="37" t="str">
        <f aca="false">IF($B103="","",IFERROR(INDEX(Applications!$J$5:$J$600,MATCH($B103,Applications!$X$5:$X$600,0))&amp;"",""))</f>
        <v/>
      </c>
      <c r="I103" s="48" t="str">
        <f aca="false">IF($B103="","",IFERROR(INDEX(Applications!$M$5:$M$600,MATCH($B103,Applications!$X$5:$X$600,0)),""))</f>
        <v/>
      </c>
      <c r="J103" s="48" t="str">
        <f aca="false">IF($B103="","",IFERROR(INDEX(Applications!$N$5:$N$600,MATCH($B103,Applications!$X$5:$X$600,0)),""))</f>
        <v/>
      </c>
      <c r="K103" s="37" t="str">
        <f aca="false">IF($B103="","",IFERROR(INDEX(Applications!$K$5:$K$600,MATCH($B103,Applications!$X$5:$X$600,0))&amp;"",""))</f>
        <v/>
      </c>
      <c r="L103" s="48" t="str">
        <f aca="false">IF($B103="","",IFERROR(INDEX(Applications!$P$5:$P$600,MATCH($B103,Applications!$X$5:$X$600,0)),""))</f>
        <v/>
      </c>
      <c r="M103" s="37" t="str">
        <f aca="false">IF($B103="","",IF(K103="","Assign a third reader",IF(ISNUMBER(L103),"Third read done","Waiting on third read")))</f>
        <v/>
      </c>
    </row>
    <row r="104" customFormat="false" ht="15" hidden="false" customHeight="false" outlineLevel="0" collapsed="false">
      <c r="B104" s="37" t="str">
        <f aca="false">IF(100&lt;=COUNTIF(Applications!$O$5:$O$600,"Yes"),100,"")</f>
        <v/>
      </c>
      <c r="C104" s="37" t="str">
        <f aca="false">IF($B104="","",IFERROR(INDEX(Applications!$A$5:$A$600,MATCH($B104,Applications!$X$5:$X$600,0))&amp;"",""))</f>
        <v/>
      </c>
      <c r="D104" s="37" t="str">
        <f aca="false">IF($B104="","",IFERROR(INDEX(Applications!$B$5:$B$600,MATCH($B104,Applications!$X$5:$X$600,0))&amp;"",""))</f>
        <v/>
      </c>
      <c r="E104" s="37" t="str">
        <f aca="false">IF($B104="","",IFERROR(INDEX(Applications!$C$5:$C$600,MATCH($B104,Applications!$X$5:$X$600,0))&amp;"",""))</f>
        <v/>
      </c>
      <c r="F104" s="37" t="str">
        <f aca="false">IF($B104="","",IFERROR(INDEX(Applications!$I$5:$I$600,MATCH($B104,Applications!$X$5:$X$600,0))&amp;"",""))</f>
        <v/>
      </c>
      <c r="G104" s="48" t="str">
        <f aca="false">IF($B104="","",IFERROR(INDEX(Applications!$L$5:$L$600,MATCH($B104,Applications!$X$5:$X$600,0)),""))</f>
        <v/>
      </c>
      <c r="H104" s="37" t="str">
        <f aca="false">IF($B104="","",IFERROR(INDEX(Applications!$J$5:$J$600,MATCH($B104,Applications!$X$5:$X$600,0))&amp;"",""))</f>
        <v/>
      </c>
      <c r="I104" s="48" t="str">
        <f aca="false">IF($B104="","",IFERROR(INDEX(Applications!$M$5:$M$600,MATCH($B104,Applications!$X$5:$X$600,0)),""))</f>
        <v/>
      </c>
      <c r="J104" s="48" t="str">
        <f aca="false">IF($B104="","",IFERROR(INDEX(Applications!$N$5:$N$600,MATCH($B104,Applications!$X$5:$X$600,0)),""))</f>
        <v/>
      </c>
      <c r="K104" s="37" t="str">
        <f aca="false">IF($B104="","",IFERROR(INDEX(Applications!$K$5:$K$600,MATCH($B104,Applications!$X$5:$X$600,0))&amp;"",""))</f>
        <v/>
      </c>
      <c r="L104" s="48" t="str">
        <f aca="false">IF($B104="","",IFERROR(INDEX(Applications!$P$5:$P$600,MATCH($B104,Applications!$X$5:$X$600,0)),""))</f>
        <v/>
      </c>
      <c r="M104" s="37" t="str">
        <f aca="false">IF($B104="","",IF(K104="","Assign a third reader",IF(ISNUMBER(L104),"Third read done","Waiting on third read")))</f>
        <v/>
      </c>
    </row>
    <row r="105" customFormat="false" ht="15" hidden="false" customHeight="false" outlineLevel="0" collapsed="false">
      <c r="B105" s="37" t="str">
        <f aca="false">IF(101&lt;=COUNTIF(Applications!$O$5:$O$600,"Yes"),101,"")</f>
        <v/>
      </c>
      <c r="C105" s="37" t="str">
        <f aca="false">IF($B105="","",IFERROR(INDEX(Applications!$A$5:$A$600,MATCH($B105,Applications!$X$5:$X$600,0))&amp;"",""))</f>
        <v/>
      </c>
      <c r="D105" s="37" t="str">
        <f aca="false">IF($B105="","",IFERROR(INDEX(Applications!$B$5:$B$600,MATCH($B105,Applications!$X$5:$X$600,0))&amp;"",""))</f>
        <v/>
      </c>
      <c r="E105" s="37" t="str">
        <f aca="false">IF($B105="","",IFERROR(INDEX(Applications!$C$5:$C$600,MATCH($B105,Applications!$X$5:$X$600,0))&amp;"",""))</f>
        <v/>
      </c>
      <c r="F105" s="37" t="str">
        <f aca="false">IF($B105="","",IFERROR(INDEX(Applications!$I$5:$I$600,MATCH($B105,Applications!$X$5:$X$600,0))&amp;"",""))</f>
        <v/>
      </c>
      <c r="G105" s="48" t="str">
        <f aca="false">IF($B105="","",IFERROR(INDEX(Applications!$L$5:$L$600,MATCH($B105,Applications!$X$5:$X$600,0)),""))</f>
        <v/>
      </c>
      <c r="H105" s="37" t="str">
        <f aca="false">IF($B105="","",IFERROR(INDEX(Applications!$J$5:$J$600,MATCH($B105,Applications!$X$5:$X$600,0))&amp;"",""))</f>
        <v/>
      </c>
      <c r="I105" s="48" t="str">
        <f aca="false">IF($B105="","",IFERROR(INDEX(Applications!$M$5:$M$600,MATCH($B105,Applications!$X$5:$X$600,0)),""))</f>
        <v/>
      </c>
      <c r="J105" s="48" t="str">
        <f aca="false">IF($B105="","",IFERROR(INDEX(Applications!$N$5:$N$600,MATCH($B105,Applications!$X$5:$X$600,0)),""))</f>
        <v/>
      </c>
      <c r="K105" s="37" t="str">
        <f aca="false">IF($B105="","",IFERROR(INDEX(Applications!$K$5:$K$600,MATCH($B105,Applications!$X$5:$X$600,0))&amp;"",""))</f>
        <v/>
      </c>
      <c r="L105" s="48" t="str">
        <f aca="false">IF($B105="","",IFERROR(INDEX(Applications!$P$5:$P$600,MATCH($B105,Applications!$X$5:$X$600,0)),""))</f>
        <v/>
      </c>
      <c r="M105" s="37" t="str">
        <f aca="false">IF($B105="","",IF(K105="","Assign a third reader",IF(ISNUMBER(L105),"Third read done","Waiting on third read")))</f>
        <v/>
      </c>
    </row>
    <row r="106" customFormat="false" ht="15" hidden="false" customHeight="false" outlineLevel="0" collapsed="false">
      <c r="B106" s="37" t="str">
        <f aca="false">IF(102&lt;=COUNTIF(Applications!$O$5:$O$600,"Yes"),102,"")</f>
        <v/>
      </c>
      <c r="C106" s="37" t="str">
        <f aca="false">IF($B106="","",IFERROR(INDEX(Applications!$A$5:$A$600,MATCH($B106,Applications!$X$5:$X$600,0))&amp;"",""))</f>
        <v/>
      </c>
      <c r="D106" s="37" t="str">
        <f aca="false">IF($B106="","",IFERROR(INDEX(Applications!$B$5:$B$600,MATCH($B106,Applications!$X$5:$X$600,0))&amp;"",""))</f>
        <v/>
      </c>
      <c r="E106" s="37" t="str">
        <f aca="false">IF($B106="","",IFERROR(INDEX(Applications!$C$5:$C$600,MATCH($B106,Applications!$X$5:$X$600,0))&amp;"",""))</f>
        <v/>
      </c>
      <c r="F106" s="37" t="str">
        <f aca="false">IF($B106="","",IFERROR(INDEX(Applications!$I$5:$I$600,MATCH($B106,Applications!$X$5:$X$600,0))&amp;"",""))</f>
        <v/>
      </c>
      <c r="G106" s="48" t="str">
        <f aca="false">IF($B106="","",IFERROR(INDEX(Applications!$L$5:$L$600,MATCH($B106,Applications!$X$5:$X$600,0)),""))</f>
        <v/>
      </c>
      <c r="H106" s="37" t="str">
        <f aca="false">IF($B106="","",IFERROR(INDEX(Applications!$J$5:$J$600,MATCH($B106,Applications!$X$5:$X$600,0))&amp;"",""))</f>
        <v/>
      </c>
      <c r="I106" s="48" t="str">
        <f aca="false">IF($B106="","",IFERROR(INDEX(Applications!$M$5:$M$600,MATCH($B106,Applications!$X$5:$X$600,0)),""))</f>
        <v/>
      </c>
      <c r="J106" s="48" t="str">
        <f aca="false">IF($B106="","",IFERROR(INDEX(Applications!$N$5:$N$600,MATCH($B106,Applications!$X$5:$X$600,0)),""))</f>
        <v/>
      </c>
      <c r="K106" s="37" t="str">
        <f aca="false">IF($B106="","",IFERROR(INDEX(Applications!$K$5:$K$600,MATCH($B106,Applications!$X$5:$X$600,0))&amp;"",""))</f>
        <v/>
      </c>
      <c r="L106" s="48" t="str">
        <f aca="false">IF($B106="","",IFERROR(INDEX(Applications!$P$5:$P$600,MATCH($B106,Applications!$X$5:$X$600,0)),""))</f>
        <v/>
      </c>
      <c r="M106" s="37" t="str">
        <f aca="false">IF($B106="","",IF(K106="","Assign a third reader",IF(ISNUMBER(L106),"Third read done","Waiting on third read")))</f>
        <v/>
      </c>
    </row>
    <row r="107" customFormat="false" ht="15" hidden="false" customHeight="false" outlineLevel="0" collapsed="false">
      <c r="B107" s="37" t="str">
        <f aca="false">IF(103&lt;=COUNTIF(Applications!$O$5:$O$600,"Yes"),103,"")</f>
        <v/>
      </c>
      <c r="C107" s="37" t="str">
        <f aca="false">IF($B107="","",IFERROR(INDEX(Applications!$A$5:$A$600,MATCH($B107,Applications!$X$5:$X$600,0))&amp;"",""))</f>
        <v/>
      </c>
      <c r="D107" s="37" t="str">
        <f aca="false">IF($B107="","",IFERROR(INDEX(Applications!$B$5:$B$600,MATCH($B107,Applications!$X$5:$X$600,0))&amp;"",""))</f>
        <v/>
      </c>
      <c r="E107" s="37" t="str">
        <f aca="false">IF($B107="","",IFERROR(INDEX(Applications!$C$5:$C$600,MATCH($B107,Applications!$X$5:$X$600,0))&amp;"",""))</f>
        <v/>
      </c>
      <c r="F107" s="37" t="str">
        <f aca="false">IF($B107="","",IFERROR(INDEX(Applications!$I$5:$I$600,MATCH($B107,Applications!$X$5:$X$600,0))&amp;"",""))</f>
        <v/>
      </c>
      <c r="G107" s="48" t="str">
        <f aca="false">IF($B107="","",IFERROR(INDEX(Applications!$L$5:$L$600,MATCH($B107,Applications!$X$5:$X$600,0)),""))</f>
        <v/>
      </c>
      <c r="H107" s="37" t="str">
        <f aca="false">IF($B107="","",IFERROR(INDEX(Applications!$J$5:$J$600,MATCH($B107,Applications!$X$5:$X$600,0))&amp;"",""))</f>
        <v/>
      </c>
      <c r="I107" s="48" t="str">
        <f aca="false">IF($B107="","",IFERROR(INDEX(Applications!$M$5:$M$600,MATCH($B107,Applications!$X$5:$X$600,0)),""))</f>
        <v/>
      </c>
      <c r="J107" s="48" t="str">
        <f aca="false">IF($B107="","",IFERROR(INDEX(Applications!$N$5:$N$600,MATCH($B107,Applications!$X$5:$X$600,0)),""))</f>
        <v/>
      </c>
      <c r="K107" s="37" t="str">
        <f aca="false">IF($B107="","",IFERROR(INDEX(Applications!$K$5:$K$600,MATCH($B107,Applications!$X$5:$X$600,0))&amp;"",""))</f>
        <v/>
      </c>
      <c r="L107" s="48" t="str">
        <f aca="false">IF($B107="","",IFERROR(INDEX(Applications!$P$5:$P$600,MATCH($B107,Applications!$X$5:$X$600,0)),""))</f>
        <v/>
      </c>
      <c r="M107" s="37" t="str">
        <f aca="false">IF($B107="","",IF(K107="","Assign a third reader",IF(ISNUMBER(L107),"Third read done","Waiting on third read")))</f>
        <v/>
      </c>
    </row>
    <row r="108" customFormat="false" ht="15" hidden="false" customHeight="false" outlineLevel="0" collapsed="false">
      <c r="B108" s="37" t="str">
        <f aca="false">IF(104&lt;=COUNTIF(Applications!$O$5:$O$600,"Yes"),104,"")</f>
        <v/>
      </c>
      <c r="C108" s="37" t="str">
        <f aca="false">IF($B108="","",IFERROR(INDEX(Applications!$A$5:$A$600,MATCH($B108,Applications!$X$5:$X$600,0))&amp;"",""))</f>
        <v/>
      </c>
      <c r="D108" s="37" t="str">
        <f aca="false">IF($B108="","",IFERROR(INDEX(Applications!$B$5:$B$600,MATCH($B108,Applications!$X$5:$X$600,0))&amp;"",""))</f>
        <v/>
      </c>
      <c r="E108" s="37" t="str">
        <f aca="false">IF($B108="","",IFERROR(INDEX(Applications!$C$5:$C$600,MATCH($B108,Applications!$X$5:$X$600,0))&amp;"",""))</f>
        <v/>
      </c>
      <c r="F108" s="37" t="str">
        <f aca="false">IF($B108="","",IFERROR(INDEX(Applications!$I$5:$I$600,MATCH($B108,Applications!$X$5:$X$600,0))&amp;"",""))</f>
        <v/>
      </c>
      <c r="G108" s="48" t="str">
        <f aca="false">IF($B108="","",IFERROR(INDEX(Applications!$L$5:$L$600,MATCH($B108,Applications!$X$5:$X$600,0)),""))</f>
        <v/>
      </c>
      <c r="H108" s="37" t="str">
        <f aca="false">IF($B108="","",IFERROR(INDEX(Applications!$J$5:$J$600,MATCH($B108,Applications!$X$5:$X$600,0))&amp;"",""))</f>
        <v/>
      </c>
      <c r="I108" s="48" t="str">
        <f aca="false">IF($B108="","",IFERROR(INDEX(Applications!$M$5:$M$600,MATCH($B108,Applications!$X$5:$X$600,0)),""))</f>
        <v/>
      </c>
      <c r="J108" s="48" t="str">
        <f aca="false">IF($B108="","",IFERROR(INDEX(Applications!$N$5:$N$600,MATCH($B108,Applications!$X$5:$X$600,0)),""))</f>
        <v/>
      </c>
      <c r="K108" s="37" t="str">
        <f aca="false">IF($B108="","",IFERROR(INDEX(Applications!$K$5:$K$600,MATCH($B108,Applications!$X$5:$X$600,0))&amp;"",""))</f>
        <v/>
      </c>
      <c r="L108" s="48" t="str">
        <f aca="false">IF($B108="","",IFERROR(INDEX(Applications!$P$5:$P$600,MATCH($B108,Applications!$X$5:$X$600,0)),""))</f>
        <v/>
      </c>
      <c r="M108" s="37" t="str">
        <f aca="false">IF($B108="","",IF(K108="","Assign a third reader",IF(ISNUMBER(L108),"Third read done","Waiting on third read")))</f>
        <v/>
      </c>
    </row>
    <row r="109" customFormat="false" ht="15" hidden="false" customHeight="false" outlineLevel="0" collapsed="false">
      <c r="B109" s="37" t="str">
        <f aca="false">IF(105&lt;=COUNTIF(Applications!$O$5:$O$600,"Yes"),105,"")</f>
        <v/>
      </c>
      <c r="C109" s="37" t="str">
        <f aca="false">IF($B109="","",IFERROR(INDEX(Applications!$A$5:$A$600,MATCH($B109,Applications!$X$5:$X$600,0))&amp;"",""))</f>
        <v/>
      </c>
      <c r="D109" s="37" t="str">
        <f aca="false">IF($B109="","",IFERROR(INDEX(Applications!$B$5:$B$600,MATCH($B109,Applications!$X$5:$X$600,0))&amp;"",""))</f>
        <v/>
      </c>
      <c r="E109" s="37" t="str">
        <f aca="false">IF($B109="","",IFERROR(INDEX(Applications!$C$5:$C$600,MATCH($B109,Applications!$X$5:$X$600,0))&amp;"",""))</f>
        <v/>
      </c>
      <c r="F109" s="37" t="str">
        <f aca="false">IF($B109="","",IFERROR(INDEX(Applications!$I$5:$I$600,MATCH($B109,Applications!$X$5:$X$600,0))&amp;"",""))</f>
        <v/>
      </c>
      <c r="G109" s="48" t="str">
        <f aca="false">IF($B109="","",IFERROR(INDEX(Applications!$L$5:$L$600,MATCH($B109,Applications!$X$5:$X$600,0)),""))</f>
        <v/>
      </c>
      <c r="H109" s="37" t="str">
        <f aca="false">IF($B109="","",IFERROR(INDEX(Applications!$J$5:$J$600,MATCH($B109,Applications!$X$5:$X$600,0))&amp;"",""))</f>
        <v/>
      </c>
      <c r="I109" s="48" t="str">
        <f aca="false">IF($B109="","",IFERROR(INDEX(Applications!$M$5:$M$600,MATCH($B109,Applications!$X$5:$X$600,0)),""))</f>
        <v/>
      </c>
      <c r="J109" s="48" t="str">
        <f aca="false">IF($B109="","",IFERROR(INDEX(Applications!$N$5:$N$600,MATCH($B109,Applications!$X$5:$X$600,0)),""))</f>
        <v/>
      </c>
      <c r="K109" s="37" t="str">
        <f aca="false">IF($B109="","",IFERROR(INDEX(Applications!$K$5:$K$600,MATCH($B109,Applications!$X$5:$X$600,0))&amp;"",""))</f>
        <v/>
      </c>
      <c r="L109" s="48" t="str">
        <f aca="false">IF($B109="","",IFERROR(INDEX(Applications!$P$5:$P$600,MATCH($B109,Applications!$X$5:$X$600,0)),""))</f>
        <v/>
      </c>
      <c r="M109" s="37" t="str">
        <f aca="false">IF($B109="","",IF(K109="","Assign a third reader",IF(ISNUMBER(L109),"Third read done","Waiting on third read")))</f>
        <v/>
      </c>
    </row>
    <row r="110" customFormat="false" ht="15" hidden="false" customHeight="false" outlineLevel="0" collapsed="false">
      <c r="B110" s="37" t="str">
        <f aca="false">IF(106&lt;=COUNTIF(Applications!$O$5:$O$600,"Yes"),106,"")</f>
        <v/>
      </c>
      <c r="C110" s="37" t="str">
        <f aca="false">IF($B110="","",IFERROR(INDEX(Applications!$A$5:$A$600,MATCH($B110,Applications!$X$5:$X$600,0))&amp;"",""))</f>
        <v/>
      </c>
      <c r="D110" s="37" t="str">
        <f aca="false">IF($B110="","",IFERROR(INDEX(Applications!$B$5:$B$600,MATCH($B110,Applications!$X$5:$X$600,0))&amp;"",""))</f>
        <v/>
      </c>
      <c r="E110" s="37" t="str">
        <f aca="false">IF($B110="","",IFERROR(INDEX(Applications!$C$5:$C$600,MATCH($B110,Applications!$X$5:$X$600,0))&amp;"",""))</f>
        <v/>
      </c>
      <c r="F110" s="37" t="str">
        <f aca="false">IF($B110="","",IFERROR(INDEX(Applications!$I$5:$I$600,MATCH($B110,Applications!$X$5:$X$600,0))&amp;"",""))</f>
        <v/>
      </c>
      <c r="G110" s="48" t="str">
        <f aca="false">IF($B110="","",IFERROR(INDEX(Applications!$L$5:$L$600,MATCH($B110,Applications!$X$5:$X$600,0)),""))</f>
        <v/>
      </c>
      <c r="H110" s="37" t="str">
        <f aca="false">IF($B110="","",IFERROR(INDEX(Applications!$J$5:$J$600,MATCH($B110,Applications!$X$5:$X$600,0))&amp;"",""))</f>
        <v/>
      </c>
      <c r="I110" s="48" t="str">
        <f aca="false">IF($B110="","",IFERROR(INDEX(Applications!$M$5:$M$600,MATCH($B110,Applications!$X$5:$X$600,0)),""))</f>
        <v/>
      </c>
      <c r="J110" s="48" t="str">
        <f aca="false">IF($B110="","",IFERROR(INDEX(Applications!$N$5:$N$600,MATCH($B110,Applications!$X$5:$X$600,0)),""))</f>
        <v/>
      </c>
      <c r="K110" s="37" t="str">
        <f aca="false">IF($B110="","",IFERROR(INDEX(Applications!$K$5:$K$600,MATCH($B110,Applications!$X$5:$X$600,0))&amp;"",""))</f>
        <v/>
      </c>
      <c r="L110" s="48" t="str">
        <f aca="false">IF($B110="","",IFERROR(INDEX(Applications!$P$5:$P$600,MATCH($B110,Applications!$X$5:$X$600,0)),""))</f>
        <v/>
      </c>
      <c r="M110" s="37" t="str">
        <f aca="false">IF($B110="","",IF(K110="","Assign a third reader",IF(ISNUMBER(L110),"Third read done","Waiting on third read")))</f>
        <v/>
      </c>
    </row>
    <row r="111" customFormat="false" ht="15" hidden="false" customHeight="false" outlineLevel="0" collapsed="false">
      <c r="B111" s="37" t="str">
        <f aca="false">IF(107&lt;=COUNTIF(Applications!$O$5:$O$600,"Yes"),107,"")</f>
        <v/>
      </c>
      <c r="C111" s="37" t="str">
        <f aca="false">IF($B111="","",IFERROR(INDEX(Applications!$A$5:$A$600,MATCH($B111,Applications!$X$5:$X$600,0))&amp;"",""))</f>
        <v/>
      </c>
      <c r="D111" s="37" t="str">
        <f aca="false">IF($B111="","",IFERROR(INDEX(Applications!$B$5:$B$600,MATCH($B111,Applications!$X$5:$X$600,0))&amp;"",""))</f>
        <v/>
      </c>
      <c r="E111" s="37" t="str">
        <f aca="false">IF($B111="","",IFERROR(INDEX(Applications!$C$5:$C$600,MATCH($B111,Applications!$X$5:$X$600,0))&amp;"",""))</f>
        <v/>
      </c>
      <c r="F111" s="37" t="str">
        <f aca="false">IF($B111="","",IFERROR(INDEX(Applications!$I$5:$I$600,MATCH($B111,Applications!$X$5:$X$600,0))&amp;"",""))</f>
        <v/>
      </c>
      <c r="G111" s="48" t="str">
        <f aca="false">IF($B111="","",IFERROR(INDEX(Applications!$L$5:$L$600,MATCH($B111,Applications!$X$5:$X$600,0)),""))</f>
        <v/>
      </c>
      <c r="H111" s="37" t="str">
        <f aca="false">IF($B111="","",IFERROR(INDEX(Applications!$J$5:$J$600,MATCH($B111,Applications!$X$5:$X$600,0))&amp;"",""))</f>
        <v/>
      </c>
      <c r="I111" s="48" t="str">
        <f aca="false">IF($B111="","",IFERROR(INDEX(Applications!$M$5:$M$600,MATCH($B111,Applications!$X$5:$X$600,0)),""))</f>
        <v/>
      </c>
      <c r="J111" s="48" t="str">
        <f aca="false">IF($B111="","",IFERROR(INDEX(Applications!$N$5:$N$600,MATCH($B111,Applications!$X$5:$X$600,0)),""))</f>
        <v/>
      </c>
      <c r="K111" s="37" t="str">
        <f aca="false">IF($B111="","",IFERROR(INDEX(Applications!$K$5:$K$600,MATCH($B111,Applications!$X$5:$X$600,0))&amp;"",""))</f>
        <v/>
      </c>
      <c r="L111" s="48" t="str">
        <f aca="false">IF($B111="","",IFERROR(INDEX(Applications!$P$5:$P$600,MATCH($B111,Applications!$X$5:$X$600,0)),""))</f>
        <v/>
      </c>
      <c r="M111" s="37" t="str">
        <f aca="false">IF($B111="","",IF(K111="","Assign a third reader",IF(ISNUMBER(L111),"Third read done","Waiting on third read")))</f>
        <v/>
      </c>
    </row>
    <row r="112" customFormat="false" ht="15" hidden="false" customHeight="false" outlineLevel="0" collapsed="false">
      <c r="B112" s="37" t="str">
        <f aca="false">IF(108&lt;=COUNTIF(Applications!$O$5:$O$600,"Yes"),108,"")</f>
        <v/>
      </c>
      <c r="C112" s="37" t="str">
        <f aca="false">IF($B112="","",IFERROR(INDEX(Applications!$A$5:$A$600,MATCH($B112,Applications!$X$5:$X$600,0))&amp;"",""))</f>
        <v/>
      </c>
      <c r="D112" s="37" t="str">
        <f aca="false">IF($B112="","",IFERROR(INDEX(Applications!$B$5:$B$600,MATCH($B112,Applications!$X$5:$X$600,0))&amp;"",""))</f>
        <v/>
      </c>
      <c r="E112" s="37" t="str">
        <f aca="false">IF($B112="","",IFERROR(INDEX(Applications!$C$5:$C$600,MATCH($B112,Applications!$X$5:$X$600,0))&amp;"",""))</f>
        <v/>
      </c>
      <c r="F112" s="37" t="str">
        <f aca="false">IF($B112="","",IFERROR(INDEX(Applications!$I$5:$I$600,MATCH($B112,Applications!$X$5:$X$600,0))&amp;"",""))</f>
        <v/>
      </c>
      <c r="G112" s="48" t="str">
        <f aca="false">IF($B112="","",IFERROR(INDEX(Applications!$L$5:$L$600,MATCH($B112,Applications!$X$5:$X$600,0)),""))</f>
        <v/>
      </c>
      <c r="H112" s="37" t="str">
        <f aca="false">IF($B112="","",IFERROR(INDEX(Applications!$J$5:$J$600,MATCH($B112,Applications!$X$5:$X$600,0))&amp;"",""))</f>
        <v/>
      </c>
      <c r="I112" s="48" t="str">
        <f aca="false">IF($B112="","",IFERROR(INDEX(Applications!$M$5:$M$600,MATCH($B112,Applications!$X$5:$X$600,0)),""))</f>
        <v/>
      </c>
      <c r="J112" s="48" t="str">
        <f aca="false">IF($B112="","",IFERROR(INDEX(Applications!$N$5:$N$600,MATCH($B112,Applications!$X$5:$X$600,0)),""))</f>
        <v/>
      </c>
      <c r="K112" s="37" t="str">
        <f aca="false">IF($B112="","",IFERROR(INDEX(Applications!$K$5:$K$600,MATCH($B112,Applications!$X$5:$X$600,0))&amp;"",""))</f>
        <v/>
      </c>
      <c r="L112" s="48" t="str">
        <f aca="false">IF($B112="","",IFERROR(INDEX(Applications!$P$5:$P$600,MATCH($B112,Applications!$X$5:$X$600,0)),""))</f>
        <v/>
      </c>
      <c r="M112" s="37" t="str">
        <f aca="false">IF($B112="","",IF(K112="","Assign a third reader",IF(ISNUMBER(L112),"Third read done","Waiting on third read")))</f>
        <v/>
      </c>
    </row>
    <row r="113" customFormat="false" ht="15" hidden="false" customHeight="false" outlineLevel="0" collapsed="false">
      <c r="B113" s="37" t="str">
        <f aca="false">IF(109&lt;=COUNTIF(Applications!$O$5:$O$600,"Yes"),109,"")</f>
        <v/>
      </c>
      <c r="C113" s="37" t="str">
        <f aca="false">IF($B113="","",IFERROR(INDEX(Applications!$A$5:$A$600,MATCH($B113,Applications!$X$5:$X$600,0))&amp;"",""))</f>
        <v/>
      </c>
      <c r="D113" s="37" t="str">
        <f aca="false">IF($B113="","",IFERROR(INDEX(Applications!$B$5:$B$600,MATCH($B113,Applications!$X$5:$X$600,0))&amp;"",""))</f>
        <v/>
      </c>
      <c r="E113" s="37" t="str">
        <f aca="false">IF($B113="","",IFERROR(INDEX(Applications!$C$5:$C$600,MATCH($B113,Applications!$X$5:$X$600,0))&amp;"",""))</f>
        <v/>
      </c>
      <c r="F113" s="37" t="str">
        <f aca="false">IF($B113="","",IFERROR(INDEX(Applications!$I$5:$I$600,MATCH($B113,Applications!$X$5:$X$600,0))&amp;"",""))</f>
        <v/>
      </c>
      <c r="G113" s="48" t="str">
        <f aca="false">IF($B113="","",IFERROR(INDEX(Applications!$L$5:$L$600,MATCH($B113,Applications!$X$5:$X$600,0)),""))</f>
        <v/>
      </c>
      <c r="H113" s="37" t="str">
        <f aca="false">IF($B113="","",IFERROR(INDEX(Applications!$J$5:$J$600,MATCH($B113,Applications!$X$5:$X$600,0))&amp;"",""))</f>
        <v/>
      </c>
      <c r="I113" s="48" t="str">
        <f aca="false">IF($B113="","",IFERROR(INDEX(Applications!$M$5:$M$600,MATCH($B113,Applications!$X$5:$X$600,0)),""))</f>
        <v/>
      </c>
      <c r="J113" s="48" t="str">
        <f aca="false">IF($B113="","",IFERROR(INDEX(Applications!$N$5:$N$600,MATCH($B113,Applications!$X$5:$X$600,0)),""))</f>
        <v/>
      </c>
      <c r="K113" s="37" t="str">
        <f aca="false">IF($B113="","",IFERROR(INDEX(Applications!$K$5:$K$600,MATCH($B113,Applications!$X$5:$X$600,0))&amp;"",""))</f>
        <v/>
      </c>
      <c r="L113" s="48" t="str">
        <f aca="false">IF($B113="","",IFERROR(INDEX(Applications!$P$5:$P$600,MATCH($B113,Applications!$X$5:$X$600,0)),""))</f>
        <v/>
      </c>
      <c r="M113" s="37" t="str">
        <f aca="false">IF($B113="","",IF(K113="","Assign a third reader",IF(ISNUMBER(L113),"Third read done","Waiting on third read")))</f>
        <v/>
      </c>
    </row>
    <row r="114" customFormat="false" ht="15" hidden="false" customHeight="false" outlineLevel="0" collapsed="false">
      <c r="B114" s="37" t="str">
        <f aca="false">IF(110&lt;=COUNTIF(Applications!$O$5:$O$600,"Yes"),110,"")</f>
        <v/>
      </c>
      <c r="C114" s="37" t="str">
        <f aca="false">IF($B114="","",IFERROR(INDEX(Applications!$A$5:$A$600,MATCH($B114,Applications!$X$5:$X$600,0))&amp;"",""))</f>
        <v/>
      </c>
      <c r="D114" s="37" t="str">
        <f aca="false">IF($B114="","",IFERROR(INDEX(Applications!$B$5:$B$600,MATCH($B114,Applications!$X$5:$X$600,0))&amp;"",""))</f>
        <v/>
      </c>
      <c r="E114" s="37" t="str">
        <f aca="false">IF($B114="","",IFERROR(INDEX(Applications!$C$5:$C$600,MATCH($B114,Applications!$X$5:$X$600,0))&amp;"",""))</f>
        <v/>
      </c>
      <c r="F114" s="37" t="str">
        <f aca="false">IF($B114="","",IFERROR(INDEX(Applications!$I$5:$I$600,MATCH($B114,Applications!$X$5:$X$600,0))&amp;"",""))</f>
        <v/>
      </c>
      <c r="G114" s="48" t="str">
        <f aca="false">IF($B114="","",IFERROR(INDEX(Applications!$L$5:$L$600,MATCH($B114,Applications!$X$5:$X$600,0)),""))</f>
        <v/>
      </c>
      <c r="H114" s="37" t="str">
        <f aca="false">IF($B114="","",IFERROR(INDEX(Applications!$J$5:$J$600,MATCH($B114,Applications!$X$5:$X$600,0))&amp;"",""))</f>
        <v/>
      </c>
      <c r="I114" s="48" t="str">
        <f aca="false">IF($B114="","",IFERROR(INDEX(Applications!$M$5:$M$600,MATCH($B114,Applications!$X$5:$X$600,0)),""))</f>
        <v/>
      </c>
      <c r="J114" s="48" t="str">
        <f aca="false">IF($B114="","",IFERROR(INDEX(Applications!$N$5:$N$600,MATCH($B114,Applications!$X$5:$X$600,0)),""))</f>
        <v/>
      </c>
      <c r="K114" s="37" t="str">
        <f aca="false">IF($B114="","",IFERROR(INDEX(Applications!$K$5:$K$600,MATCH($B114,Applications!$X$5:$X$600,0))&amp;"",""))</f>
        <v/>
      </c>
      <c r="L114" s="48" t="str">
        <f aca="false">IF($B114="","",IFERROR(INDEX(Applications!$P$5:$P$600,MATCH($B114,Applications!$X$5:$X$600,0)),""))</f>
        <v/>
      </c>
      <c r="M114" s="37" t="str">
        <f aca="false">IF($B114="","",IF(K114="","Assign a third reader",IF(ISNUMBER(L114),"Third read done","Waiting on third read")))</f>
        <v/>
      </c>
    </row>
    <row r="115" customFormat="false" ht="15" hidden="false" customHeight="false" outlineLevel="0" collapsed="false">
      <c r="B115" s="37" t="str">
        <f aca="false">IF(111&lt;=COUNTIF(Applications!$O$5:$O$600,"Yes"),111,"")</f>
        <v/>
      </c>
      <c r="C115" s="37" t="str">
        <f aca="false">IF($B115="","",IFERROR(INDEX(Applications!$A$5:$A$600,MATCH($B115,Applications!$X$5:$X$600,0))&amp;"",""))</f>
        <v/>
      </c>
      <c r="D115" s="37" t="str">
        <f aca="false">IF($B115="","",IFERROR(INDEX(Applications!$B$5:$B$600,MATCH($B115,Applications!$X$5:$X$600,0))&amp;"",""))</f>
        <v/>
      </c>
      <c r="E115" s="37" t="str">
        <f aca="false">IF($B115="","",IFERROR(INDEX(Applications!$C$5:$C$600,MATCH($B115,Applications!$X$5:$X$600,0))&amp;"",""))</f>
        <v/>
      </c>
      <c r="F115" s="37" t="str">
        <f aca="false">IF($B115="","",IFERROR(INDEX(Applications!$I$5:$I$600,MATCH($B115,Applications!$X$5:$X$600,0))&amp;"",""))</f>
        <v/>
      </c>
      <c r="G115" s="48" t="str">
        <f aca="false">IF($B115="","",IFERROR(INDEX(Applications!$L$5:$L$600,MATCH($B115,Applications!$X$5:$X$600,0)),""))</f>
        <v/>
      </c>
      <c r="H115" s="37" t="str">
        <f aca="false">IF($B115="","",IFERROR(INDEX(Applications!$J$5:$J$600,MATCH($B115,Applications!$X$5:$X$600,0))&amp;"",""))</f>
        <v/>
      </c>
      <c r="I115" s="48" t="str">
        <f aca="false">IF($B115="","",IFERROR(INDEX(Applications!$M$5:$M$600,MATCH($B115,Applications!$X$5:$X$600,0)),""))</f>
        <v/>
      </c>
      <c r="J115" s="48" t="str">
        <f aca="false">IF($B115="","",IFERROR(INDEX(Applications!$N$5:$N$600,MATCH($B115,Applications!$X$5:$X$600,0)),""))</f>
        <v/>
      </c>
      <c r="K115" s="37" t="str">
        <f aca="false">IF($B115="","",IFERROR(INDEX(Applications!$K$5:$K$600,MATCH($B115,Applications!$X$5:$X$600,0))&amp;"",""))</f>
        <v/>
      </c>
      <c r="L115" s="48" t="str">
        <f aca="false">IF($B115="","",IFERROR(INDEX(Applications!$P$5:$P$600,MATCH($B115,Applications!$X$5:$X$600,0)),""))</f>
        <v/>
      </c>
      <c r="M115" s="37" t="str">
        <f aca="false">IF($B115="","",IF(K115="","Assign a third reader",IF(ISNUMBER(L115),"Third read done","Waiting on third read")))</f>
        <v/>
      </c>
    </row>
    <row r="116" customFormat="false" ht="15" hidden="false" customHeight="false" outlineLevel="0" collapsed="false">
      <c r="B116" s="37" t="str">
        <f aca="false">IF(112&lt;=COUNTIF(Applications!$O$5:$O$600,"Yes"),112,"")</f>
        <v/>
      </c>
      <c r="C116" s="37" t="str">
        <f aca="false">IF($B116="","",IFERROR(INDEX(Applications!$A$5:$A$600,MATCH($B116,Applications!$X$5:$X$600,0))&amp;"",""))</f>
        <v/>
      </c>
      <c r="D116" s="37" t="str">
        <f aca="false">IF($B116="","",IFERROR(INDEX(Applications!$B$5:$B$600,MATCH($B116,Applications!$X$5:$X$600,0))&amp;"",""))</f>
        <v/>
      </c>
      <c r="E116" s="37" t="str">
        <f aca="false">IF($B116="","",IFERROR(INDEX(Applications!$C$5:$C$600,MATCH($B116,Applications!$X$5:$X$600,0))&amp;"",""))</f>
        <v/>
      </c>
      <c r="F116" s="37" t="str">
        <f aca="false">IF($B116="","",IFERROR(INDEX(Applications!$I$5:$I$600,MATCH($B116,Applications!$X$5:$X$600,0))&amp;"",""))</f>
        <v/>
      </c>
      <c r="G116" s="48" t="str">
        <f aca="false">IF($B116="","",IFERROR(INDEX(Applications!$L$5:$L$600,MATCH($B116,Applications!$X$5:$X$600,0)),""))</f>
        <v/>
      </c>
      <c r="H116" s="37" t="str">
        <f aca="false">IF($B116="","",IFERROR(INDEX(Applications!$J$5:$J$600,MATCH($B116,Applications!$X$5:$X$600,0))&amp;"",""))</f>
        <v/>
      </c>
      <c r="I116" s="48" t="str">
        <f aca="false">IF($B116="","",IFERROR(INDEX(Applications!$M$5:$M$600,MATCH($B116,Applications!$X$5:$X$600,0)),""))</f>
        <v/>
      </c>
      <c r="J116" s="48" t="str">
        <f aca="false">IF($B116="","",IFERROR(INDEX(Applications!$N$5:$N$600,MATCH($B116,Applications!$X$5:$X$600,0)),""))</f>
        <v/>
      </c>
      <c r="K116" s="37" t="str">
        <f aca="false">IF($B116="","",IFERROR(INDEX(Applications!$K$5:$K$600,MATCH($B116,Applications!$X$5:$X$600,0))&amp;"",""))</f>
        <v/>
      </c>
      <c r="L116" s="48" t="str">
        <f aca="false">IF($B116="","",IFERROR(INDEX(Applications!$P$5:$P$600,MATCH($B116,Applications!$X$5:$X$600,0)),""))</f>
        <v/>
      </c>
      <c r="M116" s="37" t="str">
        <f aca="false">IF($B116="","",IF(K116="","Assign a third reader",IF(ISNUMBER(L116),"Third read done","Waiting on third read")))</f>
        <v/>
      </c>
    </row>
    <row r="117" customFormat="false" ht="15" hidden="false" customHeight="false" outlineLevel="0" collapsed="false">
      <c r="B117" s="37" t="str">
        <f aca="false">IF(113&lt;=COUNTIF(Applications!$O$5:$O$600,"Yes"),113,"")</f>
        <v/>
      </c>
      <c r="C117" s="37" t="str">
        <f aca="false">IF($B117="","",IFERROR(INDEX(Applications!$A$5:$A$600,MATCH($B117,Applications!$X$5:$X$600,0))&amp;"",""))</f>
        <v/>
      </c>
      <c r="D117" s="37" t="str">
        <f aca="false">IF($B117="","",IFERROR(INDEX(Applications!$B$5:$B$600,MATCH($B117,Applications!$X$5:$X$600,0))&amp;"",""))</f>
        <v/>
      </c>
      <c r="E117" s="37" t="str">
        <f aca="false">IF($B117="","",IFERROR(INDEX(Applications!$C$5:$C$600,MATCH($B117,Applications!$X$5:$X$600,0))&amp;"",""))</f>
        <v/>
      </c>
      <c r="F117" s="37" t="str">
        <f aca="false">IF($B117="","",IFERROR(INDEX(Applications!$I$5:$I$600,MATCH($B117,Applications!$X$5:$X$600,0))&amp;"",""))</f>
        <v/>
      </c>
      <c r="G117" s="48" t="str">
        <f aca="false">IF($B117="","",IFERROR(INDEX(Applications!$L$5:$L$600,MATCH($B117,Applications!$X$5:$X$600,0)),""))</f>
        <v/>
      </c>
      <c r="H117" s="37" t="str">
        <f aca="false">IF($B117="","",IFERROR(INDEX(Applications!$J$5:$J$600,MATCH($B117,Applications!$X$5:$X$600,0))&amp;"",""))</f>
        <v/>
      </c>
      <c r="I117" s="48" t="str">
        <f aca="false">IF($B117="","",IFERROR(INDEX(Applications!$M$5:$M$600,MATCH($B117,Applications!$X$5:$X$600,0)),""))</f>
        <v/>
      </c>
      <c r="J117" s="48" t="str">
        <f aca="false">IF($B117="","",IFERROR(INDEX(Applications!$N$5:$N$600,MATCH($B117,Applications!$X$5:$X$600,0)),""))</f>
        <v/>
      </c>
      <c r="K117" s="37" t="str">
        <f aca="false">IF($B117="","",IFERROR(INDEX(Applications!$K$5:$K$600,MATCH($B117,Applications!$X$5:$X$600,0))&amp;"",""))</f>
        <v/>
      </c>
      <c r="L117" s="48" t="str">
        <f aca="false">IF($B117="","",IFERROR(INDEX(Applications!$P$5:$P$600,MATCH($B117,Applications!$X$5:$X$600,0)),""))</f>
        <v/>
      </c>
      <c r="M117" s="37" t="str">
        <f aca="false">IF($B117="","",IF(K117="","Assign a third reader",IF(ISNUMBER(L117),"Third read done","Waiting on third read")))</f>
        <v/>
      </c>
    </row>
    <row r="118" customFormat="false" ht="15" hidden="false" customHeight="false" outlineLevel="0" collapsed="false">
      <c r="B118" s="37" t="str">
        <f aca="false">IF(114&lt;=COUNTIF(Applications!$O$5:$O$600,"Yes"),114,"")</f>
        <v/>
      </c>
      <c r="C118" s="37" t="str">
        <f aca="false">IF($B118="","",IFERROR(INDEX(Applications!$A$5:$A$600,MATCH($B118,Applications!$X$5:$X$600,0))&amp;"",""))</f>
        <v/>
      </c>
      <c r="D118" s="37" t="str">
        <f aca="false">IF($B118="","",IFERROR(INDEX(Applications!$B$5:$B$600,MATCH($B118,Applications!$X$5:$X$600,0))&amp;"",""))</f>
        <v/>
      </c>
      <c r="E118" s="37" t="str">
        <f aca="false">IF($B118="","",IFERROR(INDEX(Applications!$C$5:$C$600,MATCH($B118,Applications!$X$5:$X$600,0))&amp;"",""))</f>
        <v/>
      </c>
      <c r="F118" s="37" t="str">
        <f aca="false">IF($B118="","",IFERROR(INDEX(Applications!$I$5:$I$600,MATCH($B118,Applications!$X$5:$X$600,0))&amp;"",""))</f>
        <v/>
      </c>
      <c r="G118" s="48" t="str">
        <f aca="false">IF($B118="","",IFERROR(INDEX(Applications!$L$5:$L$600,MATCH($B118,Applications!$X$5:$X$600,0)),""))</f>
        <v/>
      </c>
      <c r="H118" s="37" t="str">
        <f aca="false">IF($B118="","",IFERROR(INDEX(Applications!$J$5:$J$600,MATCH($B118,Applications!$X$5:$X$600,0))&amp;"",""))</f>
        <v/>
      </c>
      <c r="I118" s="48" t="str">
        <f aca="false">IF($B118="","",IFERROR(INDEX(Applications!$M$5:$M$600,MATCH($B118,Applications!$X$5:$X$600,0)),""))</f>
        <v/>
      </c>
      <c r="J118" s="48" t="str">
        <f aca="false">IF($B118="","",IFERROR(INDEX(Applications!$N$5:$N$600,MATCH($B118,Applications!$X$5:$X$600,0)),""))</f>
        <v/>
      </c>
      <c r="K118" s="37" t="str">
        <f aca="false">IF($B118="","",IFERROR(INDEX(Applications!$K$5:$K$600,MATCH($B118,Applications!$X$5:$X$600,0))&amp;"",""))</f>
        <v/>
      </c>
      <c r="L118" s="48" t="str">
        <f aca="false">IF($B118="","",IFERROR(INDEX(Applications!$P$5:$P$600,MATCH($B118,Applications!$X$5:$X$600,0)),""))</f>
        <v/>
      </c>
      <c r="M118" s="37" t="str">
        <f aca="false">IF($B118="","",IF(K118="","Assign a third reader",IF(ISNUMBER(L118),"Third read done","Waiting on third read")))</f>
        <v/>
      </c>
    </row>
    <row r="119" customFormat="false" ht="15" hidden="false" customHeight="false" outlineLevel="0" collapsed="false">
      <c r="B119" s="37" t="str">
        <f aca="false">IF(115&lt;=COUNTIF(Applications!$O$5:$O$600,"Yes"),115,"")</f>
        <v/>
      </c>
      <c r="C119" s="37" t="str">
        <f aca="false">IF($B119="","",IFERROR(INDEX(Applications!$A$5:$A$600,MATCH($B119,Applications!$X$5:$X$600,0))&amp;"",""))</f>
        <v/>
      </c>
      <c r="D119" s="37" t="str">
        <f aca="false">IF($B119="","",IFERROR(INDEX(Applications!$B$5:$B$600,MATCH($B119,Applications!$X$5:$X$600,0))&amp;"",""))</f>
        <v/>
      </c>
      <c r="E119" s="37" t="str">
        <f aca="false">IF($B119="","",IFERROR(INDEX(Applications!$C$5:$C$600,MATCH($B119,Applications!$X$5:$X$600,0))&amp;"",""))</f>
        <v/>
      </c>
      <c r="F119" s="37" t="str">
        <f aca="false">IF($B119="","",IFERROR(INDEX(Applications!$I$5:$I$600,MATCH($B119,Applications!$X$5:$X$600,0))&amp;"",""))</f>
        <v/>
      </c>
      <c r="G119" s="48" t="str">
        <f aca="false">IF($B119="","",IFERROR(INDEX(Applications!$L$5:$L$600,MATCH($B119,Applications!$X$5:$X$600,0)),""))</f>
        <v/>
      </c>
      <c r="H119" s="37" t="str">
        <f aca="false">IF($B119="","",IFERROR(INDEX(Applications!$J$5:$J$600,MATCH($B119,Applications!$X$5:$X$600,0))&amp;"",""))</f>
        <v/>
      </c>
      <c r="I119" s="48" t="str">
        <f aca="false">IF($B119="","",IFERROR(INDEX(Applications!$M$5:$M$600,MATCH($B119,Applications!$X$5:$X$600,0)),""))</f>
        <v/>
      </c>
      <c r="J119" s="48" t="str">
        <f aca="false">IF($B119="","",IFERROR(INDEX(Applications!$N$5:$N$600,MATCH($B119,Applications!$X$5:$X$600,0)),""))</f>
        <v/>
      </c>
      <c r="K119" s="37" t="str">
        <f aca="false">IF($B119="","",IFERROR(INDEX(Applications!$K$5:$K$600,MATCH($B119,Applications!$X$5:$X$600,0))&amp;"",""))</f>
        <v/>
      </c>
      <c r="L119" s="48" t="str">
        <f aca="false">IF($B119="","",IFERROR(INDEX(Applications!$P$5:$P$600,MATCH($B119,Applications!$X$5:$X$600,0)),""))</f>
        <v/>
      </c>
      <c r="M119" s="37" t="str">
        <f aca="false">IF($B119="","",IF(K119="","Assign a third reader",IF(ISNUMBER(L119),"Third read done","Waiting on third read")))</f>
        <v/>
      </c>
    </row>
    <row r="120" customFormat="false" ht="15" hidden="false" customHeight="false" outlineLevel="0" collapsed="false">
      <c r="B120" s="37" t="str">
        <f aca="false">IF(116&lt;=COUNTIF(Applications!$O$5:$O$600,"Yes"),116,"")</f>
        <v/>
      </c>
      <c r="C120" s="37" t="str">
        <f aca="false">IF($B120="","",IFERROR(INDEX(Applications!$A$5:$A$600,MATCH($B120,Applications!$X$5:$X$600,0))&amp;"",""))</f>
        <v/>
      </c>
      <c r="D120" s="37" t="str">
        <f aca="false">IF($B120="","",IFERROR(INDEX(Applications!$B$5:$B$600,MATCH($B120,Applications!$X$5:$X$600,0))&amp;"",""))</f>
        <v/>
      </c>
      <c r="E120" s="37" t="str">
        <f aca="false">IF($B120="","",IFERROR(INDEX(Applications!$C$5:$C$600,MATCH($B120,Applications!$X$5:$X$600,0))&amp;"",""))</f>
        <v/>
      </c>
      <c r="F120" s="37" t="str">
        <f aca="false">IF($B120="","",IFERROR(INDEX(Applications!$I$5:$I$600,MATCH($B120,Applications!$X$5:$X$600,0))&amp;"",""))</f>
        <v/>
      </c>
      <c r="G120" s="48" t="str">
        <f aca="false">IF($B120="","",IFERROR(INDEX(Applications!$L$5:$L$600,MATCH($B120,Applications!$X$5:$X$600,0)),""))</f>
        <v/>
      </c>
      <c r="H120" s="37" t="str">
        <f aca="false">IF($B120="","",IFERROR(INDEX(Applications!$J$5:$J$600,MATCH($B120,Applications!$X$5:$X$600,0))&amp;"",""))</f>
        <v/>
      </c>
      <c r="I120" s="48" t="str">
        <f aca="false">IF($B120="","",IFERROR(INDEX(Applications!$M$5:$M$600,MATCH($B120,Applications!$X$5:$X$600,0)),""))</f>
        <v/>
      </c>
      <c r="J120" s="48" t="str">
        <f aca="false">IF($B120="","",IFERROR(INDEX(Applications!$N$5:$N$600,MATCH($B120,Applications!$X$5:$X$600,0)),""))</f>
        <v/>
      </c>
      <c r="K120" s="37" t="str">
        <f aca="false">IF($B120="","",IFERROR(INDEX(Applications!$K$5:$K$600,MATCH($B120,Applications!$X$5:$X$600,0))&amp;"",""))</f>
        <v/>
      </c>
      <c r="L120" s="48" t="str">
        <f aca="false">IF($B120="","",IFERROR(INDEX(Applications!$P$5:$P$600,MATCH($B120,Applications!$X$5:$X$600,0)),""))</f>
        <v/>
      </c>
      <c r="M120" s="37" t="str">
        <f aca="false">IF($B120="","",IF(K120="","Assign a third reader",IF(ISNUMBER(L120),"Third read done","Waiting on third read")))</f>
        <v/>
      </c>
    </row>
    <row r="121" customFormat="false" ht="15" hidden="false" customHeight="false" outlineLevel="0" collapsed="false">
      <c r="B121" s="37" t="str">
        <f aca="false">IF(117&lt;=COUNTIF(Applications!$O$5:$O$600,"Yes"),117,"")</f>
        <v/>
      </c>
      <c r="C121" s="37" t="str">
        <f aca="false">IF($B121="","",IFERROR(INDEX(Applications!$A$5:$A$600,MATCH($B121,Applications!$X$5:$X$600,0))&amp;"",""))</f>
        <v/>
      </c>
      <c r="D121" s="37" t="str">
        <f aca="false">IF($B121="","",IFERROR(INDEX(Applications!$B$5:$B$600,MATCH($B121,Applications!$X$5:$X$600,0))&amp;"",""))</f>
        <v/>
      </c>
      <c r="E121" s="37" t="str">
        <f aca="false">IF($B121="","",IFERROR(INDEX(Applications!$C$5:$C$600,MATCH($B121,Applications!$X$5:$X$600,0))&amp;"",""))</f>
        <v/>
      </c>
      <c r="F121" s="37" t="str">
        <f aca="false">IF($B121="","",IFERROR(INDEX(Applications!$I$5:$I$600,MATCH($B121,Applications!$X$5:$X$600,0))&amp;"",""))</f>
        <v/>
      </c>
      <c r="G121" s="48" t="str">
        <f aca="false">IF($B121="","",IFERROR(INDEX(Applications!$L$5:$L$600,MATCH($B121,Applications!$X$5:$X$600,0)),""))</f>
        <v/>
      </c>
      <c r="H121" s="37" t="str">
        <f aca="false">IF($B121="","",IFERROR(INDEX(Applications!$J$5:$J$600,MATCH($B121,Applications!$X$5:$X$600,0))&amp;"",""))</f>
        <v/>
      </c>
      <c r="I121" s="48" t="str">
        <f aca="false">IF($B121="","",IFERROR(INDEX(Applications!$M$5:$M$600,MATCH($B121,Applications!$X$5:$X$600,0)),""))</f>
        <v/>
      </c>
      <c r="J121" s="48" t="str">
        <f aca="false">IF($B121="","",IFERROR(INDEX(Applications!$N$5:$N$600,MATCH($B121,Applications!$X$5:$X$600,0)),""))</f>
        <v/>
      </c>
      <c r="K121" s="37" t="str">
        <f aca="false">IF($B121="","",IFERROR(INDEX(Applications!$K$5:$K$600,MATCH($B121,Applications!$X$5:$X$600,0))&amp;"",""))</f>
        <v/>
      </c>
      <c r="L121" s="48" t="str">
        <f aca="false">IF($B121="","",IFERROR(INDEX(Applications!$P$5:$P$600,MATCH($B121,Applications!$X$5:$X$600,0)),""))</f>
        <v/>
      </c>
      <c r="M121" s="37" t="str">
        <f aca="false">IF($B121="","",IF(K121="","Assign a third reader",IF(ISNUMBER(L121),"Third read done","Waiting on third read")))</f>
        <v/>
      </c>
    </row>
    <row r="122" customFormat="false" ht="15" hidden="false" customHeight="false" outlineLevel="0" collapsed="false">
      <c r="B122" s="37" t="str">
        <f aca="false">IF(118&lt;=COUNTIF(Applications!$O$5:$O$600,"Yes"),118,"")</f>
        <v/>
      </c>
      <c r="C122" s="37" t="str">
        <f aca="false">IF($B122="","",IFERROR(INDEX(Applications!$A$5:$A$600,MATCH($B122,Applications!$X$5:$X$600,0))&amp;"",""))</f>
        <v/>
      </c>
      <c r="D122" s="37" t="str">
        <f aca="false">IF($B122="","",IFERROR(INDEX(Applications!$B$5:$B$600,MATCH($B122,Applications!$X$5:$X$600,0))&amp;"",""))</f>
        <v/>
      </c>
      <c r="E122" s="37" t="str">
        <f aca="false">IF($B122="","",IFERROR(INDEX(Applications!$C$5:$C$600,MATCH($B122,Applications!$X$5:$X$600,0))&amp;"",""))</f>
        <v/>
      </c>
      <c r="F122" s="37" t="str">
        <f aca="false">IF($B122="","",IFERROR(INDEX(Applications!$I$5:$I$600,MATCH($B122,Applications!$X$5:$X$600,0))&amp;"",""))</f>
        <v/>
      </c>
      <c r="G122" s="48" t="str">
        <f aca="false">IF($B122="","",IFERROR(INDEX(Applications!$L$5:$L$600,MATCH($B122,Applications!$X$5:$X$600,0)),""))</f>
        <v/>
      </c>
      <c r="H122" s="37" t="str">
        <f aca="false">IF($B122="","",IFERROR(INDEX(Applications!$J$5:$J$600,MATCH($B122,Applications!$X$5:$X$600,0))&amp;"",""))</f>
        <v/>
      </c>
      <c r="I122" s="48" t="str">
        <f aca="false">IF($B122="","",IFERROR(INDEX(Applications!$M$5:$M$600,MATCH($B122,Applications!$X$5:$X$600,0)),""))</f>
        <v/>
      </c>
      <c r="J122" s="48" t="str">
        <f aca="false">IF($B122="","",IFERROR(INDEX(Applications!$N$5:$N$600,MATCH($B122,Applications!$X$5:$X$600,0)),""))</f>
        <v/>
      </c>
      <c r="K122" s="37" t="str">
        <f aca="false">IF($B122="","",IFERROR(INDEX(Applications!$K$5:$K$600,MATCH($B122,Applications!$X$5:$X$600,0))&amp;"",""))</f>
        <v/>
      </c>
      <c r="L122" s="48" t="str">
        <f aca="false">IF($B122="","",IFERROR(INDEX(Applications!$P$5:$P$600,MATCH($B122,Applications!$X$5:$X$600,0)),""))</f>
        <v/>
      </c>
      <c r="M122" s="37" t="str">
        <f aca="false">IF($B122="","",IF(K122="","Assign a third reader",IF(ISNUMBER(L122),"Third read done","Waiting on third read")))</f>
        <v/>
      </c>
    </row>
    <row r="123" customFormat="false" ht="15" hidden="false" customHeight="false" outlineLevel="0" collapsed="false">
      <c r="B123" s="37" t="str">
        <f aca="false">IF(119&lt;=COUNTIF(Applications!$O$5:$O$600,"Yes"),119,"")</f>
        <v/>
      </c>
      <c r="C123" s="37" t="str">
        <f aca="false">IF($B123="","",IFERROR(INDEX(Applications!$A$5:$A$600,MATCH($B123,Applications!$X$5:$X$600,0))&amp;"",""))</f>
        <v/>
      </c>
      <c r="D123" s="37" t="str">
        <f aca="false">IF($B123="","",IFERROR(INDEX(Applications!$B$5:$B$600,MATCH($B123,Applications!$X$5:$X$600,0))&amp;"",""))</f>
        <v/>
      </c>
      <c r="E123" s="37" t="str">
        <f aca="false">IF($B123="","",IFERROR(INDEX(Applications!$C$5:$C$600,MATCH($B123,Applications!$X$5:$X$600,0))&amp;"",""))</f>
        <v/>
      </c>
      <c r="F123" s="37" t="str">
        <f aca="false">IF($B123="","",IFERROR(INDEX(Applications!$I$5:$I$600,MATCH($B123,Applications!$X$5:$X$600,0))&amp;"",""))</f>
        <v/>
      </c>
      <c r="G123" s="48" t="str">
        <f aca="false">IF($B123="","",IFERROR(INDEX(Applications!$L$5:$L$600,MATCH($B123,Applications!$X$5:$X$600,0)),""))</f>
        <v/>
      </c>
      <c r="H123" s="37" t="str">
        <f aca="false">IF($B123="","",IFERROR(INDEX(Applications!$J$5:$J$600,MATCH($B123,Applications!$X$5:$X$600,0))&amp;"",""))</f>
        <v/>
      </c>
      <c r="I123" s="48" t="str">
        <f aca="false">IF($B123="","",IFERROR(INDEX(Applications!$M$5:$M$600,MATCH($B123,Applications!$X$5:$X$600,0)),""))</f>
        <v/>
      </c>
      <c r="J123" s="48" t="str">
        <f aca="false">IF($B123="","",IFERROR(INDEX(Applications!$N$5:$N$600,MATCH($B123,Applications!$X$5:$X$600,0)),""))</f>
        <v/>
      </c>
      <c r="K123" s="37" t="str">
        <f aca="false">IF($B123="","",IFERROR(INDEX(Applications!$K$5:$K$600,MATCH($B123,Applications!$X$5:$X$600,0))&amp;"",""))</f>
        <v/>
      </c>
      <c r="L123" s="48" t="str">
        <f aca="false">IF($B123="","",IFERROR(INDEX(Applications!$P$5:$P$600,MATCH($B123,Applications!$X$5:$X$600,0)),""))</f>
        <v/>
      </c>
      <c r="M123" s="37" t="str">
        <f aca="false">IF($B123="","",IF(K123="","Assign a third reader",IF(ISNUMBER(L123),"Third read done","Waiting on third read")))</f>
        <v/>
      </c>
    </row>
    <row r="124" customFormat="false" ht="15" hidden="false" customHeight="false" outlineLevel="0" collapsed="false">
      <c r="B124" s="37" t="str">
        <f aca="false">IF(120&lt;=COUNTIF(Applications!$O$5:$O$600,"Yes"),120,"")</f>
        <v/>
      </c>
      <c r="C124" s="37" t="str">
        <f aca="false">IF($B124="","",IFERROR(INDEX(Applications!$A$5:$A$600,MATCH($B124,Applications!$X$5:$X$600,0))&amp;"",""))</f>
        <v/>
      </c>
      <c r="D124" s="37" t="str">
        <f aca="false">IF($B124="","",IFERROR(INDEX(Applications!$B$5:$B$600,MATCH($B124,Applications!$X$5:$X$600,0))&amp;"",""))</f>
        <v/>
      </c>
      <c r="E124" s="37" t="str">
        <f aca="false">IF($B124="","",IFERROR(INDEX(Applications!$C$5:$C$600,MATCH($B124,Applications!$X$5:$X$600,0))&amp;"",""))</f>
        <v/>
      </c>
      <c r="F124" s="37" t="str">
        <f aca="false">IF($B124="","",IFERROR(INDEX(Applications!$I$5:$I$600,MATCH($B124,Applications!$X$5:$X$600,0))&amp;"",""))</f>
        <v/>
      </c>
      <c r="G124" s="48" t="str">
        <f aca="false">IF($B124="","",IFERROR(INDEX(Applications!$L$5:$L$600,MATCH($B124,Applications!$X$5:$X$600,0)),""))</f>
        <v/>
      </c>
      <c r="H124" s="37" t="str">
        <f aca="false">IF($B124="","",IFERROR(INDEX(Applications!$J$5:$J$600,MATCH($B124,Applications!$X$5:$X$600,0))&amp;"",""))</f>
        <v/>
      </c>
      <c r="I124" s="48" t="str">
        <f aca="false">IF($B124="","",IFERROR(INDEX(Applications!$M$5:$M$600,MATCH($B124,Applications!$X$5:$X$600,0)),""))</f>
        <v/>
      </c>
      <c r="J124" s="48" t="str">
        <f aca="false">IF($B124="","",IFERROR(INDEX(Applications!$N$5:$N$600,MATCH($B124,Applications!$X$5:$X$600,0)),""))</f>
        <v/>
      </c>
      <c r="K124" s="37" t="str">
        <f aca="false">IF($B124="","",IFERROR(INDEX(Applications!$K$5:$K$600,MATCH($B124,Applications!$X$5:$X$600,0))&amp;"",""))</f>
        <v/>
      </c>
      <c r="L124" s="48" t="str">
        <f aca="false">IF($B124="","",IFERROR(INDEX(Applications!$P$5:$P$600,MATCH($B124,Applications!$X$5:$X$600,0)),""))</f>
        <v/>
      </c>
      <c r="M124" s="37" t="str">
        <f aca="false">IF($B124="","",IF(K124="","Assign a third reader",IF(ISNUMBER(L124),"Third read done","Waiting on third read")))</f>
        <v/>
      </c>
    </row>
  </sheetData>
  <conditionalFormatting sqref="M5:M124">
    <cfRule type="cellIs" priority="2" operator="equal" aboveAverage="0" equalAverage="0" bottom="0" percent="0" rank="0" text="" dxfId="1">
      <formula>"Assign a third reader"</formula>
    </cfRule>
    <cfRule type="cellIs" priority="3" operator="equal" aboveAverage="0" equalAverage="0" bottom="0" percent="0" rank="0" text="" dxfId="21">
      <formula>"Waiting on third read"</formula>
    </cfRule>
    <cfRule type="cellIs" priority="4" operator="equal" aboveAverage="0" equalAverage="0" bottom="0" percent="0" rank="0" text="" dxfId="25">
      <formula>"Third read done"</formula>
    </cfRule>
  </conditionalFormatting>
  <conditionalFormatting sqref="J5:J124">
    <cfRule type="dataBar" priority="5">
      <dataBar showValue="1" minLength="10" maxLength="90">
        <cfvo type="num" val="0"/>
        <cfvo type="num" val="50"/>
        <color rgb="FFE0A020"/>
      </dataBar>
      <extLst>
        <ext xmlns:x14="http://schemas.microsoft.com/office/spreadsheetml/2009/9/main" uri="{B025F937-C7B1-47D3-B67F-A62EFF666E3E}">
          <x14:id>{184AC61B-606C-4C18-AEAC-7D8850F64FD2}</x14:id>
        </ext>
      </extLst>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Sample data. All names, organizations, and figures are fictional.</oddFooter>
  </headerFooter>
  <extLst>
    <ext xmlns:x14="http://schemas.microsoft.com/office/spreadsheetml/2009/9/main" uri="{78C0D931-6437-407d-A8EE-F0AAD7539E65}">
      <x14:conditionalFormattings>
        <x14:conditionalFormatting xmlns:xm="http://schemas.microsoft.com/office/excel/2006/main">
          <x14:cfRule type="dataBar" id="{184AC61B-606C-4C18-AEAC-7D8850F64FD2}">
            <x14:dataBar minLength="10" maxLength="90" axisPosition="none" gradient="true">
              <x14:cfvo type="num">
                <xm:f>0</xm:f>
              </x14:cfvo>
              <x14:cfvo type="num">
                <xm:f>50</xm:f>
              </x14:cfvo>
              <x14:negativeFillColor rgb="FFE0A020"/>
              <x14:axisColor rgb="FF000000"/>
            </x14:dataBar>
          </x14:cfRule>
          <xm:sqref>J5:J124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5204F"/>
    <pageSetUpPr fitToPage="true"/>
  </sheetPr>
  <dimension ref="A1:P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0"/>
    <col collapsed="false" customWidth="true" hidden="false" outlineLevel="0" max="3" min="3" style="0" width="13"/>
    <col collapsed="false" customWidth="true" hidden="false" outlineLevel="0" max="4" min="4" style="0" width="12"/>
    <col collapsed="false" customWidth="true" hidden="false" outlineLevel="0" max="5" min="5" style="0" width="9"/>
    <col collapsed="false" customWidth="true" hidden="false" outlineLevel="0" max="7" min="6" style="0" width="10"/>
    <col collapsed="false" customWidth="true" hidden="false" outlineLevel="0" max="9" min="8" style="0" width="13"/>
    <col collapsed="false" customWidth="true" hidden="false" outlineLevel="0" max="10" min="10" style="0" width="9"/>
    <col collapsed="false" customWidth="true" hidden="false" outlineLevel="0" max="11" min="11" style="0" width="13"/>
    <col collapsed="false" customWidth="true" hidden="false" outlineLevel="0" max="12" min="12" style="0" width="10"/>
    <col collapsed="false" customWidth="true" hidden="false" outlineLevel="0" max="15" min="13" style="0" width="13"/>
    <col collapsed="false" customWidth="true" hidden="false" outlineLevel="0" max="16" min="16" style="0" width="46"/>
  </cols>
  <sheetData>
    <row r="1" customFormat="false" ht="19.7" hidden="false" customHeight="false" outlineLevel="0" collapsed="false">
      <c r="A1" s="1" t="s">
        <v>2586</v>
      </c>
    </row>
    <row r="2" customFormat="false" ht="15" hidden="false" customHeight="false" outlineLevel="0" collapsed="false">
      <c r="A2" s="2" t="s">
        <v>2587</v>
      </c>
    </row>
    <row r="4" customFormat="false" ht="42" hidden="false" customHeight="true" outlineLevel="0" collapsed="false">
      <c r="B4" s="33" t="s">
        <v>53</v>
      </c>
      <c r="C4" s="33" t="s">
        <v>57</v>
      </c>
      <c r="D4" s="33" t="s">
        <v>149</v>
      </c>
      <c r="E4" s="33" t="s">
        <v>54</v>
      </c>
      <c r="F4" s="33" t="s">
        <v>55</v>
      </c>
      <c r="G4" s="33" t="s">
        <v>2588</v>
      </c>
      <c r="H4" s="33" t="s">
        <v>2589</v>
      </c>
      <c r="I4" s="33" t="s">
        <v>47</v>
      </c>
      <c r="J4" s="33" t="s">
        <v>58</v>
      </c>
      <c r="K4" s="33" t="s">
        <v>2590</v>
      </c>
      <c r="L4" s="33" t="s">
        <v>2591</v>
      </c>
      <c r="M4" s="33" t="s">
        <v>2592</v>
      </c>
      <c r="N4" s="33" t="s">
        <v>2593</v>
      </c>
      <c r="O4" s="33" t="s">
        <v>2594</v>
      </c>
      <c r="P4" s="33" t="s">
        <v>2539</v>
      </c>
    </row>
    <row r="5" customFormat="false" ht="15" hidden="false" customHeight="false" outlineLevel="0" collapsed="false">
      <c r="B5" s="43" t="str">
        <f aca="false">INDEX(ProgramList,1)</f>
        <v>Full Plate</v>
      </c>
      <c r="C5" s="64" t="n">
        <f aca="false">INDEX(PoolList,1)</f>
        <v>1300000</v>
      </c>
      <c r="D5" s="24" t="n">
        <f aca="false">COUNTIF(Applications!$C$5:$C$600,B5)</f>
        <v>190</v>
      </c>
      <c r="E5" s="24" t="n">
        <f aca="false">COUNTIFS(Applications!$C$5:$C$600,B5,Applications!$H$5:$H$600,"Eligible")</f>
        <v>179</v>
      </c>
      <c r="F5" s="24" t="n">
        <f aca="false">COUNTIFS(Applications!$C$5:$C$600,B5,Applications!$Q$5:$Q$600,"&gt;0")</f>
        <v>164</v>
      </c>
      <c r="G5" s="24" t="n">
        <f aca="false">E5-F5</f>
        <v>15</v>
      </c>
      <c r="H5" s="24" t="n">
        <f aca="false">COUNTIFS(Applications!$C$5:$C$600,B5,Applications!$T$5:$T$600,"Yes")</f>
        <v>12</v>
      </c>
      <c r="I5" s="64" t="n">
        <f aca="false">SUMIFS(Applications!$U$5:$U$600,Applications!$C$5:$C$600,B5)</f>
        <v>1330500</v>
      </c>
      <c r="J5" s="27" t="n">
        <f aca="false">IF(C5=0,0,I5/C5)</f>
        <v>1.02346153846154</v>
      </c>
      <c r="K5" s="64" t="n">
        <f aca="false">C5-I5</f>
        <v>-30500</v>
      </c>
      <c r="L5" s="24" t="n">
        <f aca="false">COUNTIFS(Applications!$C$5:$C$600,B5,Applications!$W$5:$W$600,"Within pool")</f>
        <v>11</v>
      </c>
      <c r="M5" s="64" t="n">
        <f aca="false">SUMIFS(Applications!$U$5:$U$600,Applications!$C$5:$C$600,B5,Applications!$W$5:$W$600,"Within pool")</f>
        <v>1251500</v>
      </c>
      <c r="N5" s="24" t="n">
        <f aca="false">COUNTIFS(Applications!$C$5:$C$600,B5,Applications!$W$5:$W$600,"Over pool")</f>
        <v>1</v>
      </c>
      <c r="O5" s="51" t="n">
        <f aca="false">IF(N5=0,"Not reached",_xlfn.MINIFS(Applications!$Q$5:$Q$600,Applications!$C$5:$C$600,B5,Applications!$W$5:$W$600,"Within pool"))</f>
        <v>87</v>
      </c>
      <c r="P5" s="31" t="str">
        <f aca="false">IF(I5&gt;C5,"Over by "&amp;TEXT(I5-C5,"$#,##0")&amp;"; raise the bar or trim awards",IF(G5&gt;0,"Within pool; "&amp;G5&amp;" still in review","Within pool"))</f>
        <v>Over by $30,500; raise the bar or trim awards</v>
      </c>
    </row>
    <row r="6" customFormat="false" ht="15" hidden="false" customHeight="false" outlineLevel="0" collapsed="false">
      <c r="B6" s="43" t="str">
        <f aca="false">INDEX(ProgramList,2)</f>
        <v>Growing Roots</v>
      </c>
      <c r="C6" s="64" t="n">
        <f aca="false">INDEX(PoolList,2)</f>
        <v>950000</v>
      </c>
      <c r="D6" s="24" t="n">
        <f aca="false">COUNTIF(Applications!$C$5:$C$600,B6)</f>
        <v>128</v>
      </c>
      <c r="E6" s="24" t="n">
        <f aca="false">COUNTIFS(Applications!$C$5:$C$600,B6,Applications!$H$5:$H$600,"Eligible")</f>
        <v>119</v>
      </c>
      <c r="F6" s="24" t="n">
        <f aca="false">COUNTIFS(Applications!$C$5:$C$600,B6,Applications!$Q$5:$Q$600,"&gt;0")</f>
        <v>104</v>
      </c>
      <c r="G6" s="24" t="n">
        <f aca="false">E6-F6</f>
        <v>15</v>
      </c>
      <c r="H6" s="24" t="n">
        <f aca="false">COUNTIFS(Applications!$C$5:$C$600,B6,Applications!$T$5:$T$600,"Yes")</f>
        <v>14</v>
      </c>
      <c r="I6" s="64" t="n">
        <f aca="false">SUMIFS(Applications!$U$5:$U$600,Applications!$C$5:$C$600,B6)</f>
        <v>1251500</v>
      </c>
      <c r="J6" s="27" t="n">
        <f aca="false">IF(C6=0,0,I6/C6)</f>
        <v>1.31736842105263</v>
      </c>
      <c r="K6" s="64" t="n">
        <f aca="false">C6-I6</f>
        <v>-301500</v>
      </c>
      <c r="L6" s="24" t="n">
        <f aca="false">COUNTIFS(Applications!$C$5:$C$600,B6,Applications!$W$5:$W$600,"Within pool")</f>
        <v>9</v>
      </c>
      <c r="M6" s="64" t="n">
        <f aca="false">SUMIFS(Applications!$U$5:$U$600,Applications!$C$5:$C$600,B6,Applications!$W$5:$W$600,"Within pool")</f>
        <v>946500</v>
      </c>
      <c r="N6" s="24" t="n">
        <f aca="false">COUNTIFS(Applications!$C$5:$C$600,B6,Applications!$W$5:$W$600,"Over pool")</f>
        <v>5</v>
      </c>
      <c r="O6" s="51" t="n">
        <f aca="false">IF(N6=0,"Not reached",_xlfn.MINIFS(Applications!$Q$5:$Q$600,Applications!$C$5:$C$600,B6,Applications!$W$5:$W$600,"Within pool"))</f>
        <v>91</v>
      </c>
      <c r="P6" s="31" t="str">
        <f aca="false">IF(I6&gt;C6,"Over by "&amp;TEXT(I6-C6,"$#,##0")&amp;"; raise the bar or trim awards",IF(G6&gt;0,"Within pool; "&amp;G6&amp;" still in review","Within pool"))</f>
        <v>Over by $301,500; raise the bar or trim awards</v>
      </c>
    </row>
    <row r="7" customFormat="false" ht="15" hidden="false" customHeight="false" outlineLevel="0" collapsed="false">
      <c r="B7" s="43" t="str">
        <f aca="false">INDEX(ProgramList,3)</f>
        <v>Kitchen to Career</v>
      </c>
      <c r="C7" s="64" t="n">
        <f aca="false">INDEX(PoolList,3)</f>
        <v>850000</v>
      </c>
      <c r="D7" s="24" t="n">
        <f aca="false">COUNTIF(Applications!$C$5:$C$600,B7)</f>
        <v>129</v>
      </c>
      <c r="E7" s="24" t="n">
        <f aca="false">COUNTIFS(Applications!$C$5:$C$600,B7,Applications!$H$5:$H$600,"Eligible")</f>
        <v>116</v>
      </c>
      <c r="F7" s="24" t="n">
        <f aca="false">COUNTIFS(Applications!$C$5:$C$600,B7,Applications!$Q$5:$Q$600,"&gt;0")</f>
        <v>103</v>
      </c>
      <c r="G7" s="24" t="n">
        <f aca="false">E7-F7</f>
        <v>13</v>
      </c>
      <c r="H7" s="24" t="n">
        <f aca="false">COUNTIFS(Applications!$C$5:$C$600,B7,Applications!$T$5:$T$600,"Yes")</f>
        <v>8</v>
      </c>
      <c r="I7" s="64" t="n">
        <f aca="false">SUMIFS(Applications!$U$5:$U$600,Applications!$C$5:$C$600,B7)</f>
        <v>651000</v>
      </c>
      <c r="J7" s="27" t="n">
        <f aca="false">IF(C7=0,0,I7/C7)</f>
        <v>0.765882352941177</v>
      </c>
      <c r="K7" s="64" t="n">
        <f aca="false">C7-I7</f>
        <v>199000</v>
      </c>
      <c r="L7" s="24" t="n">
        <f aca="false">COUNTIFS(Applications!$C$5:$C$600,B7,Applications!$W$5:$W$600,"Within pool")</f>
        <v>8</v>
      </c>
      <c r="M7" s="64" t="n">
        <f aca="false">SUMIFS(Applications!$U$5:$U$600,Applications!$C$5:$C$600,B7,Applications!$W$5:$W$600,"Within pool")</f>
        <v>651000</v>
      </c>
      <c r="N7" s="24" t="n">
        <f aca="false">COUNTIFS(Applications!$C$5:$C$600,B7,Applications!$W$5:$W$600,"Over pool")</f>
        <v>0</v>
      </c>
      <c r="O7" s="51" t="str">
        <f aca="false">IF(N7=0,"Not reached",_xlfn.MINIFS(Applications!$Q$5:$Q$600,Applications!$C$5:$C$600,B7,Applications!$W$5:$W$600,"Within pool"))</f>
        <v>Not reached</v>
      </c>
      <c r="P7" s="31" t="str">
        <f aca="false">IF(I7&gt;C7,"Over by "&amp;TEXT(I7-C7,"$#,##0")&amp;"; raise the bar or trim awards",IF(G7&gt;0,"Within pool; "&amp;G7&amp;" still in review","Within pool"))</f>
        <v>Within pool; 13 still in review</v>
      </c>
    </row>
    <row r="8" customFormat="false" ht="15" hidden="false" customHeight="false" outlineLevel="0" collapsed="false">
      <c r="B8" s="43" t="str">
        <f aca="false">INDEX(ProgramList,4)</f>
        <v>Neighborhood Tables</v>
      </c>
      <c r="C8" s="64" t="n">
        <f aca="false">INDEX(PoolList,4)</f>
        <v>1200000</v>
      </c>
      <c r="D8" s="24" t="n">
        <f aca="false">COUNTIF(Applications!$C$5:$C$600,B8)</f>
        <v>149</v>
      </c>
      <c r="E8" s="24" t="n">
        <f aca="false">COUNTIFS(Applications!$C$5:$C$600,B8,Applications!$H$5:$H$600,"Eligible")</f>
        <v>144</v>
      </c>
      <c r="F8" s="24" t="n">
        <f aca="false">COUNTIFS(Applications!$C$5:$C$600,B8,Applications!$Q$5:$Q$600,"&gt;0")</f>
        <v>122</v>
      </c>
      <c r="G8" s="24" t="n">
        <f aca="false">E8-F8</f>
        <v>22</v>
      </c>
      <c r="H8" s="24" t="n">
        <f aca="false">COUNTIFS(Applications!$C$5:$C$600,B8,Applications!$T$5:$T$600,"Yes")</f>
        <v>10</v>
      </c>
      <c r="I8" s="64" t="n">
        <f aca="false">SUMIFS(Applications!$U$5:$U$600,Applications!$C$5:$C$600,B8)</f>
        <v>650500</v>
      </c>
      <c r="J8" s="27" t="n">
        <f aca="false">IF(C8=0,0,I8/C8)</f>
        <v>0.542083333333333</v>
      </c>
      <c r="K8" s="64" t="n">
        <f aca="false">C8-I8</f>
        <v>549500</v>
      </c>
      <c r="L8" s="24" t="n">
        <f aca="false">COUNTIFS(Applications!$C$5:$C$600,B8,Applications!$W$5:$W$600,"Within pool")</f>
        <v>10</v>
      </c>
      <c r="M8" s="64" t="n">
        <f aca="false">SUMIFS(Applications!$U$5:$U$600,Applications!$C$5:$C$600,B8,Applications!$W$5:$W$600,"Within pool")</f>
        <v>650500</v>
      </c>
      <c r="N8" s="24" t="n">
        <f aca="false">COUNTIFS(Applications!$C$5:$C$600,B8,Applications!$W$5:$W$600,"Over pool")</f>
        <v>0</v>
      </c>
      <c r="O8" s="51" t="str">
        <f aca="false">IF(N8=0,"Not reached",_xlfn.MINIFS(Applications!$Q$5:$Q$600,Applications!$C$5:$C$600,B8,Applications!$W$5:$W$600,"Within pool"))</f>
        <v>Not reached</v>
      </c>
      <c r="P8" s="31" t="str">
        <f aca="false">IF(I8&gt;C8,"Over by "&amp;TEXT(I8-C8,"$#,##0")&amp;"; raise the bar or trim awards",IF(G8&gt;0,"Within pool; "&amp;G8&amp;" still in review","Within pool"))</f>
        <v>Within pool; 22 still in review</v>
      </c>
    </row>
    <row r="9" customFormat="false" ht="15" hidden="false" customHeight="false" outlineLevel="0" collapsed="false">
      <c r="B9" s="43" t="s">
        <v>107</v>
      </c>
      <c r="C9" s="65" t="n">
        <f aca="false">SUM(C5:C8)</f>
        <v>4300000</v>
      </c>
      <c r="D9" s="43" t="n">
        <f aca="false">SUM(D5:D8)</f>
        <v>596</v>
      </c>
      <c r="E9" s="43" t="n">
        <f aca="false">SUM(E5:E8)</f>
        <v>558</v>
      </c>
      <c r="F9" s="43" t="n">
        <f aca="false">SUM(F5:F8)</f>
        <v>493</v>
      </c>
      <c r="G9" s="43" t="n">
        <f aca="false">SUM(G5:G8)</f>
        <v>65</v>
      </c>
      <c r="H9" s="43" t="n">
        <f aca="false">SUM(H5:H8)</f>
        <v>44</v>
      </c>
      <c r="I9" s="65" t="n">
        <f aca="false">SUM(I5:I8)</f>
        <v>3883500</v>
      </c>
      <c r="J9" s="47" t="n">
        <f aca="false">IF(C9=0,0,I9/C9)</f>
        <v>0.903139534883721</v>
      </c>
      <c r="K9" s="65" t="n">
        <f aca="false">SUM(K5:K8)</f>
        <v>416500</v>
      </c>
      <c r="L9" s="43" t="n">
        <f aca="false">SUM(L5:L8)</f>
        <v>38</v>
      </c>
      <c r="M9" s="65" t="n">
        <f aca="false">SUM(M5:M8)</f>
        <v>3499500</v>
      </c>
      <c r="N9" s="43" t="n">
        <f aca="false">SUM(N5:N8)</f>
        <v>6</v>
      </c>
    </row>
    <row r="11" customFormat="false" ht="15" hidden="false" customHeight="false" outlineLevel="0" collapsed="false">
      <c r="B11" s="41" t="s">
        <v>2595</v>
      </c>
    </row>
    <row r="12" customFormat="false" ht="15" hidden="false" customHeight="false" outlineLevel="0" collapsed="false">
      <c r="B12" s="41" t="s">
        <v>2596</v>
      </c>
    </row>
  </sheetData>
  <conditionalFormatting sqref="K5:K9">
    <cfRule type="cellIs" priority="2" operator="lessThan" aboveAverage="0" equalAverage="0" bottom="0" percent="0" rank="0" text="" dxfId="1">
      <formula>0</formula>
    </cfRule>
  </conditionalFormatting>
  <conditionalFormatting sqref="J5:J8">
    <cfRule type="cellIs" priority="3" operator="greaterThan" aboveAverage="0" equalAverage="0" bottom="0" percent="0" rank="0" text="" dxfId="1">
      <formula>1</formula>
    </cfRule>
  </conditionalFormatting>
  <conditionalFormatting sqref="P5:P8">
    <cfRule type="expression" priority="4" aboveAverage="0" equalAverage="0" bottom="0" percent="0" rank="0" text="" dxfId="3">
      <formula>LEFT($P5,4)="Over"</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Sample data. All names, organizations, and figures are fictional.</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2026-10-12T07:44:50Z</dcterms:created>
  <dc:creator>Brad Leake</dc:creator>
  <dc:description/>
  <dc:language>en-US</dc:language>
  <cp:lastModifiedBy>Brad Leake</cp:lastModifiedBy>
  <dcterms:modified xsi:type="dcterms:W3CDTF">2026-10-12T03:44:55Z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