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3.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Guide" sheetId="1" state="visible" r:id="rId3"/>
    <sheet name="Summary" sheetId="2" state="visible" r:id="rId4"/>
    <sheet name="Settings" sheetId="3" state="visible" r:id="rId5"/>
    <sheet name="Personnel" sheetId="4" state="visible" r:id="rId6"/>
    <sheet name="Non-Personnel" sheetId="5" state="visible" r:id="rId7"/>
    <sheet name="Grant Pipeline" sheetId="6" state="visible" r:id="rId8"/>
    <sheet name="Revenue" sheetId="7" state="visible" r:id="rId9"/>
    <sheet name="Monthly Spread" sheetId="8" state="visible" r:id="rId10"/>
  </sheets>
  <definedNames>
    <definedName function="false" hidden="false" localSheetId="5" name="_xlnm.Print_Area" vbProcedure="false">'Grant Pipeline'!$A$1:$N$30</definedName>
    <definedName function="false" hidden="false" localSheetId="0" name="_xlnm.Print_Area" vbProcedure="false">Guide!$A$1:$C$26</definedName>
    <definedName function="false" hidden="false" localSheetId="7" name="_xlnm.Print_Area" vbProcedure="false">'Monthly Spread'!$A$1:$O$29</definedName>
    <definedName function="false" hidden="false" localSheetId="4" name="_xlnm.Print_Area" vbProcedure="false">'Non-Personnel'!$A$1:$P$40</definedName>
    <definedName function="false" hidden="false" localSheetId="3" name="_xlnm.Print_Area" vbProcedure="false">Personnel!$A$1:$W$66</definedName>
    <definedName function="false" hidden="false" localSheetId="6" name="_xlnm.Print_Area" vbProcedure="false">Revenue!$A$1:$I$20</definedName>
    <definedName function="false" hidden="false" localSheetId="2" name="_xlnm.Print_Area" vbProcedure="false">Settings!$A$1:$G$30</definedName>
    <definedName function="false" hidden="false" localSheetId="1" name="_xlnm.Print_Area" vbProcedure="false">Summary!$A$1:$N$36</definedName>
    <definedName function="false" hidden="false" name="BenFT" vbProcedure="false">Settings!$C$14:$E$14</definedName>
    <definedName function="false" hidden="false" name="BenPT" vbProcedure="false">Settings!$C$15:$E$15</definedName>
    <definedName function="false" hidden="false" name="CorpG" vbProcedure="false">Settings!$C$21:$E$21</definedName>
    <definedName function="false" hidden="false" name="EventCost" vbProcedure="false">Settings!$C$25:$E$25</definedName>
    <definedName function="false" hidden="false" name="EventGross" vbProcedure="false">Settings!$C$24:$E$24</definedName>
    <definedName function="false" hidden="false" name="FeeG" vbProcedure="false">Settings!$C$23:$E$23</definedName>
    <definedName function="false" hidden="false" name="FTEShare" vbProcedure="false">Personnel!$F$60:$F$64</definedName>
    <definedName function="false" hidden="false" name="GovChg" vbProcedure="false">Settings!$C$22:$E$22</definedName>
    <definedName function="false" hidden="false" name="IndivG" vbProcedure="false">Settings!$C$20:$E$20</definedName>
    <definedName function="false" hidden="false" name="Infl" vbProcedure="false">Settings!$C$18:$E$18</definedName>
    <definedName function="false" hidden="false" name="InvOther" vbProcedure="false">Settings!$C$26:$E$26</definedName>
    <definedName function="false" hidden="false" name="ProbTable" vbProcedure="false">Settings!$C$27:$E$30</definedName>
    <definedName function="false" hidden="false" name="P_Awarded" vbProcedure="false">Settings!$C$27:$E$27</definedName>
    <definedName function="false" hidden="false" name="P_Prospect" vbProcedure="false">Settings!$C$30:$E$30</definedName>
    <definedName function="false" hidden="false" name="P_Renewal" vbProcedure="false">Settings!$C$28:$E$28</definedName>
    <definedName function="false" hidden="false" name="P_Submitted" vbProcedure="false">Settings!$C$29:$E$29</definedName>
    <definedName function="false" hidden="false" name="Raise" vbProcedure="false">Settings!$C$13:$E$13</definedName>
    <definedName function="false" hidden="false" name="Scenario" vbProcedure="false">Settings!$C$8</definedName>
    <definedName function="false" hidden="false" name="ScenNo" vbProcedure="false">Settings!$C$9</definedName>
    <definedName function="false" hidden="false" name="StageNames" vbProcedure="false">Settings!$H$27:$H$30</definedName>
    <definedName function="false" hidden="false" name="TaxRate" vbProcedure="false">Settings!$C$16:$E$16</definedName>
    <definedName function="false" hidden="false" name="Vacancy" vbProcedure="false">Settings!$C$17:$E$17</definedName>
    <definedName function="false" hidden="false" name="Volume" vbProcedure="false">Settings!$C$19:$E$19</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C8" authorId="0">
      <text>
        <r>
          <rPr>
            <sz val="10"/>
            <rFont val="Arial"/>
            <family val="2"/>
          </rPr>
          <t xml:space="preserve">Choose Base, Conservative, or Growth.</t>
        </r>
      </text>
    </comment>
  </commentList>
</comments>
</file>

<file path=xl/sharedStrings.xml><?xml version="1.0" encoding="utf-8"?>
<sst xmlns="http://schemas.openxmlformats.org/spreadsheetml/2006/main" count="634" uniqueCount="307">
  <si>
    <t xml:space="preserve">FY2027 Budget and Forecast Model</t>
  </si>
  <si>
    <t xml:space="preserve">Larkfield Community Partners. Builds next year's budget from positions, program costs, revenue sources, and a probability-weighted grant pipeline.</t>
  </si>
  <si>
    <t xml:space="preserve">Sample data. All names, organizations, and figures are fictional.</t>
  </si>
  <si>
    <t xml:space="preserve">How the model is organized</t>
  </si>
  <si>
    <t xml:space="preserve">Settings holds every assumption for the three scenarios. The yellow cell picks which scenario the rest of the model shows.</t>
  </si>
  <si>
    <t xml:space="preserve">Personnel lists each position with its FTE, current rate, start month, and how its cost is split across programs and support functions.</t>
  </si>
  <si>
    <t xml:space="preserve">Non-Personnel holds base-year costs by program. Each line is marked Fixed, Inflation, Volume, or Volume and inflation, which decides how it changes by scenario.</t>
  </si>
  <si>
    <t xml:space="preserve">Grant Pipeline weights each foundation and corporate request by its stage and counts only the part of each grant that falls in FY2027.</t>
  </si>
  <si>
    <t xml:space="preserve">Revenue builds each source from the FY2026 projection, contract awards, the pipeline, and the event plan.</t>
  </si>
  <si>
    <t xml:space="preserve">Summary shows the scenario chosen, expenses by function, revenue against FY2026, and all three scenarios side by side.</t>
  </si>
  <si>
    <t xml:space="preserve">Monthly Spread turns the annual budget into monthly amounts for QuickBooks and shows the months when the budget runs a deficit.</t>
  </si>
  <si>
    <t xml:space="preserve">What the scenarios mean</t>
  </si>
  <si>
    <t xml:space="preserve">Base is the plan staff recommend. Conservative assumes smaller raises, a larger health premium increase, lower giving, a 5 percent cut to government contracts, lower odds on pending grants, and holding the vacant employer partnerships position open.</t>
  </si>
  <si>
    <t xml:space="preserve">Growth adds three new positions tied to program expansion and assumes stronger giving, a 4 percent increase in government contracts, and better odds on pending grants.</t>
  </si>
  <si>
    <t xml:space="preserve">Color key</t>
  </si>
  <si>
    <t xml:space="preserve">Blue text marks typed inputs. Black text marks formulas. Green text marks direct links to another sheet. Gray columns compute all three scenarios at once.</t>
  </si>
  <si>
    <t xml:space="preserve">Model checks</t>
  </si>
  <si>
    <t xml:space="preserve">Every position's allocation adds to 100%</t>
  </si>
  <si>
    <t xml:space="preserve">Personnel by function agrees to the position total</t>
  </si>
  <si>
    <t xml:space="preserve">Non-personnel by function agrees to the scenario total</t>
  </si>
  <si>
    <t xml:space="preserve">Summary agrees to the side-by-side scenario table</t>
  </si>
  <si>
    <t xml:space="preserve">Monthly patterns each add to 100%</t>
  </si>
  <si>
    <t xml:space="preserve">FY2027 Budget Summary</t>
  </si>
  <si>
    <t xml:space="preserve">Total revenue and support</t>
  </si>
  <si>
    <t xml:space="preserve">Total expenses</t>
  </si>
  <si>
    <t xml:space="preserve">Surplus (deficit)</t>
  </si>
  <si>
    <t xml:space="preserve">Program share of expenses</t>
  </si>
  <si>
    <t xml:space="preserve">Expenses by function</t>
  </si>
  <si>
    <t xml:space="preserve">Function</t>
  </si>
  <si>
    <t xml:space="preserve">Personnel</t>
  </si>
  <si>
    <t xml:space="preserve">Non-personnel</t>
  </si>
  <si>
    <t xml:space="preserve">Total</t>
  </si>
  <si>
    <t xml:space="preserve">Share</t>
  </si>
  <si>
    <t xml:space="preserve">Housing Stability</t>
  </si>
  <si>
    <t xml:space="preserve">Workforce Pathways</t>
  </si>
  <si>
    <t xml:space="preserve">Senior Connections</t>
  </si>
  <si>
    <t xml:space="preserve">Management and General</t>
  </si>
  <si>
    <t xml:space="preserve">Fundraising</t>
  </si>
  <si>
    <t xml:space="preserve">Revenue by source</t>
  </si>
  <si>
    <t xml:space="preserve">Source</t>
  </si>
  <si>
    <t xml:space="preserve">FY2026 projected</t>
  </si>
  <si>
    <t xml:space="preserve">FY2027 budget</t>
  </si>
  <si>
    <t xml:space="preserve">Change</t>
  </si>
  <si>
    <t xml:space="preserve">Contributions</t>
  </si>
  <si>
    <t xml:space="preserve">Foundation and corporate grants</t>
  </si>
  <si>
    <t xml:space="preserve">Government grants</t>
  </si>
  <si>
    <t xml:space="preserve">Program fees</t>
  </si>
  <si>
    <t xml:space="preserve">Spring Benefit, net</t>
  </si>
  <si>
    <t xml:space="preserve">Investment and other</t>
  </si>
  <si>
    <t xml:space="preserve">All three scenarios side by side</t>
  </si>
  <si>
    <t xml:space="preserve">Base</t>
  </si>
  <si>
    <t xml:space="preserve">Conservative</t>
  </si>
  <si>
    <t xml:space="preserve">Growth</t>
  </si>
  <si>
    <t xml:space="preserve">Revenue and support</t>
  </si>
  <si>
    <t xml:space="preserve">Operating margin</t>
  </si>
  <si>
    <t xml:space="preserve">Check: scenario shown agrees to the side-by-side table</t>
  </si>
  <si>
    <t xml:space="preserve">Settings and Scenario Assumptions</t>
  </si>
  <si>
    <t xml:space="preserve">Pick a scenario in the yellow cell. Every sheet in the model recalculates for that scenario.</t>
  </si>
  <si>
    <t xml:space="preserve">Organization</t>
  </si>
  <si>
    <t xml:space="preserve">Larkfield Community Partners</t>
  </si>
  <si>
    <t xml:space="preserve">Budget year</t>
  </si>
  <si>
    <t xml:space="preserve">FY2027 (July 1, 2026 to June 30, 2027)</t>
  </si>
  <si>
    <t xml:space="preserve">Scenario shown in the model</t>
  </si>
  <si>
    <t xml:space="preserve">Scenario number</t>
  </si>
  <si>
    <t xml:space="preserve">Assumption</t>
  </si>
  <si>
    <t xml:space="preserve">Shown now</t>
  </si>
  <si>
    <t xml:space="preserve">Notes</t>
  </si>
  <si>
    <t xml:space="preserve">Salary increase for current staff</t>
  </si>
  <si>
    <t xml:space="preserve">Applied to every position's current annual rate.</t>
  </si>
  <si>
    <t xml:space="preserve">Benefits rate, full-time staff (percent of salary)</t>
  </si>
  <si>
    <t xml:space="preserve">Health, dental, life, and retirement match. Conservative assumes a larger premium increase.</t>
  </si>
  <si>
    <t xml:space="preserve">Benefits rate, part-time staff</t>
  </si>
  <si>
    <t xml:space="preserve">Retirement match only.</t>
  </si>
  <si>
    <t xml:space="preserve">Employer payroll tax rate</t>
  </si>
  <si>
    <t xml:space="preserve">Based on FY2026 actual payroll taxes as a share of salaries.</t>
  </si>
  <si>
    <t xml:space="preserve">Vacancy and turnover factor</t>
  </si>
  <si>
    <t xml:space="preserve">Share of salary expected to go unspent while positions are open.</t>
  </si>
  <si>
    <t xml:space="preserve">Non-personnel cost inflation</t>
  </si>
  <si>
    <t xml:space="preserve">Applied to lines marked Inflation.</t>
  </si>
  <si>
    <t xml:space="preserve">Client assistance volume</t>
  </si>
  <si>
    <t xml:space="preserve">Rental, utility, and meal volume compared with the base plan.</t>
  </si>
  <si>
    <t xml:space="preserve">Individual giving growth over FY2026</t>
  </si>
  <si>
    <t xml:space="preserve">Corporate giving growth over FY2026</t>
  </si>
  <si>
    <t xml:space="preserve">Government contract change at renewal</t>
  </si>
  <si>
    <t xml:space="preserve">Applied to all three government contracts.</t>
  </si>
  <si>
    <t xml:space="preserve">Program fee growth</t>
  </si>
  <si>
    <t xml:space="preserve">Certification course and senior program fees.</t>
  </si>
  <si>
    <t xml:space="preserve">Spring Benefit gross revenue</t>
  </si>
  <si>
    <t xml:space="preserve">Spring Benefit direct costs (percent of gross)</t>
  </si>
  <si>
    <t xml:space="preserve">Meals and venue, shown as a reduction of event revenue.</t>
  </si>
  <si>
    <t xml:space="preserve">Investment return and other income</t>
  </si>
  <si>
    <t xml:space="preserve">Probability: awarded</t>
  </si>
  <si>
    <t xml:space="preserve">Grant pipeline stage weights.</t>
  </si>
  <si>
    <t xml:space="preserve">Awarded</t>
  </si>
  <si>
    <t xml:space="preserve">Probability: renewal likely</t>
  </si>
  <si>
    <t xml:space="preserve">Renewal likely</t>
  </si>
  <si>
    <t xml:space="preserve">Probability: submitted</t>
  </si>
  <si>
    <t xml:space="preserve">Submitted</t>
  </si>
  <si>
    <t xml:space="preserve">Probability: prospect</t>
  </si>
  <si>
    <t xml:space="preserve">Prospect</t>
  </si>
  <si>
    <t xml:space="preserve">Personnel Budget by Position</t>
  </si>
  <si>
    <t xml:space="preserve">One row per position. Salary, benefits, and taxes follow the scenario. Allocation percentages spread each position across programs and support functions.</t>
  </si>
  <si>
    <t xml:space="preserve">Position</t>
  </si>
  <si>
    <t xml:space="preserve">Home program</t>
  </si>
  <si>
    <t xml:space="preserve">Status</t>
  </si>
  <si>
    <t xml:space="preserve">Type</t>
  </si>
  <si>
    <t xml:space="preserve">FTE</t>
  </si>
  <si>
    <t xml:space="preserve">Current annual rate (1.0 FTE)</t>
  </si>
  <si>
    <t xml:space="preserve">Start month (1 = July)</t>
  </si>
  <si>
    <t xml:space="preserve">Included in</t>
  </si>
  <si>
    <t xml:space="preserve">Months budgeted</t>
  </si>
  <si>
    <t xml:space="preserve">In this scenario</t>
  </si>
  <si>
    <t xml:space="preserve">Salary</t>
  </si>
  <si>
    <t xml:space="preserve">Benefits</t>
  </si>
  <si>
    <t xml:space="preserve">Payroll taxes</t>
  </si>
  <si>
    <t xml:space="preserve">Total cost</t>
  </si>
  <si>
    <t xml:space="preserve">Housing</t>
  </si>
  <si>
    <t xml:space="preserve">Workforce</t>
  </si>
  <si>
    <t xml:space="preserve">Senior</t>
  </si>
  <si>
    <t xml:space="preserve">Mgmt and general</t>
  </si>
  <si>
    <t xml:space="preserve">Fund-raising</t>
  </si>
  <si>
    <t xml:space="preserve">Check</t>
  </si>
  <si>
    <t xml:space="preserve">Total: Base</t>
  </si>
  <si>
    <t xml:space="preserve">Total: Conservative</t>
  </si>
  <si>
    <t xml:space="preserve">Total: Growth</t>
  </si>
  <si>
    <t xml:space="preserve">Executive Director</t>
  </si>
  <si>
    <t xml:space="preserve">Filled</t>
  </si>
  <si>
    <t xml:space="preserve">Full-time</t>
  </si>
  <si>
    <t xml:space="preserve">All</t>
  </si>
  <si>
    <t xml:space="preserve">Finance Director</t>
  </si>
  <si>
    <t xml:space="preserve">Bookkeeper</t>
  </si>
  <si>
    <t xml:space="preserve">Part-time</t>
  </si>
  <si>
    <t xml:space="preserve">Office Manager</t>
  </si>
  <si>
    <t xml:space="preserve">Operations and HR Manager</t>
  </si>
  <si>
    <t xml:space="preserve">Data and Compliance Specialist</t>
  </si>
  <si>
    <t xml:space="preserve">Facilities and IT Coordinator</t>
  </si>
  <si>
    <t xml:space="preserve">Grants Manager</t>
  </si>
  <si>
    <t xml:space="preserve">Development Director</t>
  </si>
  <si>
    <t xml:space="preserve">Development Coordinator</t>
  </si>
  <si>
    <t xml:space="preserve">Communications Coordinator</t>
  </si>
  <si>
    <t xml:space="preserve">Housing Program Director</t>
  </si>
  <si>
    <t xml:space="preserve">Housing Case Manager</t>
  </si>
  <si>
    <t xml:space="preserve">Vacant</t>
  </si>
  <si>
    <t xml:space="preserve">Rapid Rehousing Specialist</t>
  </si>
  <si>
    <t xml:space="preserve">Landlord Liaison</t>
  </si>
  <si>
    <t xml:space="preserve">Housing Navigator</t>
  </si>
  <si>
    <t xml:space="preserve">Intake Specialist</t>
  </si>
  <si>
    <t xml:space="preserve">Housing Case Manager (expansion)</t>
  </si>
  <si>
    <t xml:space="preserve">New</t>
  </si>
  <si>
    <t xml:space="preserve">Growth only</t>
  </si>
  <si>
    <t xml:space="preserve">Workforce Program Director</t>
  </si>
  <si>
    <t xml:space="preserve">Job Coach</t>
  </si>
  <si>
    <t xml:space="preserve">Workforce Case Manager</t>
  </si>
  <si>
    <t xml:space="preserve">Workforce Intake Specialist</t>
  </si>
  <si>
    <t xml:space="preserve">Certification Instructor</t>
  </si>
  <si>
    <t xml:space="preserve">Employer Partnerships Manager</t>
  </si>
  <si>
    <t xml:space="preserve">Not in Conservative</t>
  </si>
  <si>
    <t xml:space="preserve">Job Coach (second site)</t>
  </si>
  <si>
    <t xml:space="preserve">Senior Program Director</t>
  </si>
  <si>
    <t xml:space="preserve">Nutrition Coordinator</t>
  </si>
  <si>
    <t xml:space="preserve">Kitchen Lead</t>
  </si>
  <si>
    <t xml:space="preserve">Kitchen Assistant</t>
  </si>
  <si>
    <t xml:space="preserve">Meal Delivery Driver</t>
  </si>
  <si>
    <t xml:space="preserve">Senior Case Manager</t>
  </si>
  <si>
    <t xml:space="preserve">Senior Center Site Coordinator</t>
  </si>
  <si>
    <t xml:space="preserve">Wellness Check Coordinator</t>
  </si>
  <si>
    <t xml:space="preserve">Volunteer Coordinator</t>
  </si>
  <si>
    <t xml:space="preserve">Community Health Worker</t>
  </si>
  <si>
    <t xml:space="preserve">Total personnel</t>
  </si>
  <si>
    <t xml:space="preserve">FTE shown in the total counts only positions included in the scenario.</t>
  </si>
  <si>
    <t xml:space="preserve">Personnel by function, scenario shown</t>
  </si>
  <si>
    <t xml:space="preserve">Salaries</t>
  </si>
  <si>
    <t xml:space="preserve">Benefits and taxes</t>
  </si>
  <si>
    <t xml:space="preserve">Share of FTE</t>
  </si>
  <si>
    <t xml:space="preserve">Check: agrees to position total</t>
  </si>
  <si>
    <t xml:space="preserve">Non-Personnel Expenses by Program</t>
  </si>
  <si>
    <t xml:space="preserve">Enter base-year amounts by program in the blue cells. The cost type decides how each line moves between scenarios. Shared costs are spread by FTE.</t>
  </si>
  <si>
    <t xml:space="preserve">Expense line</t>
  </si>
  <si>
    <t xml:space="preserve">Cost type</t>
  </si>
  <si>
    <t xml:space="preserve">Shared costs</t>
  </si>
  <si>
    <t xml:space="preserve">Base-year total</t>
  </si>
  <si>
    <t xml:space="preserve">Scenario factor</t>
  </si>
  <si>
    <t xml:space="preserve">Scenario shown</t>
  </si>
  <si>
    <t xml:space="preserve">Change from FY2026</t>
  </si>
  <si>
    <t xml:space="preserve">Direct client assistance</t>
  </si>
  <si>
    <t xml:space="preserve">Volume</t>
  </si>
  <si>
    <t xml:space="preserve">Food and meal supplies</t>
  </si>
  <si>
    <t xml:space="preserve">Volume and inflation</t>
  </si>
  <si>
    <t xml:space="preserve">Program supplies</t>
  </si>
  <si>
    <t xml:space="preserve">Inflation</t>
  </si>
  <si>
    <t xml:space="preserve">Audit and accounting</t>
  </si>
  <si>
    <t xml:space="preserve">Fixed</t>
  </si>
  <si>
    <t xml:space="preserve">Contract services</t>
  </si>
  <si>
    <t xml:space="preserve">Occupancy</t>
  </si>
  <si>
    <t xml:space="preserve">Technology and software</t>
  </si>
  <si>
    <t xml:space="preserve">Insurance</t>
  </si>
  <si>
    <t xml:space="preserve">Travel, mileage, and vehicles</t>
  </si>
  <si>
    <t xml:space="preserve">Printing, postage, and marketing</t>
  </si>
  <si>
    <t xml:space="preserve">Staff training</t>
  </si>
  <si>
    <t xml:space="preserve">Interest</t>
  </si>
  <si>
    <t xml:space="preserve">Depreciation</t>
  </si>
  <si>
    <t xml:space="preserve">Bank fees and other</t>
  </si>
  <si>
    <t xml:space="preserve">Total non-personnel</t>
  </si>
  <si>
    <t xml:space="preserve">Scenario shown, by function, with shared costs spread by FTE</t>
  </si>
  <si>
    <t xml:space="preserve">Check: agrees to the scenario total above</t>
  </si>
  <si>
    <t xml:space="preserve">Foundation and Corporate Grant Pipeline</t>
  </si>
  <si>
    <t xml:space="preserve">Each request is weighted by the probability for its stage on the Settings sheet. Only the share of each grant that falls in FY2027 is counted.</t>
  </si>
  <si>
    <t xml:space="preserve">Funder</t>
  </si>
  <si>
    <t xml:space="preserve">Purpose</t>
  </si>
  <si>
    <t xml:space="preserve">Restricted</t>
  </si>
  <si>
    <t xml:space="preserve">Program</t>
  </si>
  <si>
    <t xml:space="preserve">Stage</t>
  </si>
  <si>
    <t xml:space="preserve">Request amount</t>
  </si>
  <si>
    <t xml:space="preserve">Grant period (months)</t>
  </si>
  <si>
    <t xml:space="preserve">Months in FY2027</t>
  </si>
  <si>
    <t xml:space="preserve">FY2027 share</t>
  </si>
  <si>
    <t xml:space="preserve">Probability</t>
  </si>
  <si>
    <t xml:space="preserve">Weighted, scenario shown</t>
  </si>
  <si>
    <t xml:space="preserve">Weighted: Base</t>
  </si>
  <si>
    <t xml:space="preserve">Weighted: Conservative</t>
  </si>
  <si>
    <t xml:space="preserve">Weighted: Growth</t>
  </si>
  <si>
    <t xml:space="preserve">Hartwell Family Foundation</t>
  </si>
  <si>
    <t xml:space="preserve">Senior meals expansion, year 2</t>
  </si>
  <si>
    <t xml:space="preserve">Yes</t>
  </si>
  <si>
    <t xml:space="preserve">Bluestone Community Foundation</t>
  </si>
  <si>
    <t xml:space="preserve">General operating support</t>
  </si>
  <si>
    <t xml:space="preserve">No</t>
  </si>
  <si>
    <t xml:space="preserve">General</t>
  </si>
  <si>
    <t xml:space="preserve">Ashgrove Foundation</t>
  </si>
  <si>
    <t xml:space="preserve">Housing navigator, year 2 payment</t>
  </si>
  <si>
    <t xml:space="preserve">Calder Health Fund</t>
  </si>
  <si>
    <t xml:space="preserve">Senior wellness checks, new two-year grant</t>
  </si>
  <si>
    <t xml:space="preserve">Okafor Charitable Trust</t>
  </si>
  <si>
    <t xml:space="preserve">Certification scholarships renewal</t>
  </si>
  <si>
    <t xml:space="preserve">Tri-County Giving Circle</t>
  </si>
  <si>
    <t xml:space="preserve">Digital skills lab, phase two</t>
  </si>
  <si>
    <t xml:space="preserve">Merriweather Foundation</t>
  </si>
  <si>
    <t xml:space="preserve">Pinecrest Health Foundation</t>
  </si>
  <si>
    <t xml:space="preserve">Medically tailored meals pilot</t>
  </si>
  <si>
    <t xml:space="preserve">Redbud Family Fund</t>
  </si>
  <si>
    <t xml:space="preserve">Emergency rent fund</t>
  </si>
  <si>
    <t xml:space="preserve">Harbor Point Bank Foundation</t>
  </si>
  <si>
    <t xml:space="preserve">Financial coaching for job seekers</t>
  </si>
  <si>
    <t xml:space="preserve">Wexford Community Trust</t>
  </si>
  <si>
    <t xml:space="preserve">Capacity building: data systems</t>
  </si>
  <si>
    <t xml:space="preserve">Sutton Utility Cooperative</t>
  </si>
  <si>
    <t xml:space="preserve">Winter utility assistance</t>
  </si>
  <si>
    <t xml:space="preserve">Larch Street Foundation</t>
  </si>
  <si>
    <t xml:space="preserve">Youth employment pilot</t>
  </si>
  <si>
    <t xml:space="preserve">Elmhurst Corporate Giving</t>
  </si>
  <si>
    <t xml:space="preserve">Senior volunteer program</t>
  </si>
  <si>
    <t xml:space="preserve">Pipeline by stage, scenario shown</t>
  </si>
  <si>
    <t xml:space="preserve">Requests</t>
  </si>
  <si>
    <t xml:space="preserve">Weighted</t>
  </si>
  <si>
    <t xml:space="preserve">Restricted grants are counted as support in the year the money is used for its purpose.</t>
  </si>
  <si>
    <t xml:space="preserve">Revenue by Source</t>
  </si>
  <si>
    <t xml:space="preserve">FY2026 projected is nine months of actual results plus the remaining three months of budget.</t>
  </si>
  <si>
    <t xml:space="preserve">Revenue source</t>
  </si>
  <si>
    <t xml:space="preserve">How it is budgeted</t>
  </si>
  <si>
    <t xml:space="preserve">Change %</t>
  </si>
  <si>
    <t xml:space="preserve">Individual contributions</t>
  </si>
  <si>
    <t xml:space="preserve">FY2026 projection plus growth rate</t>
  </si>
  <si>
    <t xml:space="preserve">Corporate contributions</t>
  </si>
  <si>
    <t xml:space="preserve">Probability-weighted pipeline</t>
  </si>
  <si>
    <t xml:space="preserve">Restricted gifts already received</t>
  </si>
  <si>
    <t xml:space="preserve">Balances scheduled for use in FY2027</t>
  </si>
  <si>
    <t xml:space="preserve">Government grants: housing</t>
  </si>
  <si>
    <t xml:space="preserve">Contract award plus renewal change</t>
  </si>
  <si>
    <t xml:space="preserve">Government grants: workforce</t>
  </si>
  <si>
    <t xml:space="preserve">Government grants: senior services</t>
  </si>
  <si>
    <t xml:space="preserve">Program fees: workforce</t>
  </si>
  <si>
    <t xml:space="preserve">FY2026 projection plus fee growth</t>
  </si>
  <si>
    <t xml:space="preserve">Program fees: senior services</t>
  </si>
  <si>
    <t xml:space="preserve">Spring Benefit, gross</t>
  </si>
  <si>
    <t xml:space="preserve">Event plan</t>
  </si>
  <si>
    <t xml:space="preserve">Less direct benefits to donors</t>
  </si>
  <si>
    <t xml:space="preserve">Percent of gross</t>
  </si>
  <si>
    <t xml:space="preserve">Estimate</t>
  </si>
  <si>
    <t xml:space="preserve">FY2026 foundation grants include gifts released from donor restrictions during the year, so the FY2026 figure is comparable to the pipeline plus restricted gifts already received.</t>
  </si>
  <si>
    <t xml:space="preserve">FY2027 Budget by Month</t>
  </si>
  <si>
    <t xml:space="preserve">Annual amounts for the scenario shown, spread with the monthly patterns in the blue rows. Use this to set the monthly budget in QuickBooks. June is set so each pattern adds to 100 percent.</t>
  </si>
  <si>
    <t xml:space="preserve">Line</t>
  </si>
  <si>
    <t xml:space="preserve">Annual</t>
  </si>
  <si>
    <t xml:space="preserve">Jul</t>
  </si>
  <si>
    <t xml:space="preserve">Aug</t>
  </si>
  <si>
    <t xml:space="preserve">Sep</t>
  </si>
  <si>
    <t xml:space="preserve">Oct</t>
  </si>
  <si>
    <t xml:space="preserve">Nov</t>
  </si>
  <si>
    <t xml:space="preserve">Dec</t>
  </si>
  <si>
    <t xml:space="preserve">Jan</t>
  </si>
  <si>
    <t xml:space="preserve">Feb</t>
  </si>
  <si>
    <t xml:space="preserve">Mar</t>
  </si>
  <si>
    <t xml:space="preserve">Apr</t>
  </si>
  <si>
    <t xml:space="preserve">May</t>
  </si>
  <si>
    <t xml:space="preserve">Jun</t>
  </si>
  <si>
    <t xml:space="preserve">Pattern check</t>
  </si>
  <si>
    <t xml:space="preserve">Contributions: monthly pattern</t>
  </si>
  <si>
    <t xml:space="preserve">Foundation and corporate grants: monthly pattern</t>
  </si>
  <si>
    <t xml:space="preserve">Government grants: monthly pattern</t>
  </si>
  <si>
    <t xml:space="preserve">Program fees: monthly pattern</t>
  </si>
  <si>
    <t xml:space="preserve">Spring Benefit, net: monthly pattern</t>
  </si>
  <si>
    <t xml:space="preserve">Investment and other: monthly pattern</t>
  </si>
  <si>
    <t xml:space="preserve">Expenses</t>
  </si>
  <si>
    <t xml:space="preserve">Personnel: monthly pattern</t>
  </si>
  <si>
    <t xml:space="preserve">Non-personnel: monthly pattern</t>
  </si>
  <si>
    <t xml:space="preserve">Surplus (deficit) for the month</t>
  </si>
  <si>
    <t xml:space="preserve">Cumulative surplus (deficit)</t>
  </si>
</sst>
</file>

<file path=xl/styles.xml><?xml version="1.0" encoding="utf-8"?>
<styleSheet xmlns="http://schemas.openxmlformats.org/spreadsheetml/2006/main">
  <numFmts count="13">
    <numFmt numFmtId="164" formatCode="General"/>
    <numFmt numFmtId="165" formatCode="\$#,##0;&quot;($&quot;#,##0\);\-"/>
    <numFmt numFmtId="166" formatCode="0.0%;\(0.0%\);\-"/>
    <numFmt numFmtId="167" formatCode="#,##0;\(#,##0\);\-"/>
    <numFmt numFmtId="168" formatCode="\$#,##0.0,,\M"/>
    <numFmt numFmtId="169" formatCode="\$#,##0,\K"/>
    <numFmt numFmtId="170" formatCode="General"/>
    <numFmt numFmtId="171" formatCode="0.00"/>
    <numFmt numFmtId="172" formatCode="&quot;Yes&quot;;;&quot;No&quot;"/>
    <numFmt numFmtId="173" formatCode="0%;\(0%\);\-"/>
    <numFmt numFmtId="174" formatCode="0.0"/>
    <numFmt numFmtId="175" formatCode="0.000"/>
    <numFmt numFmtId="176" formatCode="0.0%"/>
  </numFmts>
  <fonts count="33">
    <font>
      <sz val="11"/>
      <color theme="1"/>
      <name val="Calibri"/>
      <family val="2"/>
      <charset val="1"/>
    </font>
    <font>
      <sz val="10"/>
      <name val="Arial"/>
      <family val="0"/>
    </font>
    <font>
      <sz val="10"/>
      <name val="Arial"/>
      <family val="0"/>
    </font>
    <font>
      <sz val="10"/>
      <name val="Arial"/>
      <family val="0"/>
    </font>
    <font>
      <b val="true"/>
      <sz val="18"/>
      <color rgb="FF1B5E66"/>
      <name val="Arial"/>
      <family val="0"/>
      <charset val="1"/>
    </font>
    <font>
      <sz val="10"/>
      <color rgb="FF5B6B7C"/>
      <name val="Arial"/>
      <family val="0"/>
      <charset val="1"/>
    </font>
    <font>
      <i val="true"/>
      <sz val="8"/>
      <color rgb="FF5B6B7C"/>
      <name val="Arial"/>
      <family val="0"/>
      <charset val="1"/>
    </font>
    <font>
      <b val="true"/>
      <sz val="11"/>
      <color rgb="FF1B5E66"/>
      <name val="Arial"/>
      <family val="0"/>
      <charset val="1"/>
    </font>
    <font>
      <sz val="9"/>
      <color rgb="FF1F2933"/>
      <name val="Arial"/>
      <family val="0"/>
      <charset val="1"/>
    </font>
    <font>
      <b val="true"/>
      <sz val="9"/>
      <color rgb="FF2E6B4F"/>
      <name val="Arial"/>
      <family val="0"/>
      <charset val="1"/>
    </font>
    <font>
      <b val="true"/>
      <sz val="16"/>
      <color rgb="FF1B5E66"/>
      <name val="Arial"/>
      <family val="0"/>
      <charset val="1"/>
    </font>
    <font>
      <b val="true"/>
      <sz val="10"/>
      <color rgb="FFB07D2B"/>
      <name val="Arial"/>
      <family val="0"/>
      <charset val="1"/>
    </font>
    <font>
      <b val="true"/>
      <sz val="9"/>
      <color rgb="FF5B6B7C"/>
      <name val="Arial"/>
      <family val="0"/>
      <charset val="1"/>
    </font>
    <font>
      <b val="true"/>
      <sz val="9"/>
      <color rgb="FFFFFFFF"/>
      <name val="Arial"/>
      <family val="0"/>
      <charset val="1"/>
    </font>
    <font>
      <sz val="9"/>
      <color rgb="FF008000"/>
      <name val="Arial"/>
      <family val="0"/>
      <charset val="1"/>
    </font>
    <font>
      <b val="true"/>
      <sz val="9"/>
      <color rgb="FF1F2933"/>
      <name val="Arial"/>
      <family val="0"/>
      <charset val="1"/>
    </font>
    <font>
      <sz val="8"/>
      <color rgb="FF5B6B7C"/>
      <name val="Arial"/>
      <family val="0"/>
      <charset val="1"/>
    </font>
    <font>
      <b val="true"/>
      <sz val="8"/>
      <color rgb="FF2E6B4F"/>
      <name val="Arial"/>
      <family val="0"/>
      <charset val="1"/>
    </font>
    <font>
      <b val="true"/>
      <sz val="10"/>
      <color rgb="FF1B5E66"/>
      <name val="Calibri"/>
      <family val="2"/>
    </font>
    <font>
      <sz val="8"/>
      <color rgb="FF4A5563"/>
      <name val="Calibri"/>
      <family val="2"/>
    </font>
    <font>
      <sz val="10"/>
      <color rgb="FF000000"/>
      <name val="Calibri"/>
      <family val="2"/>
    </font>
    <font>
      <b val="true"/>
      <sz val="15"/>
      <color rgb="FF1B5E66"/>
      <name val="Arial"/>
      <family val="0"/>
      <charset val="1"/>
    </font>
    <font>
      <b val="true"/>
      <sz val="10"/>
      <color rgb="FF1F2933"/>
      <name val="Arial"/>
      <family val="0"/>
      <charset val="1"/>
    </font>
    <font>
      <sz val="10"/>
      <color rgb="FF1F2933"/>
      <name val="Arial"/>
      <family val="0"/>
      <charset val="1"/>
    </font>
    <font>
      <b val="true"/>
      <sz val="12"/>
      <color rgb="FF0000FF"/>
      <name val="Arial"/>
      <family val="0"/>
      <charset val="1"/>
    </font>
    <font>
      <sz val="9"/>
      <color rgb="FF0000FF"/>
      <name val="Arial"/>
      <family val="0"/>
      <charset val="1"/>
    </font>
    <font>
      <b val="true"/>
      <sz val="9"/>
      <color rgb="FF1B5E66"/>
      <name val="Arial"/>
      <family val="0"/>
      <charset val="1"/>
    </font>
    <font>
      <sz val="8"/>
      <color rgb="FFA0AAB5"/>
      <name val="Arial"/>
      <family val="0"/>
      <charset val="1"/>
    </font>
    <font>
      <sz val="10"/>
      <name val="Arial"/>
      <family val="2"/>
    </font>
    <font>
      <b val="true"/>
      <sz val="10"/>
      <color rgb="FF1B5E66"/>
      <name val="Arial"/>
      <family val="0"/>
      <charset val="1"/>
    </font>
    <font>
      <sz val="8"/>
      <color rgb="FF0000FF"/>
      <name val="Arial"/>
      <family val="0"/>
      <charset val="1"/>
    </font>
    <font>
      <sz val="8"/>
      <color rgb="FF1F2933"/>
      <name val="Arial"/>
      <family val="0"/>
      <charset val="1"/>
    </font>
    <font>
      <b val="true"/>
      <sz val="9"/>
      <color rgb="FF008000"/>
      <name val="Arial"/>
      <family val="0"/>
      <charset val="1"/>
    </font>
  </fonts>
  <fills count="6">
    <fill>
      <patternFill patternType="none"/>
    </fill>
    <fill>
      <patternFill patternType="gray125"/>
    </fill>
    <fill>
      <patternFill patternType="solid">
        <fgColor rgb="FFEAF3F4"/>
        <bgColor rgb="FFE3E7EC"/>
      </patternFill>
    </fill>
    <fill>
      <patternFill patternType="solid">
        <fgColor rgb="FF1B5E66"/>
        <bgColor rgb="FF2E6B4F"/>
      </patternFill>
    </fill>
    <fill>
      <patternFill patternType="solid">
        <fgColor rgb="FFFFF4CC"/>
        <bgColor rgb="FFEAF3F4"/>
      </patternFill>
    </fill>
    <fill>
      <patternFill patternType="solid">
        <fgColor rgb="FF5B6B7C"/>
        <bgColor rgb="FF4A5563"/>
      </patternFill>
    </fill>
  </fills>
  <borders count="4">
    <border diagonalUp="false" diagonalDown="false">
      <left/>
      <right/>
      <top/>
      <bottom/>
      <diagonal/>
    </border>
    <border diagonalUp="false" diagonalDown="false">
      <left/>
      <right/>
      <top style="medium">
        <color rgb="FF1B5E66"/>
      </top>
      <bottom/>
      <diagonal/>
    </border>
    <border diagonalUp="false" diagonalDown="false">
      <left/>
      <right/>
      <top style="thin">
        <color rgb="FF1F2933"/>
      </top>
      <bottom/>
      <diagonal/>
    </border>
    <border diagonalUp="false" diagonalDown="false">
      <left/>
      <right/>
      <top style="thin">
        <color rgb="FF1F2933"/>
      </top>
      <bottom style="double">
        <color rgb="FF1F293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top" textRotation="0" wrapText="true" indent="0" shrinkToFit="false"/>
      <protection locked="true" hidden="false"/>
    </xf>
    <xf numFmtId="164" fontId="8"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center"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2" borderId="1" xfId="0" applyFont="true" applyBorder="true" applyAlignment="true" applyProtection="true">
      <alignment horizontal="general" vertical="bottom" textRotation="0" wrapText="false" indent="0" shrinkToFit="false"/>
      <protection locked="true" hidden="false"/>
    </xf>
    <xf numFmtId="164" fontId="0" fillId="2" borderId="1" xfId="0" applyFont="false" applyBorder="true" applyAlignment="true" applyProtection="true">
      <alignment horizontal="general" vertical="bottom" textRotation="0" wrapText="false" indent="0" shrinkToFit="false"/>
      <protection locked="true" hidden="false"/>
    </xf>
    <xf numFmtId="165" fontId="10" fillId="2" borderId="0" xfId="0" applyFont="true" applyBorder="false" applyAlignment="true" applyProtection="true">
      <alignment horizontal="left"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5" fontId="10" fillId="2" borderId="0" xfId="0" applyFont="true" applyBorder="true" applyAlignment="true" applyProtection="true">
      <alignment horizontal="left" vertical="bottom" textRotation="0" wrapText="false" indent="0" shrinkToFit="false"/>
      <protection locked="true" hidden="false"/>
    </xf>
    <xf numFmtId="166" fontId="10" fillId="2" borderId="0" xfId="0" applyFont="true" applyBorder="true" applyAlignment="true" applyProtection="true">
      <alignment horizontal="left" vertical="bottom" textRotation="0" wrapText="false" indent="0" shrinkToFit="false"/>
      <protection locked="true" hidden="false"/>
    </xf>
    <xf numFmtId="164" fontId="13" fillId="3" borderId="0" xfId="0" applyFont="true" applyBorder="false" applyAlignment="true" applyProtection="true">
      <alignment horizontal="left" vertical="center" textRotation="0" wrapText="true" indent="0" shrinkToFit="false"/>
      <protection locked="true" hidden="false"/>
    </xf>
    <xf numFmtId="164" fontId="13" fillId="3" borderId="0" xfId="0" applyFont="true" applyBorder="false" applyAlignment="true" applyProtection="true">
      <alignment horizontal="center" vertical="center" textRotation="0" wrapText="true" indent="0" shrinkToFit="false"/>
      <protection locked="true" hidden="false"/>
    </xf>
    <xf numFmtId="167" fontId="14" fillId="0" borderId="0" xfId="0" applyFont="true" applyBorder="false" applyAlignment="true" applyProtection="true">
      <alignment horizontal="general" vertical="bottom" textRotation="0" wrapText="false" indent="0" shrinkToFit="false"/>
      <protection locked="true" hidden="false"/>
    </xf>
    <xf numFmtId="167" fontId="8" fillId="0" borderId="0" xfId="0" applyFont="true" applyBorder="false" applyAlignment="true" applyProtection="true">
      <alignment horizontal="general" vertical="bottom" textRotation="0" wrapText="false" indent="0" shrinkToFit="false"/>
      <protection locked="true" hidden="false"/>
    </xf>
    <xf numFmtId="166" fontId="8" fillId="0"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5" fontId="15" fillId="0" borderId="2" xfId="0" applyFont="true" applyBorder="true" applyAlignment="true" applyProtection="true">
      <alignment horizontal="general" vertical="bottom" textRotation="0" wrapText="false" indent="0" shrinkToFit="false"/>
      <protection locked="true" hidden="false"/>
    </xf>
    <xf numFmtId="166" fontId="15" fillId="0" borderId="2" xfId="0" applyFont="true" applyBorder="true" applyAlignment="true" applyProtection="true">
      <alignment horizontal="general" vertical="bottom" textRotation="0" wrapText="false" indent="0" shrinkToFit="false"/>
      <protection locked="true" hidden="false"/>
    </xf>
    <xf numFmtId="167" fontId="15" fillId="0" borderId="2" xfId="0" applyFont="true" applyBorder="true" applyAlignment="true" applyProtection="true">
      <alignment horizontal="general" vertical="bottom" textRotation="0" wrapText="false" indent="0" shrinkToFit="false"/>
      <protection locked="true" hidden="false"/>
    </xf>
    <xf numFmtId="167" fontId="15" fillId="0" borderId="0" xfId="0" applyFont="true" applyBorder="fals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4" fontId="21" fillId="0" borderId="0" xfId="0" applyFont="true" applyBorder="false" applyAlignment="true" applyProtection="true">
      <alignment horizontal="general" vertical="bottom" textRotation="0" wrapText="false" indent="0" shrinkToFit="false"/>
      <protection locked="true" hidden="false"/>
    </xf>
    <xf numFmtId="164" fontId="22" fillId="0" borderId="0" xfId="0" applyFont="true" applyBorder="false" applyAlignment="true" applyProtection="true">
      <alignment horizontal="general" vertical="bottom" textRotation="0" wrapText="false" indent="0" shrinkToFit="false"/>
      <protection locked="true" hidden="false"/>
    </xf>
    <xf numFmtId="164" fontId="23" fillId="0" borderId="0" xfId="0" applyFont="true" applyBorder="false" applyAlignment="true" applyProtection="true">
      <alignment horizontal="general" vertical="bottom" textRotation="0" wrapText="false" indent="0" shrinkToFit="false"/>
      <protection locked="true" hidden="false"/>
    </xf>
    <xf numFmtId="164" fontId="24" fillId="4" borderId="0" xfId="0" applyFont="true" applyBorder="false" applyAlignment="true" applyProtection="true">
      <alignment horizontal="center" vertical="bottom" textRotation="0" wrapText="false" indent="0" shrinkToFit="false"/>
      <protection locked="true" hidden="false"/>
    </xf>
    <xf numFmtId="170" fontId="5" fillId="0" borderId="0" xfId="0" applyFont="true" applyBorder="false" applyAlignment="true" applyProtection="true">
      <alignment horizontal="center" vertical="bottom" textRotation="0" wrapText="false" indent="0" shrinkToFit="false"/>
      <protection locked="true" hidden="false"/>
    </xf>
    <xf numFmtId="166" fontId="25" fillId="0" borderId="0" xfId="0" applyFont="true" applyBorder="false" applyAlignment="true" applyProtection="true">
      <alignment horizontal="center" vertical="bottom" textRotation="0" wrapText="false" indent="0" shrinkToFit="false"/>
      <protection locked="true" hidden="false"/>
    </xf>
    <xf numFmtId="166" fontId="26" fillId="2" borderId="0" xfId="0" applyFont="true" applyBorder="false" applyAlignment="true" applyProtection="true">
      <alignment horizontal="center" vertical="bottom" textRotation="0" wrapText="false" indent="0" shrinkToFit="false"/>
      <protection locked="true" hidden="false"/>
    </xf>
    <xf numFmtId="164" fontId="16" fillId="0" borderId="0" xfId="0" applyFont="true" applyBorder="false" applyAlignment="true" applyProtection="true">
      <alignment horizontal="general" vertical="center" textRotation="0" wrapText="true" indent="0" shrinkToFit="false"/>
      <protection locked="true" hidden="false"/>
    </xf>
    <xf numFmtId="165" fontId="25" fillId="0" borderId="0" xfId="0" applyFont="true" applyBorder="false" applyAlignment="true" applyProtection="true">
      <alignment horizontal="center" vertical="bottom" textRotation="0" wrapText="false" indent="0" shrinkToFit="false"/>
      <protection locked="true" hidden="false"/>
    </xf>
    <xf numFmtId="165" fontId="26" fillId="2" borderId="0" xfId="0" applyFont="true" applyBorder="false" applyAlignment="true" applyProtection="true">
      <alignment horizontal="center" vertical="bottom" textRotation="0" wrapText="false" indent="0" shrinkToFit="false"/>
      <protection locked="true" hidden="false"/>
    </xf>
    <xf numFmtId="164" fontId="27" fillId="0" borderId="0" xfId="0" applyFont="true" applyBorder="false" applyAlignment="true" applyProtection="true">
      <alignment horizontal="general" vertical="bottom" textRotation="0" wrapText="false" indent="0" shrinkToFit="false"/>
      <protection locked="true" hidden="false"/>
    </xf>
    <xf numFmtId="164" fontId="13" fillId="5" borderId="0" xfId="0" applyFont="true" applyBorder="false" applyAlignment="true" applyProtection="true">
      <alignment horizontal="center" vertical="center" textRotation="0" wrapText="true" indent="0" shrinkToFit="false"/>
      <protection locked="true" hidden="false"/>
    </xf>
    <xf numFmtId="164" fontId="25" fillId="0" borderId="0" xfId="0" applyFont="true" applyBorder="false" applyAlignment="true" applyProtection="true">
      <alignment horizontal="general" vertical="bottom" textRotation="0" wrapText="false" indent="0" shrinkToFit="false"/>
      <protection locked="true" hidden="false"/>
    </xf>
    <xf numFmtId="171" fontId="25" fillId="0" borderId="0" xfId="0" applyFont="true" applyBorder="false" applyAlignment="true" applyProtection="true">
      <alignment horizontal="general" vertical="bottom" textRotation="0" wrapText="false" indent="0" shrinkToFit="false"/>
      <protection locked="true" hidden="false"/>
    </xf>
    <xf numFmtId="167" fontId="25" fillId="0" borderId="0" xfId="0" applyFont="true" applyBorder="false" applyAlignment="true" applyProtection="true">
      <alignment horizontal="general" vertical="bottom" textRotation="0" wrapText="false" indent="0" shrinkToFit="false"/>
      <protection locked="true" hidden="false"/>
    </xf>
    <xf numFmtId="164" fontId="25" fillId="0" borderId="0" xfId="0" applyFont="true" applyBorder="false" applyAlignment="true" applyProtection="true">
      <alignment horizontal="center" vertical="bottom" textRotation="0" wrapText="false" indent="0" shrinkToFit="false"/>
      <protection locked="true" hidden="false"/>
    </xf>
    <xf numFmtId="164" fontId="25" fillId="0" borderId="0" xfId="0" applyFont="true" applyBorder="false" applyAlignment="true" applyProtection="true">
      <alignment horizontal="general" vertical="bottom" textRotation="0" wrapText="false" indent="1" shrinkToFit="false"/>
      <protection locked="true" hidden="false"/>
    </xf>
    <xf numFmtId="172" fontId="8" fillId="0" borderId="0" xfId="0" applyFont="true" applyBorder="false" applyAlignment="true" applyProtection="true">
      <alignment horizontal="center" vertical="bottom" textRotation="0" wrapText="false" indent="0" shrinkToFit="false"/>
      <protection locked="true" hidden="false"/>
    </xf>
    <xf numFmtId="173" fontId="25" fillId="0" borderId="0" xfId="0" applyFont="true" applyBorder="false" applyAlignment="true" applyProtection="true">
      <alignment horizontal="general" vertical="bottom" textRotation="0" wrapText="false" indent="0" shrinkToFit="false"/>
      <protection locked="true" hidden="false"/>
    </xf>
    <xf numFmtId="167" fontId="8" fillId="0" borderId="0" xfId="0" applyFont="true" applyBorder="false" applyAlignment="true" applyProtection="true">
      <alignment horizontal="center" vertical="bottom" textRotation="0" wrapText="false" indent="0" shrinkToFit="false"/>
      <protection locked="true" hidden="false"/>
    </xf>
    <xf numFmtId="174" fontId="15" fillId="0" borderId="0" xfId="0" applyFont="true" applyBorder="false" applyAlignment="true" applyProtection="true">
      <alignment horizontal="general" vertical="bottom" textRotation="0" wrapText="false" indent="0" shrinkToFit="false"/>
      <protection locked="true" hidden="false"/>
    </xf>
    <xf numFmtId="165" fontId="15" fillId="0" borderId="3" xfId="0" applyFont="true" applyBorder="true" applyAlignment="true" applyProtection="true">
      <alignment horizontal="general" vertical="bottom" textRotation="0" wrapText="false" indent="0" shrinkToFit="false"/>
      <protection locked="true" hidden="false"/>
    </xf>
    <xf numFmtId="174" fontId="8" fillId="0" borderId="0" xfId="0" applyFont="true" applyBorder="false" applyAlignment="true" applyProtection="true">
      <alignment horizontal="general" vertical="bottom" textRotation="0" wrapText="false" indent="0" shrinkToFit="false"/>
      <protection locked="true" hidden="false"/>
    </xf>
    <xf numFmtId="174" fontId="15" fillId="0" borderId="2" xfId="0" applyFont="true" applyBorder="true" applyAlignment="true" applyProtection="true">
      <alignment horizontal="general" vertical="bottom" textRotation="0" wrapText="false" indent="0" shrinkToFit="false"/>
      <protection locked="true" hidden="false"/>
    </xf>
    <xf numFmtId="175" fontId="8" fillId="0" borderId="0" xfId="0" applyFont="true" applyBorder="false" applyAlignment="true" applyProtection="true">
      <alignment horizontal="general" vertical="bottom" textRotation="0" wrapText="false" indent="0" shrinkToFit="false"/>
      <protection locked="true" hidden="false"/>
    </xf>
    <xf numFmtId="164" fontId="25" fillId="0" borderId="0" xfId="0" applyFont="true" applyBorder="false" applyAlignment="true" applyProtection="true">
      <alignment horizontal="general" vertical="center" textRotation="0" wrapText="true" indent="0" shrinkToFit="false"/>
      <protection locked="true" hidden="false"/>
    </xf>
    <xf numFmtId="173" fontId="8" fillId="0" borderId="0" xfId="0" applyFont="true" applyBorder="false" applyAlignment="true" applyProtection="true">
      <alignment horizontal="general" vertical="bottom" textRotation="0" wrapText="false" indent="0" shrinkToFit="false"/>
      <protection locked="true" hidden="false"/>
    </xf>
    <xf numFmtId="167" fontId="15" fillId="2" borderId="0" xfId="0" applyFont="true" applyBorder="false" applyAlignment="true" applyProtection="true">
      <alignment horizontal="general" vertical="bottom" textRotation="0" wrapText="false" indent="0" shrinkToFit="false"/>
      <protection locked="true" hidden="false"/>
    </xf>
    <xf numFmtId="166" fontId="15" fillId="0" borderId="0" xfId="0" applyFont="true" applyBorder="false" applyAlignment="true" applyProtection="true">
      <alignment horizontal="general" vertical="bottom" textRotation="0" wrapText="false" indent="0" shrinkToFit="false"/>
      <protection locked="true" hidden="false"/>
    </xf>
    <xf numFmtId="164" fontId="29" fillId="2" borderId="0" xfId="0" applyFont="true" applyBorder="false" applyAlignment="true" applyProtection="true">
      <alignment horizontal="general" vertical="bottom" textRotation="0" wrapText="false" indent="0" shrinkToFit="false"/>
      <protection locked="true" hidden="false"/>
    </xf>
    <xf numFmtId="176" fontId="30" fillId="0" borderId="0" xfId="0" applyFont="true" applyBorder="false" applyAlignment="true" applyProtection="true">
      <alignment horizontal="general" vertical="bottom" textRotation="0" wrapText="false" indent="0" shrinkToFit="false"/>
      <protection locked="true" hidden="false"/>
    </xf>
    <xf numFmtId="176" fontId="31" fillId="0" borderId="0" xfId="0" applyFont="true" applyBorder="false" applyAlignment="true" applyProtection="true">
      <alignment horizontal="general" vertical="bottom" textRotation="0" wrapText="false" indent="0" shrinkToFit="false"/>
      <protection locked="true" hidden="false"/>
    </xf>
    <xf numFmtId="167" fontId="32" fillId="0" borderId="0" xfId="0" applyFont="true" applyBorder="false" applyAlignment="true" applyProtection="true">
      <alignment horizontal="general" vertical="bottom" textRotation="0" wrapText="false" indent="0" shrinkToFit="false"/>
      <protection locked="true" hidden="false"/>
    </xf>
    <xf numFmtId="164" fontId="26"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b val="1"/>
        <color rgb="FFA23B2A"/>
      </font>
    </dxf>
    <dxf>
      <font>
        <b val="1"/>
        <color rgb="FFA23B2A"/>
        <sz val="16"/>
      </font>
    </dxf>
    <dxf>
      <font>
        <color rgb="FFA23B2A"/>
      </font>
    </dxf>
    <dxf>
      <fill>
        <patternFill>
          <bgColor rgb="FFEAF3F4"/>
        </patternFill>
      </fill>
    </dxf>
    <dxf>
      <font>
        <color rgb="FFA0AAB5"/>
      </font>
    </dxf>
    <dxf>
      <font>
        <b val="1"/>
        <color rgb="FFB07D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B07D2B"/>
      <rgbColor rgb="FF800080"/>
      <rgbColor rgb="FF1B5E66"/>
      <rgbColor rgb="FFA9C3C6"/>
      <rgbColor rgb="FF878787"/>
      <rgbColor rgb="FFA0AAB5"/>
      <rgbColor rgb="FF993366"/>
      <rgbColor rgb="FFFFF4CC"/>
      <rgbColor rgb="FFEAF3F4"/>
      <rgbColor rgb="FF660066"/>
      <rgbColor rgb="FFFF8080"/>
      <rgbColor rgb="FF0066CC"/>
      <rgbColor rgb="FFD9D9D9"/>
      <rgbColor rgb="FF000080"/>
      <rgbColor rgb="FFFF00FF"/>
      <rgbColor rgb="FFFFFF00"/>
      <rgbColor rgb="FF00FFFF"/>
      <rgbColor rgb="FF800080"/>
      <rgbColor rgb="FF800000"/>
      <rgbColor rgb="FF2E6B4F"/>
      <rgbColor rgb="FF0000FF"/>
      <rgbColor rgb="FF00CCFF"/>
      <rgbColor rgb="FFE3E7EC"/>
      <rgbColor rgb="FFCCFFCC"/>
      <rgbColor rgb="FFFFFF99"/>
      <rgbColor rgb="FF99CCFF"/>
      <rgbColor rgb="FFFF99CC"/>
      <rgbColor rgb="FFCC99FF"/>
      <rgbColor rgb="FFFFCC99"/>
      <rgbColor rgb="FF3366FF"/>
      <rgbColor rgb="FF33CCCC"/>
      <rgbColor rgb="FF99CC00"/>
      <rgbColor rgb="FFFFCC00"/>
      <rgbColor rgb="FFFF9900"/>
      <rgbColor rgb="FFFF6600"/>
      <rgbColor rgb="FF5B6B7C"/>
      <rgbColor rgb="FF7A8794"/>
      <rgbColor rgb="FF003366"/>
      <rgbColor rgb="FF339966"/>
      <rgbColor rgb="FF003300"/>
      <rgbColor rgb="FF333300"/>
      <rgbColor rgb="FFA23B2A"/>
      <rgbColor rgb="FF993366"/>
      <rgbColor rgb="FF4A5563"/>
      <rgbColor rgb="FF1F29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000" spc="-1" strike="noStrike">
                <a:solidFill>
                  <a:srgbClr val="1b5e66"/>
                </a:solidFill>
                <a:latin typeface="Calibri"/>
              </a:defRPr>
            </a:pPr>
            <a:r>
              <a:rPr b="1" sz="1000" spc="-1" strike="noStrike">
                <a:solidFill>
                  <a:srgbClr val="1b5e66"/>
                </a:solidFill>
                <a:latin typeface="Calibri"/>
              </a:rPr>
              <a:t>Revenue and expenses by scenario</a:t>
            </a:r>
          </a:p>
        </c:rich>
      </c:tx>
      <c:overlay val="0"/>
      <c:spPr>
        <a:noFill/>
        <a:ln w="0">
          <a:noFill/>
        </a:ln>
      </c:spPr>
    </c:title>
    <c:autoTitleDeleted val="0"/>
    <c:plotArea>
      <c:barChart>
        <c:barDir val="col"/>
        <c:grouping val="clustered"/>
        <c:varyColors val="0"/>
        <c:ser>
          <c:idx val="0"/>
          <c:order val="0"/>
          <c:tx>
            <c:strRef>
              <c:f>Summary!A29</c:f>
              <c:strCache>
                <c:ptCount val="1"/>
                <c:pt idx="0">
                  <c:v>Revenue and support</c:v>
                </c:pt>
              </c:strCache>
            </c:strRef>
          </c:tx>
          <c:spPr>
            <a:solidFill>
              <a:srgbClr val="1b5e66"/>
            </a:solidFill>
            <a:ln w="0">
              <a:noFill/>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Summary!$B$28:$D$28</c:f>
              <c:strCache>
                <c:ptCount val="3"/>
                <c:pt idx="0">
                  <c:v>Base</c:v>
                </c:pt>
                <c:pt idx="1">
                  <c:v>Conservative</c:v>
                </c:pt>
                <c:pt idx="2">
                  <c:v>Growth</c:v>
                </c:pt>
              </c:strCache>
            </c:strRef>
          </c:cat>
          <c:val>
            <c:numRef>
              <c:f>Summary!$B$29:$D$29</c:f>
              <c:numCache>
                <c:formatCode>#,##0;\(#,##0\);\-</c:formatCode>
                <c:ptCount val="3"/>
                <c:pt idx="0">
                  <c:v>4265023.78333333</c:v>
                </c:pt>
                <c:pt idx="1">
                  <c:v>3969921.31333333</c:v>
                </c:pt>
                <c:pt idx="2">
                  <c:v>4465927.9</c:v>
                </c:pt>
              </c:numCache>
            </c:numRef>
          </c:val>
        </c:ser>
        <c:ser>
          <c:idx val="1"/>
          <c:order val="1"/>
          <c:tx>
            <c:strRef>
              <c:f>Summary!A32</c:f>
              <c:strCache>
                <c:ptCount val="1"/>
                <c:pt idx="0">
                  <c:v>Total expenses</c:v>
                </c:pt>
              </c:strCache>
            </c:strRef>
          </c:tx>
          <c:spPr>
            <a:solidFill>
              <a:srgbClr val="a9c3c6"/>
            </a:solidFill>
            <a:ln w="0">
              <a:noFill/>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Summary!$B$28:$D$28</c:f>
              <c:strCache>
                <c:ptCount val="3"/>
                <c:pt idx="0">
                  <c:v>Base</c:v>
                </c:pt>
                <c:pt idx="1">
                  <c:v>Conservative</c:v>
                </c:pt>
                <c:pt idx="2">
                  <c:v>Growth</c:v>
                </c:pt>
              </c:strCache>
            </c:strRef>
          </c:cat>
          <c:val>
            <c:numRef>
              <c:f>Summary!$B$32:$D$32</c:f>
              <c:numCache>
                <c:formatCode>#,##0;\(#,##0\);\-</c:formatCode>
                <c:ptCount val="3"/>
                <c:pt idx="0">
                  <c:v>4232793.26801667</c:v>
                </c:pt>
                <c:pt idx="1">
                  <c:v>4081221.72465</c:v>
                </c:pt>
                <c:pt idx="2">
                  <c:v>4452113.577475</c:v>
                </c:pt>
              </c:numCache>
            </c:numRef>
          </c:val>
        </c:ser>
        <c:gapWidth val="80"/>
        <c:overlap val="0"/>
        <c:axId val="11842079"/>
        <c:axId val="3257143"/>
      </c:barChart>
      <c:catAx>
        <c:axId val="11842079"/>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b="0" sz="800" spc="-1" strike="noStrike">
                <a:solidFill>
                  <a:srgbClr val="4a5563"/>
                </a:solidFill>
                <a:latin typeface="Calibri"/>
              </a:defRPr>
            </a:pPr>
          </a:p>
        </c:txPr>
        <c:crossAx val="3257143"/>
        <c:crosses val="autoZero"/>
        <c:auto val="1"/>
        <c:lblAlgn val="ctr"/>
        <c:lblOffset val="100"/>
        <c:noMultiLvlLbl val="0"/>
      </c:catAx>
      <c:valAx>
        <c:axId val="3257143"/>
        <c:scaling>
          <c:orientation val="minMax"/>
          <c:min val="0"/>
        </c:scaling>
        <c:delete val="0"/>
        <c:axPos val="l"/>
        <c:majorGridlines>
          <c:spPr>
            <a:ln w="9360">
              <a:solidFill>
                <a:srgbClr val="e3e7ec"/>
              </a:solidFill>
              <a:round/>
            </a:ln>
          </c:spPr>
        </c:majorGridlines>
        <c:numFmt formatCode="\$#,##0.0,,\M" sourceLinked="0"/>
        <c:majorTickMark val="none"/>
        <c:minorTickMark val="none"/>
        <c:tickLblPos val="nextTo"/>
        <c:spPr>
          <a:ln w="9360">
            <a:solidFill>
              <a:srgbClr val="878787"/>
            </a:solidFill>
            <a:round/>
          </a:ln>
        </c:spPr>
        <c:txPr>
          <a:bodyPr/>
          <a:lstStyle/>
          <a:p>
            <a:pPr>
              <a:defRPr b="0" sz="800" spc="-1" strike="noStrike">
                <a:solidFill>
                  <a:srgbClr val="4a5563"/>
                </a:solidFill>
                <a:latin typeface="Calibri"/>
              </a:defRPr>
            </a:pPr>
          </a:p>
        </c:txPr>
        <c:crossAx val="11842079"/>
        <c:crosses val="autoZero"/>
        <c:crossBetween val="between"/>
        <c:majorUnit val="1000000"/>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000" spc="-1" strike="noStrike">
                <a:solidFill>
                  <a:srgbClr val="1b5e66"/>
                </a:solidFill>
                <a:latin typeface="Calibri"/>
              </a:defRPr>
            </a:pPr>
            <a:r>
              <a:rPr b="1" sz="1000" spc="-1" strike="noStrike">
                <a:solidFill>
                  <a:srgbClr val="1b5e66"/>
                </a:solidFill>
                <a:latin typeface="Calibri"/>
              </a:rPr>
              <a:t>Revenue by source: FY2026 projected and FY2027 budget</a:t>
            </a:r>
          </a:p>
        </c:rich>
      </c:tx>
      <c:overlay val="0"/>
      <c:spPr>
        <a:noFill/>
        <a:ln w="0">
          <a:noFill/>
        </a:ln>
      </c:spPr>
    </c:title>
    <c:autoTitleDeleted val="0"/>
    <c:plotArea>
      <c:barChart>
        <c:barDir val="bar"/>
        <c:grouping val="clustered"/>
        <c:varyColors val="0"/>
        <c:ser>
          <c:idx val="0"/>
          <c:order val="0"/>
          <c:tx>
            <c:strRef>
              <c:f>Summary!B18</c:f>
              <c:strCache>
                <c:ptCount val="1"/>
                <c:pt idx="0">
                  <c:v>FY2026 projected</c:v>
                </c:pt>
              </c:strCache>
            </c:strRef>
          </c:tx>
          <c:spPr>
            <a:solidFill>
              <a:srgbClr val="a9c3c6"/>
            </a:solidFill>
            <a:ln w="0">
              <a:noFill/>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Summary!$A$19:$A$24</c:f>
              <c:strCache>
                <c:ptCount val="6"/>
                <c:pt idx="0">
                  <c:v>Contributions</c:v>
                </c:pt>
                <c:pt idx="1">
                  <c:v>Foundation and corporate grants</c:v>
                </c:pt>
                <c:pt idx="2">
                  <c:v>Government grants</c:v>
                </c:pt>
                <c:pt idx="3">
                  <c:v>Program fees</c:v>
                </c:pt>
                <c:pt idx="4">
                  <c:v>Spring Benefit, net</c:v>
                </c:pt>
                <c:pt idx="5">
                  <c:v>Investment and other</c:v>
                </c:pt>
              </c:strCache>
            </c:strRef>
          </c:cat>
          <c:val>
            <c:numRef>
              <c:f>Summary!$B$19:$B$24</c:f>
              <c:numCache>
                <c:formatCode>#,##0;\(#,##0\);\-</c:formatCode>
                <c:ptCount val="6"/>
                <c:pt idx="0">
                  <c:v>902962</c:v>
                </c:pt>
                <c:pt idx="1">
                  <c:v>655635</c:v>
                </c:pt>
                <c:pt idx="2">
                  <c:v>2069854</c:v>
                </c:pt>
                <c:pt idx="3">
                  <c:v>302641</c:v>
                </c:pt>
                <c:pt idx="4">
                  <c:v>182250</c:v>
                </c:pt>
                <c:pt idx="5">
                  <c:v>40112</c:v>
                </c:pt>
              </c:numCache>
            </c:numRef>
          </c:val>
        </c:ser>
        <c:ser>
          <c:idx val="1"/>
          <c:order val="1"/>
          <c:tx>
            <c:strRef>
              <c:f>Summary!C18</c:f>
              <c:strCache>
                <c:ptCount val="1"/>
                <c:pt idx="0">
                  <c:v>FY2027 budget</c:v>
                </c:pt>
              </c:strCache>
            </c:strRef>
          </c:tx>
          <c:spPr>
            <a:solidFill>
              <a:srgbClr val="1b5e66"/>
            </a:solidFill>
            <a:ln w="0">
              <a:noFill/>
            </a:ln>
          </c:spPr>
          <c:invertIfNegative val="0"/>
          <c:dLbls>
            <c:txPr>
              <a:bodyPr wrap="non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Summary!$A$19:$A$24</c:f>
              <c:strCache>
                <c:ptCount val="6"/>
                <c:pt idx="0">
                  <c:v>Contributions</c:v>
                </c:pt>
                <c:pt idx="1">
                  <c:v>Foundation and corporate grants</c:v>
                </c:pt>
                <c:pt idx="2">
                  <c:v>Government grants</c:v>
                </c:pt>
                <c:pt idx="3">
                  <c:v>Program fees</c:v>
                </c:pt>
                <c:pt idx="4">
                  <c:v>Spring Benefit, net</c:v>
                </c:pt>
                <c:pt idx="5">
                  <c:v>Investment and other</c:v>
                </c:pt>
              </c:strCache>
            </c:strRef>
          </c:cat>
          <c:val>
            <c:numRef>
              <c:f>Summary!$C$19:$C$24</c:f>
              <c:numCache>
                <c:formatCode>#,##0;\(#,##0\);\-</c:formatCode>
                <c:ptCount val="6"/>
                <c:pt idx="0">
                  <c:v>936917.4</c:v>
                </c:pt>
                <c:pt idx="1">
                  <c:v>653333.333333333</c:v>
                </c:pt>
                <c:pt idx="2">
                  <c:v>2110000</c:v>
                </c:pt>
                <c:pt idx="3">
                  <c:v>317773.05</c:v>
                </c:pt>
                <c:pt idx="4">
                  <c:v>203000</c:v>
                </c:pt>
                <c:pt idx="5">
                  <c:v>44000</c:v>
                </c:pt>
              </c:numCache>
            </c:numRef>
          </c:val>
        </c:ser>
        <c:gapWidth val="60"/>
        <c:overlap val="0"/>
        <c:axId val="4433332"/>
        <c:axId val="98376653"/>
      </c:barChart>
      <c:catAx>
        <c:axId val="4433332"/>
        <c:scaling>
          <c:orientation val="maxMin"/>
        </c:scaling>
        <c:delete val="0"/>
        <c:axPos val="b"/>
        <c:numFmt formatCode="General" sourceLinked="0"/>
        <c:majorTickMark val="none"/>
        <c:minorTickMark val="none"/>
        <c:tickLblPos val="nextTo"/>
        <c:spPr>
          <a:ln w="9360">
            <a:solidFill>
              <a:srgbClr val="878787"/>
            </a:solidFill>
            <a:round/>
          </a:ln>
        </c:spPr>
        <c:txPr>
          <a:bodyPr/>
          <a:lstStyle/>
          <a:p>
            <a:pPr>
              <a:defRPr b="0" sz="800" spc="-1" strike="noStrike">
                <a:solidFill>
                  <a:srgbClr val="4a5563"/>
                </a:solidFill>
                <a:latin typeface="Calibri"/>
              </a:defRPr>
            </a:pPr>
          </a:p>
        </c:txPr>
        <c:crossAx val="98376653"/>
        <c:crosses val="autoZero"/>
        <c:auto val="1"/>
        <c:lblAlgn val="ctr"/>
        <c:lblOffset val="100"/>
        <c:noMultiLvlLbl val="0"/>
      </c:catAx>
      <c:valAx>
        <c:axId val="98376653"/>
        <c:scaling>
          <c:orientation val="minMax"/>
        </c:scaling>
        <c:delete val="0"/>
        <c:axPos val="l"/>
        <c:majorGridlines>
          <c:spPr>
            <a:ln w="9360">
              <a:solidFill>
                <a:srgbClr val="e3e7ec"/>
              </a:solidFill>
              <a:round/>
            </a:ln>
          </c:spPr>
        </c:majorGridlines>
        <c:numFmt formatCode="\$#,##0,\K" sourceLinked="0"/>
        <c:majorTickMark val="none"/>
        <c:minorTickMark val="none"/>
        <c:tickLblPos val="nextTo"/>
        <c:spPr>
          <a:ln w="9360">
            <a:solidFill>
              <a:srgbClr val="878787"/>
            </a:solidFill>
            <a:round/>
          </a:ln>
        </c:spPr>
        <c:txPr>
          <a:bodyPr/>
          <a:lstStyle/>
          <a:p>
            <a:pPr>
              <a:defRPr b="0" sz="800" spc="-1" strike="noStrike">
                <a:solidFill>
                  <a:srgbClr val="4a5563"/>
                </a:solidFill>
                <a:latin typeface="Calibri"/>
              </a:defRPr>
            </a:pPr>
          </a:p>
        </c:txPr>
        <c:crossAx val="4433332"/>
        <c:crosses val="autoZero"/>
        <c:crossBetween val="between"/>
        <c:majorUnit val="500000"/>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6</xdr:row>
      <xdr:rowOff>131040</xdr:rowOff>
    </xdr:from>
    <xdr:to>
      <xdr:col>13</xdr:col>
      <xdr:colOff>8280</xdr:colOff>
      <xdr:row>19</xdr:row>
      <xdr:rowOff>182160</xdr:rowOff>
    </xdr:to>
    <xdr:graphicFrame>
      <xdr:nvGraphicFramePr>
        <xdr:cNvPr id="0" name="Chart 1"/>
        <xdr:cNvGraphicFramePr/>
      </xdr:nvGraphicFramePr>
      <xdr:xfrm>
        <a:off x="6414120" y="1467000"/>
        <a:ext cx="5039280" cy="269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0</xdr:colOff>
      <xdr:row>22</xdr:row>
      <xdr:rowOff>131040</xdr:rowOff>
    </xdr:from>
    <xdr:to>
      <xdr:col>13</xdr:col>
      <xdr:colOff>8280</xdr:colOff>
      <xdr:row>36</xdr:row>
      <xdr:rowOff>77400</xdr:rowOff>
    </xdr:to>
    <xdr:graphicFrame>
      <xdr:nvGraphicFramePr>
        <xdr:cNvPr id="1" name="Chart 2"/>
        <xdr:cNvGraphicFramePr/>
      </xdr:nvGraphicFramePr>
      <xdr:xfrm>
        <a:off x="6414120" y="4686480"/>
        <a:ext cx="5039280" cy="26992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A8794"/>
    <pageSetUpPr fitToPage="true"/>
  </sheetPr>
  <dimension ref="B2:C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110"/>
    <col collapsed="false" customWidth="true" hidden="false" outlineLevel="0" max="3" min="3" style="1" width="12"/>
  </cols>
  <sheetData>
    <row r="2" customFormat="false" ht="22.05" hidden="false" customHeight="false" outlineLevel="0" collapsed="false">
      <c r="B2" s="2" t="s">
        <v>0</v>
      </c>
    </row>
    <row r="3" customFormat="false" ht="15" hidden="false" customHeight="false" outlineLevel="0" collapsed="false">
      <c r="B3" s="3" t="s">
        <v>1</v>
      </c>
    </row>
    <row r="4" customFormat="false" ht="15" hidden="false" customHeight="false" outlineLevel="0" collapsed="false">
      <c r="B4" s="4" t="s">
        <v>2</v>
      </c>
    </row>
    <row r="6" customFormat="false" ht="15" hidden="false" customHeight="false" outlineLevel="0" collapsed="false">
      <c r="B6" s="5" t="s">
        <v>3</v>
      </c>
    </row>
    <row r="7" customFormat="false" ht="25.5" hidden="false" customHeight="true" outlineLevel="0" collapsed="false">
      <c r="B7" s="6" t="s">
        <v>4</v>
      </c>
    </row>
    <row r="8" customFormat="false" ht="25.5" hidden="false" customHeight="true" outlineLevel="0" collapsed="false">
      <c r="B8" s="6" t="s">
        <v>5</v>
      </c>
    </row>
    <row r="9" customFormat="false" ht="25.5" hidden="false" customHeight="true" outlineLevel="0" collapsed="false">
      <c r="B9" s="6" t="s">
        <v>6</v>
      </c>
    </row>
    <row r="10" customFormat="false" ht="25.5" hidden="false" customHeight="true" outlineLevel="0" collapsed="false">
      <c r="B10" s="6" t="s">
        <v>7</v>
      </c>
    </row>
    <row r="11" customFormat="false" ht="15" hidden="false" customHeight="false" outlineLevel="0" collapsed="false">
      <c r="B11" s="6" t="s">
        <v>8</v>
      </c>
    </row>
    <row r="12" customFormat="false" ht="15" hidden="false" customHeight="false" outlineLevel="0" collapsed="false">
      <c r="B12" s="6" t="s">
        <v>9</v>
      </c>
    </row>
    <row r="13" customFormat="false" ht="25.5" hidden="false" customHeight="true" outlineLevel="0" collapsed="false">
      <c r="B13" s="6" t="s">
        <v>10</v>
      </c>
    </row>
    <row r="14" customFormat="false" ht="15" hidden="false" customHeight="false" outlineLevel="0" collapsed="false">
      <c r="B14" s="5" t="s">
        <v>11</v>
      </c>
    </row>
    <row r="15" customFormat="false" ht="25.5" hidden="false" customHeight="true" outlineLevel="0" collapsed="false">
      <c r="B15" s="6" t="s">
        <v>12</v>
      </c>
    </row>
    <row r="16" customFormat="false" ht="25.5" hidden="false" customHeight="true" outlineLevel="0" collapsed="false">
      <c r="B16" s="6" t="s">
        <v>13</v>
      </c>
    </row>
    <row r="17" customFormat="false" ht="15" hidden="false" customHeight="false" outlineLevel="0" collapsed="false">
      <c r="B17" s="5" t="s">
        <v>14</v>
      </c>
    </row>
    <row r="18" customFormat="false" ht="25.5" hidden="false" customHeight="true" outlineLevel="0" collapsed="false">
      <c r="B18" s="6" t="s">
        <v>15</v>
      </c>
    </row>
    <row r="20" customFormat="false" ht="15" hidden="false" customHeight="false" outlineLevel="0" collapsed="false">
      <c r="B20" s="7" t="s">
        <v>16</v>
      </c>
    </row>
    <row r="21" customFormat="false" ht="15" hidden="false" customHeight="false" outlineLevel="0" collapsed="false">
      <c r="B21" s="8" t="s">
        <v>17</v>
      </c>
      <c r="C21" s="9" t="str">
        <f aca="false">IF(COUNTIF(Personnel!T6:T54,"Fix")=0,"OK","Check")</f>
        <v>OK</v>
      </c>
    </row>
    <row r="22" customFormat="false" ht="15" hidden="false" customHeight="false" outlineLevel="0" collapsed="false">
      <c r="B22" s="8" t="s">
        <v>18</v>
      </c>
      <c r="C22" s="9" t="str">
        <f aca="false">IF(Personnel!D66="Agrees","OK","Check")</f>
        <v>OK</v>
      </c>
    </row>
    <row r="23" customFormat="false" ht="15" hidden="false" customHeight="false" outlineLevel="0" collapsed="false">
      <c r="B23" s="8" t="s">
        <v>19</v>
      </c>
      <c r="C23" s="9" t="str">
        <f aca="false">IF('Non-Personnel'!G40="Agrees","OK","Check")</f>
        <v>OK</v>
      </c>
    </row>
    <row r="24" customFormat="false" ht="15" hidden="false" customHeight="false" outlineLevel="0" collapsed="false">
      <c r="B24" s="8" t="s">
        <v>20</v>
      </c>
      <c r="C24" s="9" t="str">
        <f aca="false">IF(Summary!D35="Agrees","OK","Check")</f>
        <v>OK</v>
      </c>
    </row>
    <row r="25" customFormat="false" ht="15" hidden="false" customHeight="false" outlineLevel="0" collapsed="false">
      <c r="B25" s="8" t="s">
        <v>21</v>
      </c>
      <c r="C25" s="9" t="str">
        <f aca="false">IF(COUNTIF('Monthly Spread'!O6:O29,"Fix")=0,"OK","Check")</f>
        <v>OK</v>
      </c>
    </row>
  </sheetData>
  <conditionalFormatting sqref="C21:C25">
    <cfRule type="cellIs" priority="2" operator="equal" aboveAverage="0" equalAverage="0" bottom="0" percent="0" rank="0" text="" dxfId="0">
      <formula>"Check"</formula>
    </cfRule>
  </conditionalFormatting>
  <printOptions headings="false" gridLines="false" gridLinesSet="true" horizontalCentered="fals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07D2B"/>
    <pageSetUpPr fitToPage="true"/>
  </sheetPr>
  <dimension ref="A1:H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4" min="2" style="1" width="14"/>
    <col collapsed="false" customWidth="true" hidden="false" outlineLevel="0" max="5" min="5" style="1" width="12"/>
    <col collapsed="false" customWidth="true" hidden="false" outlineLevel="0" max="6" min="6" style="1" width="3"/>
    <col collapsed="false" customWidth="true" hidden="false" outlineLevel="0" max="8" min="7" style="1" width="14"/>
  </cols>
  <sheetData>
    <row r="1" customFormat="false" ht="19.7" hidden="false" customHeight="false" outlineLevel="0" collapsed="false">
      <c r="A1" s="10" t="s">
        <v>22</v>
      </c>
    </row>
    <row r="2" customFormat="false" ht="15" hidden="false" customHeight="false" outlineLevel="0" collapsed="false">
      <c r="A2" s="11" t="str">
        <f aca="false">"Scenario shown: "&amp;Scenario&amp;". Change the scenario on the Settings sheet."</f>
        <v>Scenario shown: Base. Change the scenario on the Settings sheet.</v>
      </c>
    </row>
    <row r="3" customFormat="false" ht="15" hidden="false" customHeight="false" outlineLevel="0" collapsed="false">
      <c r="A3" s="4" t="s">
        <v>2</v>
      </c>
    </row>
    <row r="5" customFormat="false" ht="15" hidden="false" customHeight="false" outlineLevel="0" collapsed="false">
      <c r="A5" s="12" t="s">
        <v>23</v>
      </c>
      <c r="B5" s="13"/>
      <c r="C5" s="12" t="s">
        <v>24</v>
      </c>
      <c r="D5" s="12"/>
      <c r="E5" s="12" t="s">
        <v>25</v>
      </c>
      <c r="F5" s="12"/>
      <c r="G5" s="12" t="s">
        <v>26</v>
      </c>
      <c r="H5" s="12"/>
    </row>
    <row r="6" customFormat="false" ht="25.5" hidden="false" customHeight="true" outlineLevel="0" collapsed="false">
      <c r="A6" s="14" t="n">
        <f aca="false">Revenue!G18</f>
        <v>4265023.78333333</v>
      </c>
      <c r="B6" s="15"/>
      <c r="C6" s="16" t="n">
        <f aca="false">Personnel!N55+'Non-Personnel'!L20</f>
        <v>4232793.26801667</v>
      </c>
      <c r="D6" s="16"/>
      <c r="E6" s="16" t="n">
        <f aca="false">A6-C6</f>
        <v>32230.515316667</v>
      </c>
      <c r="F6" s="16"/>
      <c r="G6" s="17" t="n">
        <f aca="false">SUM(D10:D12)/D15</f>
        <v>0.774750476737432</v>
      </c>
      <c r="H6" s="17"/>
    </row>
    <row r="8" customFormat="false" ht="15" hidden="false" customHeight="false" outlineLevel="0" collapsed="false">
      <c r="A8" s="7" t="s">
        <v>27</v>
      </c>
    </row>
    <row r="9" customFormat="false" ht="21.75" hidden="false" customHeight="true" outlineLevel="0" collapsed="false">
      <c r="A9" s="18" t="s">
        <v>28</v>
      </c>
      <c r="B9" s="19" t="s">
        <v>29</v>
      </c>
      <c r="C9" s="19" t="s">
        <v>30</v>
      </c>
      <c r="D9" s="19" t="s">
        <v>31</v>
      </c>
      <c r="E9" s="19" t="s">
        <v>32</v>
      </c>
    </row>
    <row r="10" customFormat="false" ht="15" hidden="false" customHeight="false" outlineLevel="0" collapsed="false">
      <c r="A10" s="8" t="s">
        <v>33</v>
      </c>
      <c r="B10" s="20" t="n">
        <f aca="false">Personnel!D60</f>
        <v>811246.190006</v>
      </c>
      <c r="C10" s="20" t="n">
        <f aca="false">'Non-Personnel'!B39</f>
        <v>716290.916267943</v>
      </c>
      <c r="D10" s="21" t="n">
        <f aca="false">B10+C10</f>
        <v>1527537.10627394</v>
      </c>
      <c r="E10" s="22" t="n">
        <f aca="false">IF($D$15=0,0,D10/$D$15)</f>
        <v>0.360881576196064</v>
      </c>
    </row>
    <row r="11" customFormat="false" ht="15" hidden="false" customHeight="false" outlineLevel="0" collapsed="false">
      <c r="A11" s="8" t="s">
        <v>34</v>
      </c>
      <c r="B11" s="20" t="n">
        <f aca="false">Personnel!D61</f>
        <v>559692.731098667</v>
      </c>
      <c r="C11" s="20" t="n">
        <f aca="false">'Non-Personnel'!C39</f>
        <v>208369.464114833</v>
      </c>
      <c r="D11" s="21" t="n">
        <f aca="false">B11+C11</f>
        <v>768062.195213499</v>
      </c>
      <c r="E11" s="22" t="n">
        <f aca="false">IF($D$15=0,0,D11/$D$15)</f>
        <v>0.181455163666282</v>
      </c>
    </row>
    <row r="12" customFormat="false" ht="15" hidden="false" customHeight="false" outlineLevel="0" collapsed="false">
      <c r="A12" s="8" t="s">
        <v>35</v>
      </c>
      <c r="B12" s="20" t="n">
        <f aca="false">Personnel!D62</f>
        <v>597536.415672</v>
      </c>
      <c r="C12" s="20" t="n">
        <f aca="false">'Non-Personnel'!D39</f>
        <v>386222.885167464</v>
      </c>
      <c r="D12" s="21" t="n">
        <f aca="false">B12+C12</f>
        <v>983759.300839464</v>
      </c>
      <c r="E12" s="22" t="n">
        <f aca="false">IF($D$15=0,0,D12/$D$15)</f>
        <v>0.232413736875087</v>
      </c>
    </row>
    <row r="13" customFormat="false" ht="15" hidden="false" customHeight="false" outlineLevel="0" collapsed="false">
      <c r="A13" s="8" t="s">
        <v>36</v>
      </c>
      <c r="B13" s="20" t="n">
        <f aca="false">Personnel!D63</f>
        <v>454995.93272</v>
      </c>
      <c r="C13" s="20" t="n">
        <f aca="false">'Non-Personnel'!E39</f>
        <v>148850.43062201</v>
      </c>
      <c r="D13" s="21" t="n">
        <f aca="false">B13+C13</f>
        <v>603846.36334201</v>
      </c>
      <c r="E13" s="22" t="n">
        <f aca="false">IF($D$15=0,0,D13/$D$15)</f>
        <v>0.142659072888044</v>
      </c>
    </row>
    <row r="14" customFormat="false" ht="15" hidden="false" customHeight="false" outlineLevel="0" collapsed="false">
      <c r="A14" s="8" t="s">
        <v>37</v>
      </c>
      <c r="B14" s="20" t="n">
        <f aca="false">Personnel!D64</f>
        <v>263216.99852</v>
      </c>
      <c r="C14" s="20" t="n">
        <f aca="false">'Non-Personnel'!F39</f>
        <v>86371.3038277512</v>
      </c>
      <c r="D14" s="21" t="n">
        <f aca="false">B14+C14</f>
        <v>349588.302347751</v>
      </c>
      <c r="E14" s="22" t="n">
        <f aca="false">IF($D$15=0,0,D14/$D$15)</f>
        <v>0.0825904503745243</v>
      </c>
    </row>
    <row r="15" customFormat="false" ht="15" hidden="false" customHeight="false" outlineLevel="0" collapsed="false">
      <c r="A15" s="23" t="s">
        <v>24</v>
      </c>
      <c r="B15" s="24" t="n">
        <f aca="false">SUM(B10:B14)</f>
        <v>2686688.26801667</v>
      </c>
      <c r="C15" s="24" t="n">
        <f aca="false">SUM(C10:C14)</f>
        <v>1546105</v>
      </c>
      <c r="D15" s="24" t="n">
        <f aca="false">SUM(D10:D14)</f>
        <v>4232793.26801667</v>
      </c>
      <c r="E15" s="25" t="n">
        <f aca="false">SUM(E10:E14)</f>
        <v>1</v>
      </c>
    </row>
    <row r="17" customFormat="false" ht="15" hidden="false" customHeight="false" outlineLevel="0" collapsed="false">
      <c r="A17" s="7" t="s">
        <v>38</v>
      </c>
    </row>
    <row r="18" customFormat="false" ht="21.75" hidden="false" customHeight="true" outlineLevel="0" collapsed="false">
      <c r="A18" s="18" t="s">
        <v>39</v>
      </c>
      <c r="B18" s="19" t="s">
        <v>40</v>
      </c>
      <c r="C18" s="19" t="s">
        <v>41</v>
      </c>
      <c r="D18" s="19" t="s">
        <v>42</v>
      </c>
    </row>
    <row r="19" customFormat="false" ht="15" hidden="false" customHeight="false" outlineLevel="0" collapsed="false">
      <c r="A19" s="8" t="s">
        <v>43</v>
      </c>
      <c r="B19" s="20" t="n">
        <f aca="false">Revenue!C6+Revenue!C7</f>
        <v>902962</v>
      </c>
      <c r="C19" s="20" t="n">
        <f aca="false">Revenue!G6+Revenue!G7</f>
        <v>936917.4</v>
      </c>
      <c r="D19" s="21" t="n">
        <f aca="false">C19-B19</f>
        <v>33955.4</v>
      </c>
    </row>
    <row r="20" customFormat="false" ht="15" hidden="false" customHeight="false" outlineLevel="0" collapsed="false">
      <c r="A20" s="8" t="s">
        <v>44</v>
      </c>
      <c r="B20" s="20" t="n">
        <f aca="false">Revenue!C8+Revenue!C9</f>
        <v>655635</v>
      </c>
      <c r="C20" s="20" t="n">
        <f aca="false">Revenue!G8+Revenue!G9</f>
        <v>653333.333333333</v>
      </c>
      <c r="D20" s="21" t="n">
        <f aca="false">C20-B20</f>
        <v>-2301.66666666674</v>
      </c>
    </row>
    <row r="21" customFormat="false" ht="15" hidden="false" customHeight="false" outlineLevel="0" collapsed="false">
      <c r="A21" s="8" t="s">
        <v>45</v>
      </c>
      <c r="B21" s="20" t="n">
        <f aca="false">Revenue!C10+Revenue!C11+Revenue!C12</f>
        <v>2069854</v>
      </c>
      <c r="C21" s="20" t="n">
        <f aca="false">Revenue!G10+Revenue!G11+Revenue!G12</f>
        <v>2110000</v>
      </c>
      <c r="D21" s="21" t="n">
        <f aca="false">C21-B21</f>
        <v>40146</v>
      </c>
    </row>
    <row r="22" customFormat="false" ht="15" hidden="false" customHeight="false" outlineLevel="0" collapsed="false">
      <c r="A22" s="8" t="s">
        <v>46</v>
      </c>
      <c r="B22" s="20" t="n">
        <f aca="false">Revenue!C13+Revenue!C14</f>
        <v>302641</v>
      </c>
      <c r="C22" s="20" t="n">
        <f aca="false">Revenue!G13+Revenue!G14</f>
        <v>317773.05</v>
      </c>
      <c r="D22" s="21" t="n">
        <f aca="false">C22-B22</f>
        <v>15132.05</v>
      </c>
    </row>
    <row r="23" customFormat="false" ht="15" hidden="false" customHeight="false" outlineLevel="0" collapsed="false">
      <c r="A23" s="8" t="s">
        <v>47</v>
      </c>
      <c r="B23" s="20" t="n">
        <f aca="false">Revenue!C15+Revenue!C16</f>
        <v>182250</v>
      </c>
      <c r="C23" s="20" t="n">
        <f aca="false">Revenue!G15+Revenue!G16</f>
        <v>203000</v>
      </c>
      <c r="D23" s="21" t="n">
        <f aca="false">C23-B23</f>
        <v>20750</v>
      </c>
    </row>
    <row r="24" customFormat="false" ht="15" hidden="false" customHeight="false" outlineLevel="0" collapsed="false">
      <c r="A24" s="8" t="s">
        <v>48</v>
      </c>
      <c r="B24" s="20" t="n">
        <f aca="false">Revenue!C17</f>
        <v>40112</v>
      </c>
      <c r="C24" s="20" t="n">
        <f aca="false">Revenue!G17</f>
        <v>44000</v>
      </c>
      <c r="D24" s="21" t="n">
        <f aca="false">C24-B24</f>
        <v>3888</v>
      </c>
    </row>
    <row r="25" customFormat="false" ht="15" hidden="false" customHeight="false" outlineLevel="0" collapsed="false">
      <c r="A25" s="23" t="s">
        <v>31</v>
      </c>
      <c r="B25" s="24" t="n">
        <f aca="false">SUM(B19:B24)</f>
        <v>4153454</v>
      </c>
      <c r="C25" s="24" t="n">
        <f aca="false">SUM(C19:C24)</f>
        <v>4265023.78333333</v>
      </c>
      <c r="D25" s="24" t="n">
        <f aca="false">SUM(D19:D24)</f>
        <v>111569.783333333</v>
      </c>
    </row>
    <row r="27" customFormat="false" ht="15" hidden="false" customHeight="false" outlineLevel="0" collapsed="false">
      <c r="A27" s="7" t="s">
        <v>49</v>
      </c>
    </row>
    <row r="28" customFormat="false" ht="21.75" hidden="false" customHeight="true" outlineLevel="0" collapsed="false">
      <c r="A28" s="18"/>
      <c r="B28" s="19" t="s">
        <v>50</v>
      </c>
      <c r="C28" s="19" t="s">
        <v>51</v>
      </c>
      <c r="D28" s="19" t="s">
        <v>52</v>
      </c>
    </row>
    <row r="29" customFormat="false" ht="15" hidden="false" customHeight="false" outlineLevel="0" collapsed="false">
      <c r="A29" s="8" t="s">
        <v>53</v>
      </c>
      <c r="B29" s="20" t="n">
        <f aca="false">Revenue!D18</f>
        <v>4265023.78333333</v>
      </c>
      <c r="C29" s="20" t="n">
        <f aca="false">Revenue!E18</f>
        <v>3969921.31333333</v>
      </c>
      <c r="D29" s="20" t="n">
        <f aca="false">Revenue!F18</f>
        <v>4465927.9</v>
      </c>
    </row>
    <row r="30" customFormat="false" ht="15" hidden="false" customHeight="false" outlineLevel="0" collapsed="false">
      <c r="A30" s="8" t="s">
        <v>29</v>
      </c>
      <c r="B30" s="20" t="n">
        <f aca="false">Personnel!U55</f>
        <v>2686688.26801667</v>
      </c>
      <c r="C30" s="20" t="n">
        <f aca="false">Personnel!V55</f>
        <v>2590624.92465</v>
      </c>
      <c r="D30" s="20" t="n">
        <f aca="false">Personnel!W55</f>
        <v>2811114.977475</v>
      </c>
    </row>
    <row r="31" customFormat="false" ht="15" hidden="false" customHeight="false" outlineLevel="0" collapsed="false">
      <c r="A31" s="8" t="s">
        <v>30</v>
      </c>
      <c r="B31" s="20" t="n">
        <f aca="false">'Non-Personnel'!N20</f>
        <v>1546105</v>
      </c>
      <c r="C31" s="20" t="n">
        <f aca="false">'Non-Personnel'!O20</f>
        <v>1490596.8</v>
      </c>
      <c r="D31" s="20" t="n">
        <f aca="false">'Non-Personnel'!P20</f>
        <v>1640998.6</v>
      </c>
    </row>
    <row r="32" customFormat="false" ht="15" hidden="false" customHeight="false" outlineLevel="0" collapsed="false">
      <c r="A32" s="23" t="s">
        <v>24</v>
      </c>
      <c r="B32" s="26" t="n">
        <f aca="false">B30+B31</f>
        <v>4232793.26801667</v>
      </c>
      <c r="C32" s="26" t="n">
        <f aca="false">C30+C31</f>
        <v>4081221.72465</v>
      </c>
      <c r="D32" s="26" t="n">
        <f aca="false">D30+D31</f>
        <v>4452113.577475</v>
      </c>
    </row>
    <row r="33" customFormat="false" ht="15" hidden="false" customHeight="false" outlineLevel="0" collapsed="false">
      <c r="A33" s="23" t="s">
        <v>25</v>
      </c>
      <c r="B33" s="27" t="n">
        <f aca="false">B29-B32</f>
        <v>32230.515316667</v>
      </c>
      <c r="C33" s="27" t="n">
        <f aca="false">C29-C32</f>
        <v>-111300.411316667</v>
      </c>
      <c r="D33" s="27" t="n">
        <f aca="false">D29-D32</f>
        <v>13814.3225250002</v>
      </c>
    </row>
    <row r="34" customFormat="false" ht="15" hidden="false" customHeight="false" outlineLevel="0" collapsed="false">
      <c r="A34" s="8" t="s">
        <v>54</v>
      </c>
      <c r="B34" s="22" t="n">
        <f aca="false">IF(B29=0,0,B33/B29)</f>
        <v>0.00755693683177477</v>
      </c>
      <c r="C34" s="22" t="n">
        <f aca="false">IF(C29=0,0,C33/C29)</f>
        <v>-0.0280359237707948</v>
      </c>
      <c r="D34" s="22" t="n">
        <f aca="false">IF(D29=0,0,D33/D29)</f>
        <v>0.00309327038732538</v>
      </c>
    </row>
    <row r="35" customFormat="false" ht="15" hidden="false" customHeight="false" outlineLevel="0" collapsed="false">
      <c r="A35" s="28" t="s">
        <v>55</v>
      </c>
      <c r="D35" s="29" t="str">
        <f aca="false">IF(ABS(INDEX(B33:D33,ScenNo)-E6)&lt;1,"Agrees","Does not agree")</f>
        <v>Agrees</v>
      </c>
    </row>
  </sheetData>
  <mergeCells count="6">
    <mergeCell ref="C5:D5"/>
    <mergeCell ref="E5:F5"/>
    <mergeCell ref="G5:H5"/>
    <mergeCell ref="C6:D6"/>
    <mergeCell ref="E6:F6"/>
    <mergeCell ref="G6:H6"/>
  </mergeCells>
  <conditionalFormatting sqref="E6">
    <cfRule type="cellIs" priority="2" operator="lessThan" aboveAverage="0" equalAverage="0" bottom="0" percent="0" rank="0" text="" dxfId="1">
      <formula>0</formula>
    </cfRule>
  </conditionalFormatting>
  <conditionalFormatting sqref="D19:D25">
    <cfRule type="cellIs" priority="3" operator="lessThan" aboveAverage="0" equalAverage="0" bottom="0" percent="0" rank="0" text="" dxfId="2">
      <formula>-0.5</formula>
    </cfRule>
  </conditionalFormatting>
  <conditionalFormatting sqref="B33:D34">
    <cfRule type="cellIs" priority="4" operator="lessThan" aboveAverage="0" equalAverage="0" bottom="0" percent="0" rank="0" text="" dxfId="0">
      <formula>0</formula>
    </cfRule>
  </conditionalFormatting>
  <conditionalFormatting sqref="B29:D34">
    <cfRule type="expression" priority="5" aboveAverage="0" equalAverage="0" bottom="0" percent="0" rank="0" text="" dxfId="3">
      <formula>COLUMN(B29)-1=ScenNo</formula>
    </cfRule>
  </conditionalFormatting>
  <printOptions headings="false" gridLines="false" gridLinesSet="true" horizontalCentered="fals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07D2B"/>
    <pageSetUpPr fitToPage="true"/>
  </sheetPr>
  <dimension ref="A1:H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46"/>
    <col collapsed="false" customWidth="true" hidden="false" outlineLevel="0" max="5" min="3" style="1" width="14"/>
    <col collapsed="false" customWidth="true" hidden="false" outlineLevel="0" max="6" min="6" style="1" width="13"/>
    <col collapsed="false" customWidth="true" hidden="false" outlineLevel="0" max="7" min="7" style="1" width="60"/>
    <col collapsed="false" customWidth="true" hidden="false" outlineLevel="0" max="8" min="8" style="1" width="14"/>
  </cols>
  <sheetData>
    <row r="1" customFormat="false" ht="18.55" hidden="false" customHeight="false" outlineLevel="0" collapsed="false">
      <c r="A1" s="30" t="s">
        <v>56</v>
      </c>
    </row>
    <row r="2" customFormat="false" ht="15" hidden="false" customHeight="false" outlineLevel="0" collapsed="false">
      <c r="A2" s="3" t="s">
        <v>57</v>
      </c>
    </row>
    <row r="3" customFormat="false" ht="15" hidden="false" customHeight="false" outlineLevel="0" collapsed="false">
      <c r="A3" s="4" t="s">
        <v>2</v>
      </c>
    </row>
    <row r="5" customFormat="false" ht="15" hidden="false" customHeight="false" outlineLevel="0" collapsed="false">
      <c r="B5" s="31" t="s">
        <v>58</v>
      </c>
      <c r="C5" s="32" t="s">
        <v>59</v>
      </c>
    </row>
    <row r="6" customFormat="false" ht="15" hidden="false" customHeight="false" outlineLevel="0" collapsed="false">
      <c r="B6" s="31" t="s">
        <v>60</v>
      </c>
      <c r="C6" s="32" t="s">
        <v>61</v>
      </c>
    </row>
    <row r="8" customFormat="false" ht="15" hidden="false" customHeight="false" outlineLevel="0" collapsed="false">
      <c r="B8" s="31" t="s">
        <v>62</v>
      </c>
      <c r="C8" s="33" t="s">
        <v>50</v>
      </c>
    </row>
    <row r="9" customFormat="false" ht="15" hidden="false" customHeight="false" outlineLevel="0" collapsed="false">
      <c r="B9" s="31" t="s">
        <v>63</v>
      </c>
      <c r="C9" s="34" t="n">
        <f aca="false">MATCH(C8,$C$12:$E$12,0)</f>
        <v>1</v>
      </c>
    </row>
    <row r="12" customFormat="false" ht="24" hidden="false" customHeight="true" outlineLevel="0" collapsed="false">
      <c r="B12" s="18" t="s">
        <v>64</v>
      </c>
      <c r="C12" s="19" t="s">
        <v>50</v>
      </c>
      <c r="D12" s="19" t="s">
        <v>51</v>
      </c>
      <c r="E12" s="19" t="s">
        <v>52</v>
      </c>
      <c r="F12" s="19" t="s">
        <v>65</v>
      </c>
      <c r="G12" s="19" t="s">
        <v>66</v>
      </c>
    </row>
    <row r="13" customFormat="false" ht="15.75" hidden="false" customHeight="true" outlineLevel="0" collapsed="false">
      <c r="B13" s="8" t="s">
        <v>67</v>
      </c>
      <c r="C13" s="35" t="n">
        <v>0.03</v>
      </c>
      <c r="D13" s="35" t="n">
        <v>0.02</v>
      </c>
      <c r="E13" s="35" t="n">
        <v>0.035</v>
      </c>
      <c r="F13" s="36" t="n">
        <f aca="false">INDEX(C13:E13,ScenNo)</f>
        <v>0.03</v>
      </c>
      <c r="G13" s="37" t="s">
        <v>68</v>
      </c>
    </row>
    <row r="14" customFormat="false" ht="25.5" hidden="false" customHeight="true" outlineLevel="0" collapsed="false">
      <c r="B14" s="8" t="s">
        <v>69</v>
      </c>
      <c r="C14" s="35" t="n">
        <v>0.185</v>
      </c>
      <c r="D14" s="35" t="n">
        <v>0.195</v>
      </c>
      <c r="E14" s="35" t="n">
        <v>0.185</v>
      </c>
      <c r="F14" s="36" t="n">
        <f aca="false">INDEX(C14:E14,ScenNo)</f>
        <v>0.185</v>
      </c>
      <c r="G14" s="37" t="s">
        <v>70</v>
      </c>
    </row>
    <row r="15" customFormat="false" ht="15.75" hidden="false" customHeight="true" outlineLevel="0" collapsed="false">
      <c r="B15" s="8" t="s">
        <v>71</v>
      </c>
      <c r="C15" s="35" t="n">
        <v>0.02</v>
      </c>
      <c r="D15" s="35" t="n">
        <v>0.02</v>
      </c>
      <c r="E15" s="35" t="n">
        <v>0.02</v>
      </c>
      <c r="F15" s="36" t="n">
        <f aca="false">INDEX(C15:E15,ScenNo)</f>
        <v>0.02</v>
      </c>
      <c r="G15" s="37" t="s">
        <v>72</v>
      </c>
    </row>
    <row r="16" customFormat="false" ht="15.75" hidden="false" customHeight="true" outlineLevel="0" collapsed="false">
      <c r="B16" s="8" t="s">
        <v>73</v>
      </c>
      <c r="C16" s="35" t="n">
        <v>0.079</v>
      </c>
      <c r="D16" s="35" t="n">
        <v>0.079</v>
      </c>
      <c r="E16" s="35" t="n">
        <v>0.079</v>
      </c>
      <c r="F16" s="36" t="n">
        <f aca="false">INDEX(C16:E16,ScenNo)</f>
        <v>0.079</v>
      </c>
      <c r="G16" s="37" t="s">
        <v>74</v>
      </c>
    </row>
    <row r="17" customFormat="false" ht="25.5" hidden="false" customHeight="true" outlineLevel="0" collapsed="false">
      <c r="B17" s="8" t="s">
        <v>75</v>
      </c>
      <c r="C17" s="35" t="n">
        <v>0.02</v>
      </c>
      <c r="D17" s="35" t="n">
        <v>0.03</v>
      </c>
      <c r="E17" s="35" t="n">
        <v>0.015</v>
      </c>
      <c r="F17" s="36" t="n">
        <f aca="false">INDEX(C17:E17,ScenNo)</f>
        <v>0.02</v>
      </c>
      <c r="G17" s="37" t="s">
        <v>76</v>
      </c>
    </row>
    <row r="18" customFormat="false" ht="15.75" hidden="false" customHeight="true" outlineLevel="0" collapsed="false">
      <c r="B18" s="8" t="s">
        <v>77</v>
      </c>
      <c r="C18" s="35" t="n">
        <v>0.03</v>
      </c>
      <c r="D18" s="35" t="n">
        <v>0.04</v>
      </c>
      <c r="E18" s="35" t="n">
        <v>0.03</v>
      </c>
      <c r="F18" s="36" t="n">
        <f aca="false">INDEX(C18:E18,ScenNo)</f>
        <v>0.03</v>
      </c>
      <c r="G18" s="37" t="s">
        <v>78</v>
      </c>
    </row>
    <row r="19" customFormat="false" ht="25.5" hidden="false" customHeight="true" outlineLevel="0" collapsed="false">
      <c r="B19" s="8" t="s">
        <v>79</v>
      </c>
      <c r="C19" s="35" t="n">
        <v>1</v>
      </c>
      <c r="D19" s="35" t="n">
        <v>0.92</v>
      </c>
      <c r="E19" s="35" t="n">
        <v>1.12</v>
      </c>
      <c r="F19" s="36" t="n">
        <f aca="false">INDEX(C19:E19,ScenNo)</f>
        <v>1</v>
      </c>
      <c r="G19" s="37" t="s">
        <v>80</v>
      </c>
    </row>
    <row r="20" customFormat="false" ht="15.75" hidden="false" customHeight="true" outlineLevel="0" collapsed="false">
      <c r="B20" s="8" t="s">
        <v>81</v>
      </c>
      <c r="C20" s="35" t="n">
        <v>0.04</v>
      </c>
      <c r="D20" s="35" t="n">
        <v>-0.03</v>
      </c>
      <c r="E20" s="35" t="n">
        <v>0.08</v>
      </c>
      <c r="F20" s="36" t="n">
        <f aca="false">INDEX(C20:E20,ScenNo)</f>
        <v>0.04</v>
      </c>
      <c r="G20" s="37"/>
    </row>
    <row r="21" customFormat="false" ht="15.75" hidden="false" customHeight="true" outlineLevel="0" collapsed="false">
      <c r="B21" s="8" t="s">
        <v>82</v>
      </c>
      <c r="C21" s="35" t="n">
        <v>0.03</v>
      </c>
      <c r="D21" s="35" t="n">
        <v>-0.05</v>
      </c>
      <c r="E21" s="35" t="n">
        <v>0.06</v>
      </c>
      <c r="F21" s="36" t="n">
        <f aca="false">INDEX(C21:E21,ScenNo)</f>
        <v>0.03</v>
      </c>
      <c r="G21" s="37"/>
    </row>
    <row r="22" customFormat="false" ht="15.75" hidden="false" customHeight="true" outlineLevel="0" collapsed="false">
      <c r="B22" s="8" t="s">
        <v>83</v>
      </c>
      <c r="C22" s="35" t="n">
        <v>0</v>
      </c>
      <c r="D22" s="35" t="n">
        <v>-0.05</v>
      </c>
      <c r="E22" s="35" t="n">
        <v>0.04</v>
      </c>
      <c r="F22" s="36" t="n">
        <f aca="false">INDEX(C22:E22,ScenNo)</f>
        <v>0</v>
      </c>
      <c r="G22" s="37" t="s">
        <v>84</v>
      </c>
    </row>
    <row r="23" customFormat="false" ht="15.75" hidden="false" customHeight="true" outlineLevel="0" collapsed="false">
      <c r="B23" s="8" t="s">
        <v>85</v>
      </c>
      <c r="C23" s="35" t="n">
        <v>0.05</v>
      </c>
      <c r="D23" s="35" t="n">
        <v>0</v>
      </c>
      <c r="E23" s="35" t="n">
        <v>0.1</v>
      </c>
      <c r="F23" s="36" t="n">
        <f aca="false">INDEX(C23:E23,ScenNo)</f>
        <v>0.05</v>
      </c>
      <c r="G23" s="37" t="s">
        <v>86</v>
      </c>
    </row>
    <row r="24" customFormat="false" ht="15.75" hidden="false" customHeight="true" outlineLevel="0" collapsed="false">
      <c r="B24" s="8" t="s">
        <v>87</v>
      </c>
      <c r="C24" s="38" t="n">
        <v>290000</v>
      </c>
      <c r="D24" s="38" t="n">
        <v>255000</v>
      </c>
      <c r="E24" s="38" t="n">
        <v>320000</v>
      </c>
      <c r="F24" s="39" t="n">
        <f aca="false">INDEX(C24:E24,ScenNo)</f>
        <v>290000</v>
      </c>
      <c r="G24" s="37"/>
    </row>
    <row r="25" customFormat="false" ht="15.75" hidden="false" customHeight="true" outlineLevel="0" collapsed="false">
      <c r="B25" s="8" t="s">
        <v>88</v>
      </c>
      <c r="C25" s="35" t="n">
        <v>0.3</v>
      </c>
      <c r="D25" s="35" t="n">
        <v>0.32</v>
      </c>
      <c r="E25" s="35" t="n">
        <v>0.3</v>
      </c>
      <c r="F25" s="36" t="n">
        <f aca="false">INDEX(C25:E25,ScenNo)</f>
        <v>0.3</v>
      </c>
      <c r="G25" s="37" t="s">
        <v>89</v>
      </c>
    </row>
    <row r="26" customFormat="false" ht="15.75" hidden="false" customHeight="true" outlineLevel="0" collapsed="false">
      <c r="B26" s="8" t="s">
        <v>90</v>
      </c>
      <c r="C26" s="38" t="n">
        <v>44000</v>
      </c>
      <c r="D26" s="38" t="n">
        <v>30000</v>
      </c>
      <c r="E26" s="38" t="n">
        <v>48000</v>
      </c>
      <c r="F26" s="39" t="n">
        <f aca="false">INDEX(C26:E26,ScenNo)</f>
        <v>44000</v>
      </c>
      <c r="G26" s="37"/>
    </row>
    <row r="27" customFormat="false" ht="15.75" hidden="false" customHeight="true" outlineLevel="0" collapsed="false">
      <c r="B27" s="8" t="s">
        <v>91</v>
      </c>
      <c r="C27" s="35" t="n">
        <v>1</v>
      </c>
      <c r="D27" s="35" t="n">
        <v>1</v>
      </c>
      <c r="E27" s="35" t="n">
        <v>1</v>
      </c>
      <c r="F27" s="36" t="n">
        <f aca="false">INDEX(C27:E27,ScenNo)</f>
        <v>1</v>
      </c>
      <c r="G27" s="37" t="s">
        <v>92</v>
      </c>
      <c r="H27" s="40" t="s">
        <v>93</v>
      </c>
    </row>
    <row r="28" customFormat="false" ht="15.75" hidden="false" customHeight="true" outlineLevel="0" collapsed="false">
      <c r="B28" s="8" t="s">
        <v>94</v>
      </c>
      <c r="C28" s="35" t="n">
        <v>0.9</v>
      </c>
      <c r="D28" s="35" t="n">
        <v>0.8</v>
      </c>
      <c r="E28" s="35" t="n">
        <v>0.95</v>
      </c>
      <c r="F28" s="36" t="n">
        <f aca="false">INDEX(C28:E28,ScenNo)</f>
        <v>0.9</v>
      </c>
      <c r="G28" s="37"/>
      <c r="H28" s="40" t="s">
        <v>95</v>
      </c>
    </row>
    <row r="29" customFormat="false" ht="15.75" hidden="false" customHeight="true" outlineLevel="0" collapsed="false">
      <c r="B29" s="8" t="s">
        <v>96</v>
      </c>
      <c r="C29" s="35" t="n">
        <v>0.5</v>
      </c>
      <c r="D29" s="35" t="n">
        <v>0.35</v>
      </c>
      <c r="E29" s="35" t="n">
        <v>0.6</v>
      </c>
      <c r="F29" s="36" t="n">
        <f aca="false">INDEX(C29:E29,ScenNo)</f>
        <v>0.5</v>
      </c>
      <c r="G29" s="37"/>
      <c r="H29" s="40" t="s">
        <v>97</v>
      </c>
    </row>
    <row r="30" customFormat="false" ht="15.75" hidden="false" customHeight="true" outlineLevel="0" collapsed="false">
      <c r="B30" s="8" t="s">
        <v>98</v>
      </c>
      <c r="C30" s="35" t="n">
        <v>0.2</v>
      </c>
      <c r="D30" s="35" t="n">
        <v>0.1</v>
      </c>
      <c r="E30" s="35" t="n">
        <v>0.3</v>
      </c>
      <c r="F30" s="36" t="n">
        <f aca="false">INDEX(C30:E30,ScenNo)</f>
        <v>0.2</v>
      </c>
      <c r="G30" s="37"/>
      <c r="H30" s="40" t="s">
        <v>99</v>
      </c>
    </row>
  </sheetData>
  <conditionalFormatting sqref="C12:E30">
    <cfRule type="expression" priority="2" aboveAverage="0" equalAverage="0" bottom="0" percent="0" rank="0" text="" dxfId="3">
      <formula>COLUMN(C12)-2=ScenNo</formula>
    </cfRule>
  </conditionalFormatting>
  <dataValidations count="1">
    <dataValidation allowBlank="false" error="Choose Base, Conservative, or Growth." errorStyle="stop" errorTitle="Scenario" operator="between" showDropDown="false" showErrorMessage="true" showInputMessage="false" sqref="C8" type="list">
      <formula1>"Base,Conservative,Growth"</formula1>
      <formula2>0</formula2>
    </dataValidation>
  </dataValidations>
  <printOptions headings="false" gridLines="false" gridLinesSet="true" horizontalCentered="fals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5E66"/>
    <pageSetUpPr fitToPage="true"/>
  </sheetPr>
  <dimension ref="A1:W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2"/>
    <col collapsed="false" customWidth="true" hidden="false" outlineLevel="0" max="2" min="2" style="1" width="20"/>
    <col collapsed="false" customWidth="true" hidden="false" outlineLevel="0" max="3" min="3" style="1" width="8"/>
    <col collapsed="false" customWidth="true" hidden="false" outlineLevel="0" max="4" min="4" style="1" width="10"/>
    <col collapsed="false" customWidth="true" hidden="false" outlineLevel="0" max="5" min="5" style="1" width="6"/>
    <col collapsed="false" customWidth="true" hidden="false" outlineLevel="0" max="6" min="6" style="1" width="11"/>
    <col collapsed="false" customWidth="true" hidden="false" outlineLevel="0" max="7" min="7" style="1" width="8"/>
    <col collapsed="false" customWidth="true" hidden="false" outlineLevel="0" max="8" min="8" style="1" width="17"/>
    <col collapsed="false" customWidth="true" hidden="false" outlineLevel="0" max="10" min="9" style="1" width="8"/>
    <col collapsed="false" customWidth="true" hidden="false" outlineLevel="0" max="11" min="11" style="1" width="11"/>
    <col collapsed="false" customWidth="true" hidden="false" outlineLevel="0" max="13" min="12" style="1" width="10"/>
    <col collapsed="false" customWidth="true" hidden="false" outlineLevel="0" max="14" min="14" style="1" width="11"/>
    <col collapsed="false" customWidth="true" hidden="false" outlineLevel="0" max="19" min="15" style="1" width="9.52"/>
    <col collapsed="false" customWidth="true" hidden="false" outlineLevel="0" max="20" min="20" style="1" width="6"/>
    <col collapsed="false" customWidth="true" hidden="false" outlineLevel="0" max="21" min="21" style="1" width="11"/>
    <col collapsed="false" customWidth="true" hidden="false" outlineLevel="0" max="22" min="22" style="1" width="12"/>
    <col collapsed="false" customWidth="true" hidden="false" outlineLevel="0" max="23" min="23" style="1" width="11"/>
  </cols>
  <sheetData>
    <row r="1" customFormat="false" ht="18.55" hidden="false" customHeight="false" outlineLevel="0" collapsed="false">
      <c r="A1" s="30" t="s">
        <v>100</v>
      </c>
    </row>
    <row r="2" customFormat="false" ht="15" hidden="false" customHeight="false" outlineLevel="0" collapsed="false">
      <c r="A2" s="3" t="s">
        <v>101</v>
      </c>
    </row>
    <row r="3" customFormat="false" ht="15" hidden="false" customHeight="false" outlineLevel="0" collapsed="false">
      <c r="A3" s="4" t="s">
        <v>2</v>
      </c>
    </row>
    <row r="5" customFormat="false" ht="43.5" hidden="false" customHeight="true" outlineLevel="0" collapsed="false">
      <c r="A5" s="18" t="s">
        <v>102</v>
      </c>
      <c r="B5" s="19" t="s">
        <v>103</v>
      </c>
      <c r="C5" s="19" t="s">
        <v>104</v>
      </c>
      <c r="D5" s="19" t="s">
        <v>105</v>
      </c>
      <c r="E5" s="19" t="s">
        <v>106</v>
      </c>
      <c r="F5" s="19" t="s">
        <v>107</v>
      </c>
      <c r="G5" s="19" t="s">
        <v>108</v>
      </c>
      <c r="H5" s="19" t="s">
        <v>109</v>
      </c>
      <c r="I5" s="19" t="s">
        <v>110</v>
      </c>
      <c r="J5" s="19" t="s">
        <v>111</v>
      </c>
      <c r="K5" s="19" t="s">
        <v>112</v>
      </c>
      <c r="L5" s="19" t="s">
        <v>113</v>
      </c>
      <c r="M5" s="19" t="s">
        <v>114</v>
      </c>
      <c r="N5" s="19" t="s">
        <v>115</v>
      </c>
      <c r="O5" s="19" t="s">
        <v>116</v>
      </c>
      <c r="P5" s="19" t="s">
        <v>117</v>
      </c>
      <c r="Q5" s="19" t="s">
        <v>118</v>
      </c>
      <c r="R5" s="19" t="s">
        <v>119</v>
      </c>
      <c r="S5" s="19" t="s">
        <v>120</v>
      </c>
      <c r="T5" s="19" t="s">
        <v>121</v>
      </c>
      <c r="U5" s="41" t="s">
        <v>122</v>
      </c>
      <c r="V5" s="41" t="s">
        <v>123</v>
      </c>
      <c r="W5" s="41" t="s">
        <v>124</v>
      </c>
    </row>
    <row r="6" customFormat="false" ht="15" hidden="false" customHeight="false" outlineLevel="0" collapsed="false">
      <c r="A6" s="42" t="s">
        <v>125</v>
      </c>
      <c r="B6" s="42" t="s">
        <v>36</v>
      </c>
      <c r="C6" s="42" t="s">
        <v>126</v>
      </c>
      <c r="D6" s="42" t="s">
        <v>127</v>
      </c>
      <c r="E6" s="43" t="n">
        <v>1</v>
      </c>
      <c r="F6" s="44" t="n">
        <v>124000</v>
      </c>
      <c r="G6" s="45" t="n">
        <v>1</v>
      </c>
      <c r="H6" s="46" t="s">
        <v>128</v>
      </c>
      <c r="I6" s="21" t="n">
        <f aca="false">13-G6</f>
        <v>12</v>
      </c>
      <c r="J6" s="47" t="n">
        <f aca="false">IF($H6="All",1,IF($H6="Growth only",IF(ScenNo=3,1,0),IF($H6="Not in Conservative",IF(ScenNo=2,0,1),1)))</f>
        <v>1</v>
      </c>
      <c r="K6" s="21" t="n">
        <f aca="false">$F6*$E6*(1+INDEX(Raise,ScenNo))*$I6/12*$J6*(1-INDEX(Vacancy,ScenNo))</f>
        <v>125165.6</v>
      </c>
      <c r="L6" s="21" t="n">
        <f aca="false">K6*IF($D6="Full-time",INDEX(BenFT,ScenNo),INDEX(BenPT,ScenNo))</f>
        <v>23155.636</v>
      </c>
      <c r="M6" s="21" t="n">
        <f aca="false">K6*INDEX(TaxRate,ScenNo)</f>
        <v>9888.0824</v>
      </c>
      <c r="N6" s="27" t="n">
        <f aca="false">SUM(K6:M6)</f>
        <v>158209.3184</v>
      </c>
      <c r="O6" s="48" t="n">
        <v>0.04</v>
      </c>
      <c r="P6" s="48" t="n">
        <v>0.03</v>
      </c>
      <c r="Q6" s="48" t="n">
        <v>0.03</v>
      </c>
      <c r="R6" s="48" t="n">
        <v>0.7</v>
      </c>
      <c r="S6" s="48" t="n">
        <v>0.2</v>
      </c>
      <c r="T6" s="49" t="str">
        <f aca="false">IF(ROUND(SUM(O6:S6),4)=1,"OK","Fix")</f>
        <v>OK</v>
      </c>
      <c r="U6" s="21" t="n">
        <f aca="false">$F6*$E6*(1+INDEX(Raise,1))*$I6/12*IF($H6="All",1,IF($H6="Growth only",IF(1=3,1,0),IF($H6="Not in Conservative",IF(1=2,0,1),1)))*(1-INDEX(Vacancy,1))*(1+IF($D6="Full-time",INDEX(BenFT,1),INDEX(BenPT,1))+INDEX(TaxRate,1))</f>
        <v>158209.3184</v>
      </c>
      <c r="V6" s="21" t="n">
        <f aca="false">$F6*$E6*(1+INDEX(Raise,2))*$I6/12*IF($H6="All",1,IF($H6="Growth only",IF(2=3,1,0),IF($H6="Not in Conservative",IF(2=2,0,1),1)))*(1-INDEX(Vacancy,2))*(1+IF($D6="Full-time",INDEX(BenFT,2),INDEX(BenPT,2))+INDEX(TaxRate,2))</f>
        <v>156301.4544</v>
      </c>
      <c r="W6" s="21" t="n">
        <f aca="false">$F6*$E6*(1+INDEX(Raise,3))*$I6/12*IF($H6="All",1,IF($H6="Growth only",IF(3=3,1,0),IF($H6="Not in Conservative",IF(3=2,0,1),1)))*(1-INDEX(Vacancy,3))*(1+IF($D6="Full-time",INDEX(BenFT,3),INDEX(BenPT,3))+INDEX(TaxRate,3))</f>
        <v>159788.4336</v>
      </c>
    </row>
    <row r="7" customFormat="false" ht="15" hidden="false" customHeight="false" outlineLevel="0" collapsed="false">
      <c r="A7" s="42" t="s">
        <v>129</v>
      </c>
      <c r="B7" s="42" t="s">
        <v>36</v>
      </c>
      <c r="C7" s="42" t="s">
        <v>126</v>
      </c>
      <c r="D7" s="42" t="s">
        <v>127</v>
      </c>
      <c r="E7" s="43" t="n">
        <v>1</v>
      </c>
      <c r="F7" s="44" t="n">
        <v>88000</v>
      </c>
      <c r="G7" s="45" t="n">
        <v>1</v>
      </c>
      <c r="H7" s="46" t="s">
        <v>128</v>
      </c>
      <c r="I7" s="21" t="n">
        <f aca="false">13-G7</f>
        <v>12</v>
      </c>
      <c r="J7" s="47" t="n">
        <f aca="false">IF($H7="All",1,IF($H7="Growth only",IF(ScenNo=3,1,0),IF($H7="Not in Conservative",IF(ScenNo=2,0,1),1)))</f>
        <v>1</v>
      </c>
      <c r="K7" s="21" t="n">
        <f aca="false">$F7*$E7*(1+INDEX(Raise,ScenNo))*$I7/12*$J7*(1-INDEX(Vacancy,ScenNo))</f>
        <v>88827.2</v>
      </c>
      <c r="L7" s="21" t="n">
        <f aca="false">K7*IF($D7="Full-time",INDEX(BenFT,ScenNo),INDEX(BenPT,ScenNo))</f>
        <v>16433.032</v>
      </c>
      <c r="M7" s="21" t="n">
        <f aca="false">K7*INDEX(TaxRate,ScenNo)</f>
        <v>7017.3488</v>
      </c>
      <c r="N7" s="27" t="n">
        <f aca="false">SUM(K7:M7)</f>
        <v>112277.5808</v>
      </c>
      <c r="O7" s="48"/>
      <c r="P7" s="48"/>
      <c r="Q7" s="48"/>
      <c r="R7" s="48" t="n">
        <v>1</v>
      </c>
      <c r="S7" s="48"/>
      <c r="T7" s="49" t="str">
        <f aca="false">IF(ROUND(SUM(O7:S7),4)=1,"OK","Fix")</f>
        <v>OK</v>
      </c>
      <c r="U7" s="21" t="n">
        <f aca="false">$F7*$E7*(1+INDEX(Raise,1))*$I7/12*IF($H7="All",1,IF($H7="Growth only",IF(1=3,1,0),IF($H7="Not in Conservative",IF(1=2,0,1),1)))*(1-INDEX(Vacancy,1))*(1+IF($D7="Full-time",INDEX(BenFT,1),INDEX(BenPT,1))+INDEX(TaxRate,1))</f>
        <v>112277.5808</v>
      </c>
      <c r="V7" s="21" t="n">
        <f aca="false">$F7*$E7*(1+INDEX(Raise,2))*$I7/12*IF($H7="All",1,IF($H7="Growth only",IF(2=3,1,0),IF($H7="Not in Conservative",IF(2=2,0,1),1)))*(1-INDEX(Vacancy,2))*(1+IF($D7="Full-time",INDEX(BenFT,2),INDEX(BenPT,2))+INDEX(TaxRate,2))</f>
        <v>110923.6128</v>
      </c>
      <c r="W7" s="21" t="n">
        <f aca="false">$F7*$E7*(1+INDEX(Raise,3))*$I7/12*IF($H7="All",1,IF($H7="Growth only",IF(3=3,1,0),IF($H7="Not in Conservative",IF(3=2,0,1),1)))*(1-INDEX(Vacancy,3))*(1+IF($D7="Full-time",INDEX(BenFT,3),INDEX(BenPT,3))+INDEX(TaxRate,3))</f>
        <v>113398.2432</v>
      </c>
    </row>
    <row r="8" customFormat="false" ht="15" hidden="false" customHeight="false" outlineLevel="0" collapsed="false">
      <c r="A8" s="42" t="s">
        <v>130</v>
      </c>
      <c r="B8" s="42" t="s">
        <v>36</v>
      </c>
      <c r="C8" s="42" t="s">
        <v>126</v>
      </c>
      <c r="D8" s="42" t="s">
        <v>131</v>
      </c>
      <c r="E8" s="43" t="n">
        <v>0.6</v>
      </c>
      <c r="F8" s="44" t="n">
        <v>54000</v>
      </c>
      <c r="G8" s="45" t="n">
        <v>1</v>
      </c>
      <c r="H8" s="46" t="s">
        <v>128</v>
      </c>
      <c r="I8" s="21" t="n">
        <f aca="false">13-G8</f>
        <v>12</v>
      </c>
      <c r="J8" s="47" t="n">
        <f aca="false">IF($H8="All",1,IF($H8="Growth only",IF(ScenNo=3,1,0),IF($H8="Not in Conservative",IF(ScenNo=2,0,1),1)))</f>
        <v>1</v>
      </c>
      <c r="K8" s="21" t="n">
        <f aca="false">$F8*$E8*(1+INDEX(Raise,ScenNo))*$I8/12*$J8*(1-INDEX(Vacancy,ScenNo))</f>
        <v>32704.56</v>
      </c>
      <c r="L8" s="21" t="n">
        <f aca="false">K8*IF($D8="Full-time",INDEX(BenFT,ScenNo),INDEX(BenPT,ScenNo))</f>
        <v>654.0912</v>
      </c>
      <c r="M8" s="21" t="n">
        <f aca="false">K8*INDEX(TaxRate,ScenNo)</f>
        <v>2583.66024</v>
      </c>
      <c r="N8" s="27" t="n">
        <f aca="false">SUM(K8:M8)</f>
        <v>35942.31144</v>
      </c>
      <c r="O8" s="48"/>
      <c r="P8" s="48"/>
      <c r="Q8" s="48"/>
      <c r="R8" s="48" t="n">
        <v>1</v>
      </c>
      <c r="S8" s="48"/>
      <c r="T8" s="49" t="str">
        <f aca="false">IF(ROUND(SUM(O8:S8),4)=1,"OK","Fix")</f>
        <v>OK</v>
      </c>
      <c r="U8" s="21" t="n">
        <f aca="false">$F8*$E8*(1+INDEX(Raise,1))*$I8/12*IF($H8="All",1,IF($H8="Growth only",IF(1=3,1,0),IF($H8="Not in Conservative",IF(1=2,0,1),1)))*(1-INDEX(Vacancy,1))*(1+IF($D8="Full-time",INDEX(BenFT,1),INDEX(BenPT,1))+INDEX(TaxRate,1))</f>
        <v>35942.31144</v>
      </c>
      <c r="V8" s="21" t="n">
        <f aca="false">$F8*$E8*(1+INDEX(Raise,2))*$I8/12*IF($H8="All",1,IF($H8="Growth only",IF(2=3,1,0),IF($H8="Not in Conservative",IF(2=2,0,1),1)))*(1-INDEX(Vacancy,2))*(1+IF($D8="Full-time",INDEX(BenFT,2),INDEX(BenPT,2))+INDEX(TaxRate,2))</f>
        <v>35230.15944</v>
      </c>
      <c r="W8" s="21" t="n">
        <f aca="false">$F8*$E8*(1+INDEX(Raise,3))*$I8/12*IF($H8="All",1,IF($H8="Growth only",IF(3=3,1,0),IF($H8="Not in Conservative",IF(3=2,0,1),1)))*(1-INDEX(Vacancy,3))*(1+IF($D8="Full-time",INDEX(BenFT,3),INDEX(BenPT,3))+INDEX(TaxRate,3))</f>
        <v>36301.05801</v>
      </c>
    </row>
    <row r="9" customFormat="false" ht="15" hidden="false" customHeight="false" outlineLevel="0" collapsed="false">
      <c r="A9" s="42" t="s">
        <v>132</v>
      </c>
      <c r="B9" s="42" t="s">
        <v>36</v>
      </c>
      <c r="C9" s="42" t="s">
        <v>126</v>
      </c>
      <c r="D9" s="42" t="s">
        <v>127</v>
      </c>
      <c r="E9" s="43" t="n">
        <v>1</v>
      </c>
      <c r="F9" s="44" t="n">
        <v>48500</v>
      </c>
      <c r="G9" s="45" t="n">
        <v>1</v>
      </c>
      <c r="H9" s="46" t="s">
        <v>128</v>
      </c>
      <c r="I9" s="21" t="n">
        <f aca="false">13-G9</f>
        <v>12</v>
      </c>
      <c r="J9" s="47" t="n">
        <f aca="false">IF($H9="All",1,IF($H9="Growth only",IF(ScenNo=3,1,0),IF($H9="Not in Conservative",IF(ScenNo=2,0,1),1)))</f>
        <v>1</v>
      </c>
      <c r="K9" s="21" t="n">
        <f aca="false">$F9*$E9*(1+INDEX(Raise,ScenNo))*$I9/12*$J9*(1-INDEX(Vacancy,ScenNo))</f>
        <v>48955.9</v>
      </c>
      <c r="L9" s="21" t="n">
        <f aca="false">K9*IF($D9="Full-time",INDEX(BenFT,ScenNo),INDEX(BenPT,ScenNo))</f>
        <v>9056.8415</v>
      </c>
      <c r="M9" s="21" t="n">
        <f aca="false">K9*INDEX(TaxRate,ScenNo)</f>
        <v>3867.5161</v>
      </c>
      <c r="N9" s="27" t="n">
        <f aca="false">SUM(K9:M9)</f>
        <v>61880.2576</v>
      </c>
      <c r="O9" s="48" t="n">
        <v>0.1</v>
      </c>
      <c r="P9" s="48"/>
      <c r="Q9" s="48" t="n">
        <v>0.1</v>
      </c>
      <c r="R9" s="48" t="n">
        <v>0.8</v>
      </c>
      <c r="S9" s="48"/>
      <c r="T9" s="49" t="str">
        <f aca="false">IF(ROUND(SUM(O9:S9),4)=1,"OK","Fix")</f>
        <v>OK</v>
      </c>
      <c r="U9" s="21" t="n">
        <f aca="false">$F9*$E9*(1+INDEX(Raise,1))*$I9/12*IF($H9="All",1,IF($H9="Growth only",IF(1=3,1,0),IF($H9="Not in Conservative",IF(1=2,0,1),1)))*(1-INDEX(Vacancy,1))*(1+IF($D9="Full-time",INDEX(BenFT,1),INDEX(BenPT,1))+INDEX(TaxRate,1))</f>
        <v>61880.2576</v>
      </c>
      <c r="V9" s="21" t="n">
        <f aca="false">$F9*$E9*(1+INDEX(Raise,2))*$I9/12*IF($H9="All",1,IF($H9="Growth only",IF(2=3,1,0),IF($H9="Not in Conservative",IF(2=2,0,1),1)))*(1-INDEX(Vacancy,2))*(1+IF($D9="Full-time",INDEX(BenFT,2),INDEX(BenPT,2))+INDEX(TaxRate,2))</f>
        <v>61134.0366</v>
      </c>
      <c r="W9" s="21" t="n">
        <f aca="false">$F9*$E9*(1+INDEX(Raise,3))*$I9/12*IF($H9="All",1,IF($H9="Growth only",IF(3=3,1,0),IF($H9="Not in Conservative",IF(3=2,0,1),1)))*(1-INDEX(Vacancy,3))*(1+IF($D9="Full-time",INDEX(BenFT,3),INDEX(BenPT,3))+INDEX(TaxRate,3))</f>
        <v>62497.8954</v>
      </c>
    </row>
    <row r="10" customFormat="false" ht="15" hidden="false" customHeight="false" outlineLevel="0" collapsed="false">
      <c r="A10" s="42" t="s">
        <v>133</v>
      </c>
      <c r="B10" s="42" t="s">
        <v>36</v>
      </c>
      <c r="C10" s="42" t="s">
        <v>126</v>
      </c>
      <c r="D10" s="42" t="s">
        <v>127</v>
      </c>
      <c r="E10" s="43" t="n">
        <v>1</v>
      </c>
      <c r="F10" s="44" t="n">
        <v>61000</v>
      </c>
      <c r="G10" s="45" t="n">
        <v>1</v>
      </c>
      <c r="H10" s="46" t="s">
        <v>128</v>
      </c>
      <c r="I10" s="21" t="n">
        <f aca="false">13-G10</f>
        <v>12</v>
      </c>
      <c r="J10" s="47" t="n">
        <f aca="false">IF($H10="All",1,IF($H10="Growth only",IF(ScenNo=3,1,0),IF($H10="Not in Conservative",IF(ScenNo=2,0,1),1)))</f>
        <v>1</v>
      </c>
      <c r="K10" s="21" t="n">
        <f aca="false">$F10*$E10*(1+INDEX(Raise,ScenNo))*$I10/12*$J10*(1-INDEX(Vacancy,ScenNo))</f>
        <v>61573.4</v>
      </c>
      <c r="L10" s="21" t="n">
        <f aca="false">K10*IF($D10="Full-time",INDEX(BenFT,ScenNo),INDEX(BenPT,ScenNo))</f>
        <v>11391.079</v>
      </c>
      <c r="M10" s="21" t="n">
        <f aca="false">K10*INDEX(TaxRate,ScenNo)</f>
        <v>4864.2986</v>
      </c>
      <c r="N10" s="27" t="n">
        <f aca="false">SUM(K10:M10)</f>
        <v>77828.7776</v>
      </c>
      <c r="O10" s="48"/>
      <c r="P10" s="48"/>
      <c r="Q10" s="48"/>
      <c r="R10" s="48" t="n">
        <v>1</v>
      </c>
      <c r="S10" s="48"/>
      <c r="T10" s="49" t="str">
        <f aca="false">IF(ROUND(SUM(O10:S10),4)=1,"OK","Fix")</f>
        <v>OK</v>
      </c>
      <c r="U10" s="21" t="n">
        <f aca="false">$F10*$E10*(1+INDEX(Raise,1))*$I10/12*IF($H10="All",1,IF($H10="Growth only",IF(1=3,1,0),IF($H10="Not in Conservative",IF(1=2,0,1),1)))*(1-INDEX(Vacancy,1))*(1+IF($D10="Full-time",INDEX(BenFT,1),INDEX(BenPT,1))+INDEX(TaxRate,1))</f>
        <v>77828.7776</v>
      </c>
      <c r="V10" s="21" t="n">
        <f aca="false">$F10*$E10*(1+INDEX(Raise,2))*$I10/12*IF($H10="All",1,IF($H10="Growth only",IF(2=3,1,0),IF($H10="Not in Conservative",IF(2=2,0,1),1)))*(1-INDEX(Vacancy,2))*(1+IF($D10="Full-time",INDEX(BenFT,2),INDEX(BenPT,2))+INDEX(TaxRate,2))</f>
        <v>76890.2316</v>
      </c>
      <c r="W10" s="21" t="n">
        <f aca="false">$F10*$E10*(1+INDEX(Raise,3))*$I10/12*IF($H10="All",1,IF($H10="Growth only",IF(3=3,1,0),IF($H10="Not in Conservative",IF(3=2,0,1),1)))*(1-INDEX(Vacancy,3))*(1+IF($D10="Full-time",INDEX(BenFT,3),INDEX(BenPT,3))+INDEX(TaxRate,3))</f>
        <v>78605.6004</v>
      </c>
    </row>
    <row r="11" customFormat="false" ht="15" hidden="false" customHeight="false" outlineLevel="0" collapsed="false">
      <c r="A11" s="42" t="s">
        <v>134</v>
      </c>
      <c r="B11" s="42" t="s">
        <v>36</v>
      </c>
      <c r="C11" s="42" t="s">
        <v>126</v>
      </c>
      <c r="D11" s="42" t="s">
        <v>127</v>
      </c>
      <c r="E11" s="43" t="n">
        <v>1</v>
      </c>
      <c r="F11" s="44" t="n">
        <v>56000</v>
      </c>
      <c r="G11" s="45" t="n">
        <v>1</v>
      </c>
      <c r="H11" s="46" t="s">
        <v>128</v>
      </c>
      <c r="I11" s="21" t="n">
        <f aca="false">13-G11</f>
        <v>12</v>
      </c>
      <c r="J11" s="47" t="n">
        <f aca="false">IF($H11="All",1,IF($H11="Growth only",IF(ScenNo=3,1,0),IF($H11="Not in Conservative",IF(ScenNo=2,0,1),1)))</f>
        <v>1</v>
      </c>
      <c r="K11" s="21" t="n">
        <f aca="false">$F11*$E11*(1+INDEX(Raise,ScenNo))*$I11/12*$J11*(1-INDEX(Vacancy,ScenNo))</f>
        <v>56526.4</v>
      </c>
      <c r="L11" s="21" t="n">
        <f aca="false">K11*IF($D11="Full-time",INDEX(BenFT,ScenNo),INDEX(BenPT,ScenNo))</f>
        <v>10457.384</v>
      </c>
      <c r="M11" s="21" t="n">
        <f aca="false">K11*INDEX(TaxRate,ScenNo)</f>
        <v>4465.5856</v>
      </c>
      <c r="N11" s="27" t="n">
        <f aca="false">SUM(K11:M11)</f>
        <v>71449.3696</v>
      </c>
      <c r="O11" s="48" t="n">
        <v>0.4</v>
      </c>
      <c r="P11" s="48" t="n">
        <v>0.3</v>
      </c>
      <c r="Q11" s="48" t="n">
        <v>0.3</v>
      </c>
      <c r="R11" s="48"/>
      <c r="S11" s="48"/>
      <c r="T11" s="49" t="str">
        <f aca="false">IF(ROUND(SUM(O11:S11),4)=1,"OK","Fix")</f>
        <v>OK</v>
      </c>
      <c r="U11" s="21" t="n">
        <f aca="false">$F11*$E11*(1+INDEX(Raise,1))*$I11/12*IF($H11="All",1,IF($H11="Growth only",IF(1=3,1,0),IF($H11="Not in Conservative",IF(1=2,0,1),1)))*(1-INDEX(Vacancy,1))*(1+IF($D11="Full-time",INDEX(BenFT,1),INDEX(BenPT,1))+INDEX(TaxRate,1))</f>
        <v>71449.3696</v>
      </c>
      <c r="V11" s="21" t="n">
        <f aca="false">$F11*$E11*(1+INDEX(Raise,2))*$I11/12*IF($H11="All",1,IF($H11="Growth only",IF(2=3,1,0),IF($H11="Not in Conservative",IF(2=2,0,1),1)))*(1-INDEX(Vacancy,2))*(1+IF($D11="Full-time",INDEX(BenFT,2),INDEX(BenPT,2))+INDEX(TaxRate,2))</f>
        <v>70587.7536</v>
      </c>
      <c r="W11" s="21" t="n">
        <f aca="false">$F11*$E11*(1+INDEX(Raise,3))*$I11/12*IF($H11="All",1,IF($H11="Growth only",IF(3=3,1,0),IF($H11="Not in Conservative",IF(3=2,0,1),1)))*(1-INDEX(Vacancy,3))*(1+IF($D11="Full-time",INDEX(BenFT,3),INDEX(BenPT,3))+INDEX(TaxRate,3))</f>
        <v>72162.5184</v>
      </c>
    </row>
    <row r="12" customFormat="false" ht="15" hidden="false" customHeight="false" outlineLevel="0" collapsed="false">
      <c r="A12" s="42" t="s">
        <v>135</v>
      </c>
      <c r="B12" s="42" t="s">
        <v>36</v>
      </c>
      <c r="C12" s="42" t="s">
        <v>126</v>
      </c>
      <c r="D12" s="42" t="s">
        <v>127</v>
      </c>
      <c r="E12" s="43" t="n">
        <v>1</v>
      </c>
      <c r="F12" s="44" t="n">
        <v>50000</v>
      </c>
      <c r="G12" s="45" t="n">
        <v>1</v>
      </c>
      <c r="H12" s="46" t="s">
        <v>128</v>
      </c>
      <c r="I12" s="21" t="n">
        <f aca="false">13-G12</f>
        <v>12</v>
      </c>
      <c r="J12" s="47" t="n">
        <f aca="false">IF($H12="All",1,IF($H12="Growth only",IF(ScenNo=3,1,0),IF($H12="Not in Conservative",IF(ScenNo=2,0,1),1)))</f>
        <v>1</v>
      </c>
      <c r="K12" s="21" t="n">
        <f aca="false">$F12*$E12*(1+INDEX(Raise,ScenNo))*$I12/12*$J12*(1-INDEX(Vacancy,ScenNo))</f>
        <v>50470</v>
      </c>
      <c r="L12" s="21" t="n">
        <f aca="false">K12*IF($D12="Full-time",INDEX(BenFT,ScenNo),INDEX(BenPT,ScenNo))</f>
        <v>9336.95</v>
      </c>
      <c r="M12" s="21" t="n">
        <f aca="false">K12*INDEX(TaxRate,ScenNo)</f>
        <v>3987.13</v>
      </c>
      <c r="N12" s="27" t="n">
        <f aca="false">SUM(K12:M12)</f>
        <v>63794.08</v>
      </c>
      <c r="O12" s="48" t="n">
        <v>0.25</v>
      </c>
      <c r="P12" s="48" t="n">
        <v>0.15</v>
      </c>
      <c r="Q12" s="48" t="n">
        <v>0.2</v>
      </c>
      <c r="R12" s="48" t="n">
        <v>0.4</v>
      </c>
      <c r="S12" s="48"/>
      <c r="T12" s="49" t="str">
        <f aca="false">IF(ROUND(SUM(O12:S12),4)=1,"OK","Fix")</f>
        <v>OK</v>
      </c>
      <c r="U12" s="21" t="n">
        <f aca="false">$F12*$E12*(1+INDEX(Raise,1))*$I12/12*IF($H12="All",1,IF($H12="Growth only",IF(1=3,1,0),IF($H12="Not in Conservative",IF(1=2,0,1),1)))*(1-INDEX(Vacancy,1))*(1+IF($D12="Full-time",INDEX(BenFT,1),INDEX(BenPT,1))+INDEX(TaxRate,1))</f>
        <v>63794.08</v>
      </c>
      <c r="V12" s="21" t="n">
        <f aca="false">$F12*$E12*(1+INDEX(Raise,2))*$I12/12*IF($H12="All",1,IF($H12="Growth only",IF(2=3,1,0),IF($H12="Not in Conservative",IF(2=2,0,1),1)))*(1-INDEX(Vacancy,2))*(1+IF($D12="Full-time",INDEX(BenFT,2),INDEX(BenPT,2))+INDEX(TaxRate,2))</f>
        <v>63024.78</v>
      </c>
      <c r="W12" s="21" t="n">
        <f aca="false">$F12*$E12*(1+INDEX(Raise,3))*$I12/12*IF($H12="All",1,IF($H12="Growth only",IF(3=3,1,0),IF($H12="Not in Conservative",IF(3=2,0,1),1)))*(1-INDEX(Vacancy,3))*(1+IF($D12="Full-time",INDEX(BenFT,3),INDEX(BenPT,3))+INDEX(TaxRate,3))</f>
        <v>64430.82</v>
      </c>
    </row>
    <row r="13" customFormat="false" ht="15" hidden="false" customHeight="false" outlineLevel="0" collapsed="false">
      <c r="A13" s="42" t="s">
        <v>136</v>
      </c>
      <c r="B13" s="42" t="s">
        <v>37</v>
      </c>
      <c r="C13" s="42" t="s">
        <v>126</v>
      </c>
      <c r="D13" s="42" t="s">
        <v>127</v>
      </c>
      <c r="E13" s="43" t="n">
        <v>1</v>
      </c>
      <c r="F13" s="44" t="n">
        <v>62000</v>
      </c>
      <c r="G13" s="45" t="n">
        <v>1</v>
      </c>
      <c r="H13" s="46" t="s">
        <v>128</v>
      </c>
      <c r="I13" s="21" t="n">
        <f aca="false">13-G13</f>
        <v>12</v>
      </c>
      <c r="J13" s="47" t="n">
        <f aca="false">IF($H13="All",1,IF($H13="Growth only",IF(ScenNo=3,1,0),IF($H13="Not in Conservative",IF(ScenNo=2,0,1),1)))</f>
        <v>1</v>
      </c>
      <c r="K13" s="21" t="n">
        <f aca="false">$F13*$E13*(1+INDEX(Raise,ScenNo))*$I13/12*$J13*(1-INDEX(Vacancy,ScenNo))</f>
        <v>62582.8</v>
      </c>
      <c r="L13" s="21" t="n">
        <f aca="false">K13*IF($D13="Full-time",INDEX(BenFT,ScenNo),INDEX(BenPT,ScenNo))</f>
        <v>11577.818</v>
      </c>
      <c r="M13" s="21" t="n">
        <f aca="false">K13*INDEX(TaxRate,ScenNo)</f>
        <v>4944.0412</v>
      </c>
      <c r="N13" s="27" t="n">
        <f aca="false">SUM(K13:M13)</f>
        <v>79104.6592</v>
      </c>
      <c r="O13" s="48"/>
      <c r="P13" s="48"/>
      <c r="Q13" s="48"/>
      <c r="R13" s="48" t="n">
        <v>0.4</v>
      </c>
      <c r="S13" s="48" t="n">
        <v>0.6</v>
      </c>
      <c r="T13" s="49" t="str">
        <f aca="false">IF(ROUND(SUM(O13:S13),4)=1,"OK","Fix")</f>
        <v>OK</v>
      </c>
      <c r="U13" s="21" t="n">
        <f aca="false">$F13*$E13*(1+INDEX(Raise,1))*$I13/12*IF($H13="All",1,IF($H13="Growth only",IF(1=3,1,0),IF($H13="Not in Conservative",IF(1=2,0,1),1)))*(1-INDEX(Vacancy,1))*(1+IF($D13="Full-time",INDEX(BenFT,1),INDEX(BenPT,1))+INDEX(TaxRate,1))</f>
        <v>79104.6592</v>
      </c>
      <c r="V13" s="21" t="n">
        <f aca="false">$F13*$E13*(1+INDEX(Raise,2))*$I13/12*IF($H13="All",1,IF($H13="Growth only",IF(2=3,1,0),IF($H13="Not in Conservative",IF(2=2,0,1),1)))*(1-INDEX(Vacancy,2))*(1+IF($D13="Full-time",INDEX(BenFT,2),INDEX(BenPT,2))+INDEX(TaxRate,2))</f>
        <v>78150.7272</v>
      </c>
      <c r="W13" s="21" t="n">
        <f aca="false">$F13*$E13*(1+INDEX(Raise,3))*$I13/12*IF($H13="All",1,IF($H13="Growth only",IF(3=3,1,0),IF($H13="Not in Conservative",IF(3=2,0,1),1)))*(1-INDEX(Vacancy,3))*(1+IF($D13="Full-time",INDEX(BenFT,3),INDEX(BenPT,3))+INDEX(TaxRate,3))</f>
        <v>79894.2168</v>
      </c>
    </row>
    <row r="14" customFormat="false" ht="15" hidden="false" customHeight="false" outlineLevel="0" collapsed="false">
      <c r="A14" s="42" t="s">
        <v>137</v>
      </c>
      <c r="B14" s="42" t="s">
        <v>37</v>
      </c>
      <c r="C14" s="42" t="s">
        <v>126</v>
      </c>
      <c r="D14" s="42" t="s">
        <v>127</v>
      </c>
      <c r="E14" s="43" t="n">
        <v>1</v>
      </c>
      <c r="F14" s="44" t="n">
        <v>78000</v>
      </c>
      <c r="G14" s="45" t="n">
        <v>1</v>
      </c>
      <c r="H14" s="46" t="s">
        <v>128</v>
      </c>
      <c r="I14" s="21" t="n">
        <f aca="false">13-G14</f>
        <v>12</v>
      </c>
      <c r="J14" s="47" t="n">
        <f aca="false">IF($H14="All",1,IF($H14="Growth only",IF(ScenNo=3,1,0),IF($H14="Not in Conservative",IF(ScenNo=2,0,1),1)))</f>
        <v>1</v>
      </c>
      <c r="K14" s="21" t="n">
        <f aca="false">$F14*$E14*(1+INDEX(Raise,ScenNo))*$I14/12*$J14*(1-INDEX(Vacancy,ScenNo))</f>
        <v>78733.2</v>
      </c>
      <c r="L14" s="21" t="n">
        <f aca="false">K14*IF($D14="Full-time",INDEX(BenFT,ScenNo),INDEX(BenPT,ScenNo))</f>
        <v>14565.642</v>
      </c>
      <c r="M14" s="21" t="n">
        <f aca="false">K14*INDEX(TaxRate,ScenNo)</f>
        <v>6219.9228</v>
      </c>
      <c r="N14" s="27" t="n">
        <f aca="false">SUM(K14:M14)</f>
        <v>99518.7648</v>
      </c>
      <c r="O14" s="48"/>
      <c r="P14" s="48"/>
      <c r="Q14" s="48"/>
      <c r="R14" s="48"/>
      <c r="S14" s="48" t="n">
        <v>1</v>
      </c>
      <c r="T14" s="49" t="str">
        <f aca="false">IF(ROUND(SUM(O14:S14),4)=1,"OK","Fix")</f>
        <v>OK</v>
      </c>
      <c r="U14" s="21" t="n">
        <f aca="false">$F14*$E14*(1+INDEX(Raise,1))*$I14/12*IF($H14="All",1,IF($H14="Growth only",IF(1=3,1,0),IF($H14="Not in Conservative",IF(1=2,0,1),1)))*(1-INDEX(Vacancy,1))*(1+IF($D14="Full-time",INDEX(BenFT,1),INDEX(BenPT,1))+INDEX(TaxRate,1))</f>
        <v>99518.7648</v>
      </c>
      <c r="V14" s="21" t="n">
        <f aca="false">$F14*$E14*(1+INDEX(Raise,2))*$I14/12*IF($H14="All",1,IF($H14="Growth only",IF(2=3,1,0),IF($H14="Not in Conservative",IF(2=2,0,1),1)))*(1-INDEX(Vacancy,2))*(1+IF($D14="Full-time",INDEX(BenFT,2),INDEX(BenPT,2))+INDEX(TaxRate,2))</f>
        <v>98318.6568</v>
      </c>
      <c r="W14" s="21" t="n">
        <f aca="false">$F14*$E14*(1+INDEX(Raise,3))*$I14/12*IF($H14="All",1,IF($H14="Growth only",IF(3=3,1,0),IF($H14="Not in Conservative",IF(3=2,0,1),1)))*(1-INDEX(Vacancy,3))*(1+IF($D14="Full-time",INDEX(BenFT,3),INDEX(BenPT,3))+INDEX(TaxRate,3))</f>
        <v>100512.0792</v>
      </c>
    </row>
    <row r="15" customFormat="false" ht="15" hidden="false" customHeight="false" outlineLevel="0" collapsed="false">
      <c r="A15" s="42" t="s">
        <v>138</v>
      </c>
      <c r="B15" s="42" t="s">
        <v>37</v>
      </c>
      <c r="C15" s="42" t="s">
        <v>126</v>
      </c>
      <c r="D15" s="42" t="s">
        <v>127</v>
      </c>
      <c r="E15" s="43" t="n">
        <v>1</v>
      </c>
      <c r="F15" s="44" t="n">
        <v>47000</v>
      </c>
      <c r="G15" s="45" t="n">
        <v>1</v>
      </c>
      <c r="H15" s="46" t="s">
        <v>128</v>
      </c>
      <c r="I15" s="21" t="n">
        <f aca="false">13-G15</f>
        <v>12</v>
      </c>
      <c r="J15" s="47" t="n">
        <f aca="false">IF($H15="All",1,IF($H15="Growth only",IF(ScenNo=3,1,0),IF($H15="Not in Conservative",IF(ScenNo=2,0,1),1)))</f>
        <v>1</v>
      </c>
      <c r="K15" s="21" t="n">
        <f aca="false">$F15*$E15*(1+INDEX(Raise,ScenNo))*$I15/12*$J15*(1-INDEX(Vacancy,ScenNo))</f>
        <v>47441.8</v>
      </c>
      <c r="L15" s="21" t="n">
        <f aca="false">K15*IF($D15="Full-time",INDEX(BenFT,ScenNo),INDEX(BenPT,ScenNo))</f>
        <v>8776.733</v>
      </c>
      <c r="M15" s="21" t="n">
        <f aca="false">K15*INDEX(TaxRate,ScenNo)</f>
        <v>3747.9022</v>
      </c>
      <c r="N15" s="27" t="n">
        <f aca="false">SUM(K15:M15)</f>
        <v>59966.4352</v>
      </c>
      <c r="O15" s="48"/>
      <c r="P15" s="48"/>
      <c r="Q15" s="48"/>
      <c r="R15" s="48"/>
      <c r="S15" s="48" t="n">
        <v>1</v>
      </c>
      <c r="T15" s="49" t="str">
        <f aca="false">IF(ROUND(SUM(O15:S15),4)=1,"OK","Fix")</f>
        <v>OK</v>
      </c>
      <c r="U15" s="21" t="n">
        <f aca="false">$F15*$E15*(1+INDEX(Raise,1))*$I15/12*IF($H15="All",1,IF($H15="Growth only",IF(1=3,1,0),IF($H15="Not in Conservative",IF(1=2,0,1),1)))*(1-INDEX(Vacancy,1))*(1+IF($D15="Full-time",INDEX(BenFT,1),INDEX(BenPT,1))+INDEX(TaxRate,1))</f>
        <v>59966.4352</v>
      </c>
      <c r="V15" s="21" t="n">
        <f aca="false">$F15*$E15*(1+INDEX(Raise,2))*$I15/12*IF($H15="All",1,IF($H15="Growth only",IF(2=3,1,0),IF($H15="Not in Conservative",IF(2=2,0,1),1)))*(1-INDEX(Vacancy,2))*(1+IF($D15="Full-time",INDEX(BenFT,2),INDEX(BenPT,2))+INDEX(TaxRate,2))</f>
        <v>59243.2932</v>
      </c>
      <c r="W15" s="21" t="n">
        <f aca="false">$F15*$E15*(1+INDEX(Raise,3))*$I15/12*IF($H15="All",1,IF($H15="Growth only",IF(3=3,1,0),IF($H15="Not in Conservative",IF(3=2,0,1),1)))*(1-INDEX(Vacancy,3))*(1+IF($D15="Full-time",INDEX(BenFT,3),INDEX(BenPT,3))+INDEX(TaxRate,3))</f>
        <v>60564.9708</v>
      </c>
    </row>
    <row r="16" customFormat="false" ht="15" hidden="false" customHeight="false" outlineLevel="0" collapsed="false">
      <c r="A16" s="42" t="s">
        <v>139</v>
      </c>
      <c r="B16" s="42" t="s">
        <v>37</v>
      </c>
      <c r="C16" s="42" t="s">
        <v>126</v>
      </c>
      <c r="D16" s="42" t="s">
        <v>131</v>
      </c>
      <c r="E16" s="43" t="n">
        <v>0.5</v>
      </c>
      <c r="F16" s="44" t="n">
        <v>52000</v>
      </c>
      <c r="G16" s="45" t="n">
        <v>1</v>
      </c>
      <c r="H16" s="46" t="s">
        <v>128</v>
      </c>
      <c r="I16" s="21" t="n">
        <f aca="false">13-G16</f>
        <v>12</v>
      </c>
      <c r="J16" s="47" t="n">
        <f aca="false">IF($H16="All",1,IF($H16="Growth only",IF(ScenNo=3,1,0),IF($H16="Not in Conservative",IF(ScenNo=2,0,1),1)))</f>
        <v>1</v>
      </c>
      <c r="K16" s="21" t="n">
        <f aca="false">$F16*$E16*(1+INDEX(Raise,ScenNo))*$I16/12*$J16*(1-INDEX(Vacancy,ScenNo))</f>
        <v>26244.4</v>
      </c>
      <c r="L16" s="21" t="n">
        <f aca="false">K16*IF($D16="Full-time",INDEX(BenFT,ScenNo),INDEX(BenPT,ScenNo))</f>
        <v>524.888</v>
      </c>
      <c r="M16" s="21" t="n">
        <f aca="false">K16*INDEX(TaxRate,ScenNo)</f>
        <v>2073.3076</v>
      </c>
      <c r="N16" s="27" t="n">
        <f aca="false">SUM(K16:M16)</f>
        <v>28842.5956</v>
      </c>
      <c r="O16" s="48"/>
      <c r="P16" s="48"/>
      <c r="Q16" s="48"/>
      <c r="R16" s="48" t="n">
        <v>0.4</v>
      </c>
      <c r="S16" s="48" t="n">
        <v>0.6</v>
      </c>
      <c r="T16" s="49" t="str">
        <f aca="false">IF(ROUND(SUM(O16:S16),4)=1,"OK","Fix")</f>
        <v>OK</v>
      </c>
      <c r="U16" s="21" t="n">
        <f aca="false">$F16*$E16*(1+INDEX(Raise,1))*$I16/12*IF($H16="All",1,IF($H16="Growth only",IF(1=3,1,0),IF($H16="Not in Conservative",IF(1=2,0,1),1)))*(1-INDEX(Vacancy,1))*(1+IF($D16="Full-time",INDEX(BenFT,1),INDEX(BenPT,1))+INDEX(TaxRate,1))</f>
        <v>28842.5956</v>
      </c>
      <c r="V16" s="21" t="n">
        <f aca="false">$F16*$E16*(1+INDEX(Raise,2))*$I16/12*IF($H16="All",1,IF($H16="Growth only",IF(2=3,1,0),IF($H16="Not in Conservative",IF(2=2,0,1),1)))*(1-INDEX(Vacancy,2))*(1+IF($D16="Full-time",INDEX(BenFT,2),INDEX(BenPT,2))+INDEX(TaxRate,2))</f>
        <v>28271.1156</v>
      </c>
      <c r="W16" s="21" t="n">
        <f aca="false">$F16*$E16*(1+INDEX(Raise,3))*$I16/12*IF($H16="All",1,IF($H16="Growth only",IF(3=3,1,0),IF($H16="Not in Conservative",IF(3=2,0,1),1)))*(1-INDEX(Vacancy,3))*(1+IF($D16="Full-time",INDEX(BenFT,3),INDEX(BenPT,3))+INDEX(TaxRate,3))</f>
        <v>29130.47865</v>
      </c>
    </row>
    <row r="17" customFormat="false" ht="15" hidden="false" customHeight="false" outlineLevel="0" collapsed="false">
      <c r="A17" s="42" t="s">
        <v>140</v>
      </c>
      <c r="B17" s="42" t="s">
        <v>33</v>
      </c>
      <c r="C17" s="42" t="s">
        <v>126</v>
      </c>
      <c r="D17" s="42" t="s">
        <v>127</v>
      </c>
      <c r="E17" s="43" t="n">
        <v>1</v>
      </c>
      <c r="F17" s="44" t="n">
        <v>74000</v>
      </c>
      <c r="G17" s="45" t="n">
        <v>1</v>
      </c>
      <c r="H17" s="46" t="s">
        <v>128</v>
      </c>
      <c r="I17" s="21" t="n">
        <f aca="false">13-G17</f>
        <v>12</v>
      </c>
      <c r="J17" s="47" t="n">
        <f aca="false">IF($H17="All",1,IF($H17="Growth only",IF(ScenNo=3,1,0),IF($H17="Not in Conservative",IF(ScenNo=2,0,1),1)))</f>
        <v>1</v>
      </c>
      <c r="K17" s="21" t="n">
        <f aca="false">$F17*$E17*(1+INDEX(Raise,ScenNo))*$I17/12*$J17*(1-INDEX(Vacancy,ScenNo))</f>
        <v>74695.6</v>
      </c>
      <c r="L17" s="21" t="n">
        <f aca="false">K17*IF($D17="Full-time",INDEX(BenFT,ScenNo),INDEX(BenPT,ScenNo))</f>
        <v>13818.686</v>
      </c>
      <c r="M17" s="21" t="n">
        <f aca="false">K17*INDEX(TaxRate,ScenNo)</f>
        <v>5900.9524</v>
      </c>
      <c r="N17" s="27" t="n">
        <f aca="false">SUM(K17:M17)</f>
        <v>94415.2384</v>
      </c>
      <c r="O17" s="48" t="n">
        <v>1</v>
      </c>
      <c r="P17" s="48"/>
      <c r="Q17" s="48"/>
      <c r="R17" s="48"/>
      <c r="S17" s="48"/>
      <c r="T17" s="49" t="str">
        <f aca="false">IF(ROUND(SUM(O17:S17),4)=1,"OK","Fix")</f>
        <v>OK</v>
      </c>
      <c r="U17" s="21" t="n">
        <f aca="false">$F17*$E17*(1+INDEX(Raise,1))*$I17/12*IF($H17="All",1,IF($H17="Growth only",IF(1=3,1,0),IF($H17="Not in Conservative",IF(1=2,0,1),1)))*(1-INDEX(Vacancy,1))*(1+IF($D17="Full-time",INDEX(BenFT,1),INDEX(BenPT,1))+INDEX(TaxRate,1))</f>
        <v>94415.2384</v>
      </c>
      <c r="V17" s="21" t="n">
        <f aca="false">$F17*$E17*(1+INDEX(Raise,2))*$I17/12*IF($H17="All",1,IF($H17="Growth only",IF(2=3,1,0),IF($H17="Not in Conservative",IF(2=2,0,1),1)))*(1-INDEX(Vacancy,2))*(1+IF($D17="Full-time",INDEX(BenFT,2),INDEX(BenPT,2))+INDEX(TaxRate,2))</f>
        <v>93276.6744</v>
      </c>
      <c r="W17" s="21" t="n">
        <f aca="false">$F17*$E17*(1+INDEX(Raise,3))*$I17/12*IF($H17="All",1,IF($H17="Growth only",IF(3=3,1,0),IF($H17="Not in Conservative",IF(3=2,0,1),1)))*(1-INDEX(Vacancy,3))*(1+IF($D17="Full-time",INDEX(BenFT,3),INDEX(BenPT,3))+INDEX(TaxRate,3))</f>
        <v>95357.6136</v>
      </c>
    </row>
    <row r="18" customFormat="false" ht="15" hidden="false" customHeight="false" outlineLevel="0" collapsed="false">
      <c r="A18" s="42" t="s">
        <v>141</v>
      </c>
      <c r="B18" s="42" t="s">
        <v>33</v>
      </c>
      <c r="C18" s="42" t="s">
        <v>126</v>
      </c>
      <c r="D18" s="42" t="s">
        <v>127</v>
      </c>
      <c r="E18" s="43" t="n">
        <v>1</v>
      </c>
      <c r="F18" s="44" t="n">
        <v>46500</v>
      </c>
      <c r="G18" s="45" t="n">
        <v>1</v>
      </c>
      <c r="H18" s="46" t="s">
        <v>128</v>
      </c>
      <c r="I18" s="21" t="n">
        <f aca="false">13-G18</f>
        <v>12</v>
      </c>
      <c r="J18" s="47" t="n">
        <f aca="false">IF($H18="All",1,IF($H18="Growth only",IF(ScenNo=3,1,0),IF($H18="Not in Conservative",IF(ScenNo=2,0,1),1)))</f>
        <v>1</v>
      </c>
      <c r="K18" s="21" t="n">
        <f aca="false">$F18*$E18*(1+INDEX(Raise,ScenNo))*$I18/12*$J18*(1-INDEX(Vacancy,ScenNo))</f>
        <v>46937.1</v>
      </c>
      <c r="L18" s="21" t="n">
        <f aca="false">K18*IF($D18="Full-time",INDEX(BenFT,ScenNo),INDEX(BenPT,ScenNo))</f>
        <v>8683.3635</v>
      </c>
      <c r="M18" s="21" t="n">
        <f aca="false">K18*INDEX(TaxRate,ScenNo)</f>
        <v>3708.0309</v>
      </c>
      <c r="N18" s="27" t="n">
        <f aca="false">SUM(K18:M18)</f>
        <v>59328.4944</v>
      </c>
      <c r="O18" s="48" t="n">
        <v>1</v>
      </c>
      <c r="P18" s="48"/>
      <c r="Q18" s="48"/>
      <c r="R18" s="48"/>
      <c r="S18" s="48"/>
      <c r="T18" s="49" t="str">
        <f aca="false">IF(ROUND(SUM(O18:S18),4)=1,"OK","Fix")</f>
        <v>OK</v>
      </c>
      <c r="U18" s="21" t="n">
        <f aca="false">$F18*$E18*(1+INDEX(Raise,1))*$I18/12*IF($H18="All",1,IF($H18="Growth only",IF(1=3,1,0),IF($H18="Not in Conservative",IF(1=2,0,1),1)))*(1-INDEX(Vacancy,1))*(1+IF($D18="Full-time",INDEX(BenFT,1),INDEX(BenPT,1))+INDEX(TaxRate,1))</f>
        <v>59328.4944</v>
      </c>
      <c r="V18" s="21" t="n">
        <f aca="false">$F18*$E18*(1+INDEX(Raise,2))*$I18/12*IF($H18="All",1,IF($H18="Growth only",IF(2=3,1,0),IF($H18="Not in Conservative",IF(2=2,0,1),1)))*(1-INDEX(Vacancy,2))*(1+IF($D18="Full-time",INDEX(BenFT,2),INDEX(BenPT,2))+INDEX(TaxRate,2))</f>
        <v>58613.0454</v>
      </c>
      <c r="W18" s="21" t="n">
        <f aca="false">$F18*$E18*(1+INDEX(Raise,3))*$I18/12*IF($H18="All",1,IF($H18="Growth only",IF(3=3,1,0),IF($H18="Not in Conservative",IF(3=2,0,1),1)))*(1-INDEX(Vacancy,3))*(1+IF($D18="Full-time",INDEX(BenFT,3),INDEX(BenPT,3))+INDEX(TaxRate,3))</f>
        <v>59920.6626</v>
      </c>
    </row>
    <row r="19" customFormat="false" ht="15" hidden="false" customHeight="false" outlineLevel="0" collapsed="false">
      <c r="A19" s="42" t="s">
        <v>141</v>
      </c>
      <c r="B19" s="42" t="s">
        <v>33</v>
      </c>
      <c r="C19" s="42" t="s">
        <v>126</v>
      </c>
      <c r="D19" s="42" t="s">
        <v>127</v>
      </c>
      <c r="E19" s="43" t="n">
        <v>1</v>
      </c>
      <c r="F19" s="44" t="n">
        <v>45800</v>
      </c>
      <c r="G19" s="45" t="n">
        <v>1</v>
      </c>
      <c r="H19" s="46" t="s">
        <v>128</v>
      </c>
      <c r="I19" s="21" t="n">
        <f aca="false">13-G19</f>
        <v>12</v>
      </c>
      <c r="J19" s="47" t="n">
        <f aca="false">IF($H19="All",1,IF($H19="Growth only",IF(ScenNo=3,1,0),IF($H19="Not in Conservative",IF(ScenNo=2,0,1),1)))</f>
        <v>1</v>
      </c>
      <c r="K19" s="21" t="n">
        <f aca="false">$F19*$E19*(1+INDEX(Raise,ScenNo))*$I19/12*$J19*(1-INDEX(Vacancy,ScenNo))</f>
        <v>46230.52</v>
      </c>
      <c r="L19" s="21" t="n">
        <f aca="false">K19*IF($D19="Full-time",INDEX(BenFT,ScenNo),INDEX(BenPT,ScenNo))</f>
        <v>8552.6462</v>
      </c>
      <c r="M19" s="21" t="n">
        <f aca="false">K19*INDEX(TaxRate,ScenNo)</f>
        <v>3652.21108</v>
      </c>
      <c r="N19" s="27" t="n">
        <f aca="false">SUM(K19:M19)</f>
        <v>58435.37728</v>
      </c>
      <c r="O19" s="48" t="n">
        <v>1</v>
      </c>
      <c r="P19" s="48"/>
      <c r="Q19" s="48"/>
      <c r="R19" s="48"/>
      <c r="S19" s="48"/>
      <c r="T19" s="49" t="str">
        <f aca="false">IF(ROUND(SUM(O19:S19),4)=1,"OK","Fix")</f>
        <v>OK</v>
      </c>
      <c r="U19" s="21" t="n">
        <f aca="false">$F19*$E19*(1+INDEX(Raise,1))*$I19/12*IF($H19="All",1,IF($H19="Growth only",IF(1=3,1,0),IF($H19="Not in Conservative",IF(1=2,0,1),1)))*(1-INDEX(Vacancy,1))*(1+IF($D19="Full-time",INDEX(BenFT,1),INDEX(BenPT,1))+INDEX(TaxRate,1))</f>
        <v>58435.37728</v>
      </c>
      <c r="V19" s="21" t="n">
        <f aca="false">$F19*$E19*(1+INDEX(Raise,2))*$I19/12*IF($H19="All",1,IF($H19="Growth only",IF(2=3,1,0),IF($H19="Not in Conservative",IF(2=2,0,1),1)))*(1-INDEX(Vacancy,2))*(1+IF($D19="Full-time",INDEX(BenFT,2),INDEX(BenPT,2))+INDEX(TaxRate,2))</f>
        <v>57730.69848</v>
      </c>
      <c r="W19" s="21" t="n">
        <f aca="false">$F19*$E19*(1+INDEX(Raise,3))*$I19/12*IF($H19="All",1,IF($H19="Growth only",IF(3=3,1,0),IF($H19="Not in Conservative",IF(3=2,0,1),1)))*(1-INDEX(Vacancy,3))*(1+IF($D19="Full-time",INDEX(BenFT,3),INDEX(BenPT,3))+INDEX(TaxRate,3))</f>
        <v>59018.63112</v>
      </c>
    </row>
    <row r="20" customFormat="false" ht="15" hidden="false" customHeight="false" outlineLevel="0" collapsed="false">
      <c r="A20" s="42" t="s">
        <v>141</v>
      </c>
      <c r="B20" s="42" t="s">
        <v>33</v>
      </c>
      <c r="C20" s="42" t="s">
        <v>126</v>
      </c>
      <c r="D20" s="42" t="s">
        <v>127</v>
      </c>
      <c r="E20" s="43" t="n">
        <v>1</v>
      </c>
      <c r="F20" s="44" t="n">
        <v>47200</v>
      </c>
      <c r="G20" s="45" t="n">
        <v>1</v>
      </c>
      <c r="H20" s="46" t="s">
        <v>128</v>
      </c>
      <c r="I20" s="21" t="n">
        <f aca="false">13-G20</f>
        <v>12</v>
      </c>
      <c r="J20" s="47" t="n">
        <f aca="false">IF($H20="All",1,IF($H20="Growth only",IF(ScenNo=3,1,0),IF($H20="Not in Conservative",IF(ScenNo=2,0,1),1)))</f>
        <v>1</v>
      </c>
      <c r="K20" s="21" t="n">
        <f aca="false">$F20*$E20*(1+INDEX(Raise,ScenNo))*$I20/12*$J20*(1-INDEX(Vacancy,ScenNo))</f>
        <v>47643.68</v>
      </c>
      <c r="L20" s="21" t="n">
        <f aca="false">K20*IF($D20="Full-time",INDEX(BenFT,ScenNo),INDEX(BenPT,ScenNo))</f>
        <v>8814.0808</v>
      </c>
      <c r="M20" s="21" t="n">
        <f aca="false">K20*INDEX(TaxRate,ScenNo)</f>
        <v>3763.85072</v>
      </c>
      <c r="N20" s="27" t="n">
        <f aca="false">SUM(K20:M20)</f>
        <v>60221.61152</v>
      </c>
      <c r="O20" s="48" t="n">
        <v>1</v>
      </c>
      <c r="P20" s="48"/>
      <c r="Q20" s="48"/>
      <c r="R20" s="48"/>
      <c r="S20" s="48"/>
      <c r="T20" s="49" t="str">
        <f aca="false">IF(ROUND(SUM(O20:S20),4)=1,"OK","Fix")</f>
        <v>OK</v>
      </c>
      <c r="U20" s="21" t="n">
        <f aca="false">$F20*$E20*(1+INDEX(Raise,1))*$I20/12*IF($H20="All",1,IF($H20="Growth only",IF(1=3,1,0),IF($H20="Not in Conservative",IF(1=2,0,1),1)))*(1-INDEX(Vacancy,1))*(1+IF($D20="Full-time",INDEX(BenFT,1),INDEX(BenPT,1))+INDEX(TaxRate,1))</f>
        <v>60221.61152</v>
      </c>
      <c r="V20" s="21" t="n">
        <f aca="false">$F20*$E20*(1+INDEX(Raise,2))*$I20/12*IF($H20="All",1,IF($H20="Growth only",IF(2=3,1,0),IF($H20="Not in Conservative",IF(2=2,0,1),1)))*(1-INDEX(Vacancy,2))*(1+IF($D20="Full-time",INDEX(BenFT,2),INDEX(BenPT,2))+INDEX(TaxRate,2))</f>
        <v>59495.39232</v>
      </c>
      <c r="W20" s="21" t="n">
        <f aca="false">$F20*$E20*(1+INDEX(Raise,3))*$I20/12*IF($H20="All",1,IF($H20="Growth only",IF(3=3,1,0),IF($H20="Not in Conservative",IF(3=2,0,1),1)))*(1-INDEX(Vacancy,3))*(1+IF($D20="Full-time",INDEX(BenFT,3),INDEX(BenPT,3))+INDEX(TaxRate,3))</f>
        <v>60822.69408</v>
      </c>
    </row>
    <row r="21" customFormat="false" ht="15" hidden="false" customHeight="false" outlineLevel="0" collapsed="false">
      <c r="A21" s="42" t="s">
        <v>141</v>
      </c>
      <c r="B21" s="42" t="s">
        <v>33</v>
      </c>
      <c r="C21" s="42" t="s">
        <v>126</v>
      </c>
      <c r="D21" s="42" t="s">
        <v>127</v>
      </c>
      <c r="E21" s="43" t="n">
        <v>1</v>
      </c>
      <c r="F21" s="44" t="n">
        <v>44900</v>
      </c>
      <c r="G21" s="45" t="n">
        <v>1</v>
      </c>
      <c r="H21" s="46" t="s">
        <v>128</v>
      </c>
      <c r="I21" s="21" t="n">
        <f aca="false">13-G21</f>
        <v>12</v>
      </c>
      <c r="J21" s="47" t="n">
        <f aca="false">IF($H21="All",1,IF($H21="Growth only",IF(ScenNo=3,1,0),IF($H21="Not in Conservative",IF(ScenNo=2,0,1),1)))</f>
        <v>1</v>
      </c>
      <c r="K21" s="21" t="n">
        <f aca="false">$F21*$E21*(1+INDEX(Raise,ScenNo))*$I21/12*$J21*(1-INDEX(Vacancy,ScenNo))</f>
        <v>45322.06</v>
      </c>
      <c r="L21" s="21" t="n">
        <f aca="false">K21*IF($D21="Full-time",INDEX(BenFT,ScenNo),INDEX(BenPT,ScenNo))</f>
        <v>8384.5811</v>
      </c>
      <c r="M21" s="21" t="n">
        <f aca="false">K21*INDEX(TaxRate,ScenNo)</f>
        <v>3580.44274</v>
      </c>
      <c r="N21" s="27" t="n">
        <f aca="false">SUM(K21:M21)</f>
        <v>57287.08384</v>
      </c>
      <c r="O21" s="48" t="n">
        <v>1</v>
      </c>
      <c r="P21" s="48"/>
      <c r="Q21" s="48"/>
      <c r="R21" s="48"/>
      <c r="S21" s="48"/>
      <c r="T21" s="49" t="str">
        <f aca="false">IF(ROUND(SUM(O21:S21),4)=1,"OK","Fix")</f>
        <v>OK</v>
      </c>
      <c r="U21" s="21" t="n">
        <f aca="false">$F21*$E21*(1+INDEX(Raise,1))*$I21/12*IF($H21="All",1,IF($H21="Growth only",IF(1=3,1,0),IF($H21="Not in Conservative",IF(1=2,0,1),1)))*(1-INDEX(Vacancy,1))*(1+IF($D21="Full-time",INDEX(BenFT,1),INDEX(BenPT,1))+INDEX(TaxRate,1))</f>
        <v>57287.08384</v>
      </c>
      <c r="V21" s="21" t="n">
        <f aca="false">$F21*$E21*(1+INDEX(Raise,2))*$I21/12*IF($H21="All",1,IF($H21="Growth only",IF(2=3,1,0),IF($H21="Not in Conservative",IF(2=2,0,1),1)))*(1-INDEX(Vacancy,2))*(1+IF($D21="Full-time",INDEX(BenFT,2),INDEX(BenPT,2))+INDEX(TaxRate,2))</f>
        <v>56596.25244</v>
      </c>
      <c r="W21" s="21" t="n">
        <f aca="false">$F21*$E21*(1+INDEX(Raise,3))*$I21/12*IF($H21="All",1,IF($H21="Growth only",IF(3=3,1,0),IF($H21="Not in Conservative",IF(3=2,0,1),1)))*(1-INDEX(Vacancy,3))*(1+IF($D21="Full-time",INDEX(BenFT,3),INDEX(BenPT,3))+INDEX(TaxRate,3))</f>
        <v>57858.87636</v>
      </c>
    </row>
    <row r="22" customFormat="false" ht="15" hidden="false" customHeight="false" outlineLevel="0" collapsed="false">
      <c r="A22" s="42" t="s">
        <v>141</v>
      </c>
      <c r="B22" s="42" t="s">
        <v>33</v>
      </c>
      <c r="C22" s="42" t="s">
        <v>126</v>
      </c>
      <c r="D22" s="42" t="s">
        <v>127</v>
      </c>
      <c r="E22" s="43" t="n">
        <v>1</v>
      </c>
      <c r="F22" s="44" t="n">
        <v>45200</v>
      </c>
      <c r="G22" s="45" t="n">
        <v>1</v>
      </c>
      <c r="H22" s="46" t="s">
        <v>128</v>
      </c>
      <c r="I22" s="21" t="n">
        <f aca="false">13-G22</f>
        <v>12</v>
      </c>
      <c r="J22" s="47" t="n">
        <f aca="false">IF($H22="All",1,IF($H22="Growth only",IF(ScenNo=3,1,0),IF($H22="Not in Conservative",IF(ScenNo=2,0,1),1)))</f>
        <v>1</v>
      </c>
      <c r="K22" s="21" t="n">
        <f aca="false">$F22*$E22*(1+INDEX(Raise,ScenNo))*$I22/12*$J22*(1-INDEX(Vacancy,ScenNo))</f>
        <v>45624.88</v>
      </c>
      <c r="L22" s="21" t="n">
        <f aca="false">K22*IF($D22="Full-time",INDEX(BenFT,ScenNo),INDEX(BenPT,ScenNo))</f>
        <v>8440.6028</v>
      </c>
      <c r="M22" s="21" t="n">
        <f aca="false">K22*INDEX(TaxRate,ScenNo)</f>
        <v>3604.36552</v>
      </c>
      <c r="N22" s="27" t="n">
        <f aca="false">SUM(K22:M22)</f>
        <v>57669.84832</v>
      </c>
      <c r="O22" s="48" t="n">
        <v>1</v>
      </c>
      <c r="P22" s="48"/>
      <c r="Q22" s="48"/>
      <c r="R22" s="48"/>
      <c r="S22" s="48"/>
      <c r="T22" s="49" t="str">
        <f aca="false">IF(ROUND(SUM(O22:S22),4)=1,"OK","Fix")</f>
        <v>OK</v>
      </c>
      <c r="U22" s="21" t="n">
        <f aca="false">$F22*$E22*(1+INDEX(Raise,1))*$I22/12*IF($H22="All",1,IF($H22="Growth only",IF(1=3,1,0),IF($H22="Not in Conservative",IF(1=2,0,1),1)))*(1-INDEX(Vacancy,1))*(1+IF($D22="Full-time",INDEX(BenFT,1),INDEX(BenPT,1))+INDEX(TaxRate,1))</f>
        <v>57669.84832</v>
      </c>
      <c r="V22" s="21" t="n">
        <f aca="false">$F22*$E22*(1+INDEX(Raise,2))*$I22/12*IF($H22="All",1,IF($H22="Growth only",IF(2=3,1,0),IF($H22="Not in Conservative",IF(2=2,0,1),1)))*(1-INDEX(Vacancy,2))*(1+IF($D22="Full-time",INDEX(BenFT,2),INDEX(BenPT,2))+INDEX(TaxRate,2))</f>
        <v>56974.40112</v>
      </c>
      <c r="W22" s="21" t="n">
        <f aca="false">$F22*$E22*(1+INDEX(Raise,3))*$I22/12*IF($H22="All",1,IF($H22="Growth only",IF(3=3,1,0),IF($H22="Not in Conservative",IF(3=2,0,1),1)))*(1-INDEX(Vacancy,3))*(1+IF($D22="Full-time",INDEX(BenFT,3),INDEX(BenPT,3))+INDEX(TaxRate,3))</f>
        <v>58245.46128</v>
      </c>
    </row>
    <row r="23" customFormat="false" ht="15" hidden="false" customHeight="false" outlineLevel="0" collapsed="false">
      <c r="A23" s="42" t="s">
        <v>141</v>
      </c>
      <c r="B23" s="42" t="s">
        <v>33</v>
      </c>
      <c r="C23" s="42" t="s">
        <v>126</v>
      </c>
      <c r="D23" s="42" t="s">
        <v>127</v>
      </c>
      <c r="E23" s="43" t="n">
        <v>1</v>
      </c>
      <c r="F23" s="44" t="n">
        <v>46100</v>
      </c>
      <c r="G23" s="45" t="n">
        <v>1</v>
      </c>
      <c r="H23" s="46" t="s">
        <v>128</v>
      </c>
      <c r="I23" s="21" t="n">
        <f aca="false">13-G23</f>
        <v>12</v>
      </c>
      <c r="J23" s="47" t="n">
        <f aca="false">IF($H23="All",1,IF($H23="Growth only",IF(ScenNo=3,1,0),IF($H23="Not in Conservative",IF(ScenNo=2,0,1),1)))</f>
        <v>1</v>
      </c>
      <c r="K23" s="21" t="n">
        <f aca="false">$F23*$E23*(1+INDEX(Raise,ScenNo))*$I23/12*$J23*(1-INDEX(Vacancy,ScenNo))</f>
        <v>46533.34</v>
      </c>
      <c r="L23" s="21" t="n">
        <f aca="false">K23*IF($D23="Full-time",INDEX(BenFT,ScenNo),INDEX(BenPT,ScenNo))</f>
        <v>8608.6679</v>
      </c>
      <c r="M23" s="21" t="n">
        <f aca="false">K23*INDEX(TaxRate,ScenNo)</f>
        <v>3676.13386</v>
      </c>
      <c r="N23" s="27" t="n">
        <f aca="false">SUM(K23:M23)</f>
        <v>58818.14176</v>
      </c>
      <c r="O23" s="48" t="n">
        <v>1</v>
      </c>
      <c r="P23" s="48"/>
      <c r="Q23" s="48"/>
      <c r="R23" s="48"/>
      <c r="S23" s="48"/>
      <c r="T23" s="49" t="str">
        <f aca="false">IF(ROUND(SUM(O23:S23),4)=1,"OK","Fix")</f>
        <v>OK</v>
      </c>
      <c r="U23" s="21" t="n">
        <f aca="false">$F23*$E23*(1+INDEX(Raise,1))*$I23/12*IF($H23="All",1,IF($H23="Growth only",IF(1=3,1,0),IF($H23="Not in Conservative",IF(1=2,0,1),1)))*(1-INDEX(Vacancy,1))*(1+IF($D23="Full-time",INDEX(BenFT,1),INDEX(BenPT,1))+INDEX(TaxRate,1))</f>
        <v>58818.14176</v>
      </c>
      <c r="V23" s="21" t="n">
        <f aca="false">$F23*$E23*(1+INDEX(Raise,2))*$I23/12*IF($H23="All",1,IF($H23="Growth only",IF(2=3,1,0),IF($H23="Not in Conservative",IF(2=2,0,1),1)))*(1-INDEX(Vacancy,2))*(1+IF($D23="Full-time",INDEX(BenFT,2),INDEX(BenPT,2))+INDEX(TaxRate,2))</f>
        <v>58108.84716</v>
      </c>
      <c r="W23" s="21" t="n">
        <f aca="false">$F23*$E23*(1+INDEX(Raise,3))*$I23/12*IF($H23="All",1,IF($H23="Growth only",IF(3=3,1,0),IF($H23="Not in Conservative",IF(3=2,0,1),1)))*(1-INDEX(Vacancy,3))*(1+IF($D23="Full-time",INDEX(BenFT,3),INDEX(BenPT,3))+INDEX(TaxRate,3))</f>
        <v>59405.21604</v>
      </c>
    </row>
    <row r="24" customFormat="false" ht="15" hidden="false" customHeight="false" outlineLevel="0" collapsed="false">
      <c r="A24" s="42" t="s">
        <v>141</v>
      </c>
      <c r="B24" s="42" t="s">
        <v>33</v>
      </c>
      <c r="C24" s="42" t="s">
        <v>142</v>
      </c>
      <c r="D24" s="42" t="s">
        <v>127</v>
      </c>
      <c r="E24" s="43" t="n">
        <v>1</v>
      </c>
      <c r="F24" s="44" t="n">
        <v>45000</v>
      </c>
      <c r="G24" s="45" t="n">
        <v>2</v>
      </c>
      <c r="H24" s="46" t="s">
        <v>128</v>
      </c>
      <c r="I24" s="21" t="n">
        <f aca="false">13-G24</f>
        <v>11</v>
      </c>
      <c r="J24" s="47" t="n">
        <f aca="false">IF($H24="All",1,IF($H24="Growth only",IF(ScenNo=3,1,0),IF($H24="Not in Conservative",IF(ScenNo=2,0,1),1)))</f>
        <v>1</v>
      </c>
      <c r="K24" s="21" t="n">
        <f aca="false">$F24*$E24*(1+INDEX(Raise,ScenNo))*$I24/12*$J24*(1-INDEX(Vacancy,ScenNo))</f>
        <v>41637.75</v>
      </c>
      <c r="L24" s="21" t="n">
        <f aca="false">K24*IF($D24="Full-time",INDEX(BenFT,ScenNo),INDEX(BenPT,ScenNo))</f>
        <v>7702.98375</v>
      </c>
      <c r="M24" s="21" t="n">
        <f aca="false">K24*INDEX(TaxRate,ScenNo)</f>
        <v>3289.38225</v>
      </c>
      <c r="N24" s="27" t="n">
        <f aca="false">SUM(K24:M24)</f>
        <v>52630.116</v>
      </c>
      <c r="O24" s="48" t="n">
        <v>1</v>
      </c>
      <c r="P24" s="48"/>
      <c r="Q24" s="48"/>
      <c r="R24" s="48"/>
      <c r="S24" s="48"/>
      <c r="T24" s="49" t="str">
        <f aca="false">IF(ROUND(SUM(O24:S24),4)=1,"OK","Fix")</f>
        <v>OK</v>
      </c>
      <c r="U24" s="21" t="n">
        <f aca="false">$F24*$E24*(1+INDEX(Raise,1))*$I24/12*IF($H24="All",1,IF($H24="Growth only",IF(1=3,1,0),IF($H24="Not in Conservative",IF(1=2,0,1),1)))*(1-INDEX(Vacancy,1))*(1+IF($D24="Full-time",INDEX(BenFT,1),INDEX(BenPT,1))+INDEX(TaxRate,1))</f>
        <v>52630.116</v>
      </c>
      <c r="V24" s="21" t="n">
        <f aca="false">$F24*$E24*(1+INDEX(Raise,2))*$I24/12*IF($H24="All",1,IF($H24="Growth only",IF(2=3,1,0),IF($H24="Not in Conservative",IF(2=2,0,1),1)))*(1-INDEX(Vacancy,2))*(1+IF($D24="Full-time",INDEX(BenFT,2),INDEX(BenPT,2))+INDEX(TaxRate,2))</f>
        <v>51995.4435</v>
      </c>
      <c r="W24" s="21" t="n">
        <f aca="false">$F24*$E24*(1+INDEX(Raise,3))*$I24/12*IF($H24="All",1,IF($H24="Growth only",IF(3=3,1,0),IF($H24="Not in Conservative",IF(3=2,0,1),1)))*(1-INDEX(Vacancy,3))*(1+IF($D24="Full-time",INDEX(BenFT,3),INDEX(BenPT,3))+INDEX(TaxRate,3))</f>
        <v>53155.4265</v>
      </c>
    </row>
    <row r="25" customFormat="false" ht="15" hidden="false" customHeight="false" outlineLevel="0" collapsed="false">
      <c r="A25" s="42" t="s">
        <v>143</v>
      </c>
      <c r="B25" s="42" t="s">
        <v>33</v>
      </c>
      <c r="C25" s="42" t="s">
        <v>126</v>
      </c>
      <c r="D25" s="42" t="s">
        <v>127</v>
      </c>
      <c r="E25" s="43" t="n">
        <v>1</v>
      </c>
      <c r="F25" s="44" t="n">
        <v>48500</v>
      </c>
      <c r="G25" s="45" t="n">
        <v>1</v>
      </c>
      <c r="H25" s="46" t="s">
        <v>128</v>
      </c>
      <c r="I25" s="21" t="n">
        <f aca="false">13-G25</f>
        <v>12</v>
      </c>
      <c r="J25" s="47" t="n">
        <f aca="false">IF($H25="All",1,IF($H25="Growth only",IF(ScenNo=3,1,0),IF($H25="Not in Conservative",IF(ScenNo=2,0,1),1)))</f>
        <v>1</v>
      </c>
      <c r="K25" s="21" t="n">
        <f aca="false">$F25*$E25*(1+INDEX(Raise,ScenNo))*$I25/12*$J25*(1-INDEX(Vacancy,ScenNo))</f>
        <v>48955.9</v>
      </c>
      <c r="L25" s="21" t="n">
        <f aca="false">K25*IF($D25="Full-time",INDEX(BenFT,ScenNo),INDEX(BenPT,ScenNo))</f>
        <v>9056.8415</v>
      </c>
      <c r="M25" s="21" t="n">
        <f aca="false">K25*INDEX(TaxRate,ScenNo)</f>
        <v>3867.5161</v>
      </c>
      <c r="N25" s="27" t="n">
        <f aca="false">SUM(K25:M25)</f>
        <v>61880.2576</v>
      </c>
      <c r="O25" s="48" t="n">
        <v>1</v>
      </c>
      <c r="P25" s="48"/>
      <c r="Q25" s="48"/>
      <c r="R25" s="48"/>
      <c r="S25" s="48"/>
      <c r="T25" s="49" t="str">
        <f aca="false">IF(ROUND(SUM(O25:S25),4)=1,"OK","Fix")</f>
        <v>OK</v>
      </c>
      <c r="U25" s="21" t="n">
        <f aca="false">$F25*$E25*(1+INDEX(Raise,1))*$I25/12*IF($H25="All",1,IF($H25="Growth only",IF(1=3,1,0),IF($H25="Not in Conservative",IF(1=2,0,1),1)))*(1-INDEX(Vacancy,1))*(1+IF($D25="Full-time",INDEX(BenFT,1),INDEX(BenPT,1))+INDEX(TaxRate,1))</f>
        <v>61880.2576</v>
      </c>
      <c r="V25" s="21" t="n">
        <f aca="false">$F25*$E25*(1+INDEX(Raise,2))*$I25/12*IF($H25="All",1,IF($H25="Growth only",IF(2=3,1,0),IF($H25="Not in Conservative",IF(2=2,0,1),1)))*(1-INDEX(Vacancy,2))*(1+IF($D25="Full-time",INDEX(BenFT,2),INDEX(BenPT,2))+INDEX(TaxRate,2))</f>
        <v>61134.0366</v>
      </c>
      <c r="W25" s="21" t="n">
        <f aca="false">$F25*$E25*(1+INDEX(Raise,3))*$I25/12*IF($H25="All",1,IF($H25="Growth only",IF(3=3,1,0),IF($H25="Not in Conservative",IF(3=2,0,1),1)))*(1-INDEX(Vacancy,3))*(1+IF($D25="Full-time",INDEX(BenFT,3),INDEX(BenPT,3))+INDEX(TaxRate,3))</f>
        <v>62497.8954</v>
      </c>
    </row>
    <row r="26" customFormat="false" ht="15" hidden="false" customHeight="false" outlineLevel="0" collapsed="false">
      <c r="A26" s="42" t="s">
        <v>144</v>
      </c>
      <c r="B26" s="42" t="s">
        <v>33</v>
      </c>
      <c r="C26" s="42" t="s">
        <v>126</v>
      </c>
      <c r="D26" s="42" t="s">
        <v>127</v>
      </c>
      <c r="E26" s="43" t="n">
        <v>1</v>
      </c>
      <c r="F26" s="44" t="n">
        <v>47000</v>
      </c>
      <c r="G26" s="45" t="n">
        <v>1</v>
      </c>
      <c r="H26" s="46" t="s">
        <v>128</v>
      </c>
      <c r="I26" s="21" t="n">
        <f aca="false">13-G26</f>
        <v>12</v>
      </c>
      <c r="J26" s="47" t="n">
        <f aca="false">IF($H26="All",1,IF($H26="Growth only",IF(ScenNo=3,1,0),IF($H26="Not in Conservative",IF(ScenNo=2,0,1),1)))</f>
        <v>1</v>
      </c>
      <c r="K26" s="21" t="n">
        <f aca="false">$F26*$E26*(1+INDEX(Raise,ScenNo))*$I26/12*$J26*(1-INDEX(Vacancy,ScenNo))</f>
        <v>47441.8</v>
      </c>
      <c r="L26" s="21" t="n">
        <f aca="false">K26*IF($D26="Full-time",INDEX(BenFT,ScenNo),INDEX(BenPT,ScenNo))</f>
        <v>8776.733</v>
      </c>
      <c r="M26" s="21" t="n">
        <f aca="false">K26*INDEX(TaxRate,ScenNo)</f>
        <v>3747.9022</v>
      </c>
      <c r="N26" s="27" t="n">
        <f aca="false">SUM(K26:M26)</f>
        <v>59966.4352</v>
      </c>
      <c r="O26" s="48" t="n">
        <v>1</v>
      </c>
      <c r="P26" s="48"/>
      <c r="Q26" s="48"/>
      <c r="R26" s="48"/>
      <c r="S26" s="48"/>
      <c r="T26" s="49" t="str">
        <f aca="false">IF(ROUND(SUM(O26:S26),4)=1,"OK","Fix")</f>
        <v>OK</v>
      </c>
      <c r="U26" s="21" t="n">
        <f aca="false">$F26*$E26*(1+INDEX(Raise,1))*$I26/12*IF($H26="All",1,IF($H26="Growth only",IF(1=3,1,0),IF($H26="Not in Conservative",IF(1=2,0,1),1)))*(1-INDEX(Vacancy,1))*(1+IF($D26="Full-time",INDEX(BenFT,1),INDEX(BenPT,1))+INDEX(TaxRate,1))</f>
        <v>59966.4352</v>
      </c>
      <c r="V26" s="21" t="n">
        <f aca="false">$F26*$E26*(1+INDEX(Raise,2))*$I26/12*IF($H26="All",1,IF($H26="Growth only",IF(2=3,1,0),IF($H26="Not in Conservative",IF(2=2,0,1),1)))*(1-INDEX(Vacancy,2))*(1+IF($D26="Full-time",INDEX(BenFT,2),INDEX(BenPT,2))+INDEX(TaxRate,2))</f>
        <v>59243.2932</v>
      </c>
      <c r="W26" s="21" t="n">
        <f aca="false">$F26*$E26*(1+INDEX(Raise,3))*$I26/12*IF($H26="All",1,IF($H26="Growth only",IF(3=3,1,0),IF($H26="Not in Conservative",IF(3=2,0,1),1)))*(1-INDEX(Vacancy,3))*(1+IF($D26="Full-time",INDEX(BenFT,3),INDEX(BenPT,3))+INDEX(TaxRate,3))</f>
        <v>60564.9708</v>
      </c>
    </row>
    <row r="27" customFormat="false" ht="15" hidden="false" customHeight="false" outlineLevel="0" collapsed="false">
      <c r="A27" s="42" t="s">
        <v>145</v>
      </c>
      <c r="B27" s="42" t="s">
        <v>33</v>
      </c>
      <c r="C27" s="42" t="s">
        <v>126</v>
      </c>
      <c r="D27" s="42" t="s">
        <v>127</v>
      </c>
      <c r="E27" s="43" t="n">
        <v>1</v>
      </c>
      <c r="F27" s="44" t="n">
        <v>48000</v>
      </c>
      <c r="G27" s="45" t="n">
        <v>1</v>
      </c>
      <c r="H27" s="46" t="s">
        <v>128</v>
      </c>
      <c r="I27" s="21" t="n">
        <f aca="false">13-G27</f>
        <v>12</v>
      </c>
      <c r="J27" s="47" t="n">
        <f aca="false">IF($H27="All",1,IF($H27="Growth only",IF(ScenNo=3,1,0),IF($H27="Not in Conservative",IF(ScenNo=2,0,1),1)))</f>
        <v>1</v>
      </c>
      <c r="K27" s="21" t="n">
        <f aca="false">$F27*$E27*(1+INDEX(Raise,ScenNo))*$I27/12*$J27*(1-INDEX(Vacancy,ScenNo))</f>
        <v>48451.2</v>
      </c>
      <c r="L27" s="21" t="n">
        <f aca="false">K27*IF($D27="Full-time",INDEX(BenFT,ScenNo),INDEX(BenPT,ScenNo))</f>
        <v>8963.472</v>
      </c>
      <c r="M27" s="21" t="n">
        <f aca="false">K27*INDEX(TaxRate,ScenNo)</f>
        <v>3827.6448</v>
      </c>
      <c r="N27" s="27" t="n">
        <f aca="false">SUM(K27:M27)</f>
        <v>61242.3168</v>
      </c>
      <c r="O27" s="48" t="n">
        <v>1</v>
      </c>
      <c r="P27" s="48"/>
      <c r="Q27" s="48"/>
      <c r="R27" s="48"/>
      <c r="S27" s="48"/>
      <c r="T27" s="49" t="str">
        <f aca="false">IF(ROUND(SUM(O27:S27),4)=1,"OK","Fix")</f>
        <v>OK</v>
      </c>
      <c r="U27" s="21" t="n">
        <f aca="false">$F27*$E27*(1+INDEX(Raise,1))*$I27/12*IF($H27="All",1,IF($H27="Growth only",IF(1=3,1,0),IF($H27="Not in Conservative",IF(1=2,0,1),1)))*(1-INDEX(Vacancy,1))*(1+IF($D27="Full-time",INDEX(BenFT,1),INDEX(BenPT,1))+INDEX(TaxRate,1))</f>
        <v>61242.3168</v>
      </c>
      <c r="V27" s="21" t="n">
        <f aca="false">$F27*$E27*(1+INDEX(Raise,2))*$I27/12*IF($H27="All",1,IF($H27="Growth only",IF(2=3,1,0),IF($H27="Not in Conservative",IF(2=2,0,1),1)))*(1-INDEX(Vacancy,2))*(1+IF($D27="Full-time",INDEX(BenFT,2),INDEX(BenPT,2))+INDEX(TaxRate,2))</f>
        <v>60503.7888</v>
      </c>
      <c r="W27" s="21" t="n">
        <f aca="false">$F27*$E27*(1+INDEX(Raise,3))*$I27/12*IF($H27="All",1,IF($H27="Growth only",IF(3=3,1,0),IF($H27="Not in Conservative",IF(3=2,0,1),1)))*(1-INDEX(Vacancy,3))*(1+IF($D27="Full-time",INDEX(BenFT,3),INDEX(BenPT,3))+INDEX(TaxRate,3))</f>
        <v>61853.5872</v>
      </c>
    </row>
    <row r="28" customFormat="false" ht="15" hidden="false" customHeight="false" outlineLevel="0" collapsed="false">
      <c r="A28" s="42" t="s">
        <v>146</v>
      </c>
      <c r="B28" s="42" t="s">
        <v>33</v>
      </c>
      <c r="C28" s="42" t="s">
        <v>126</v>
      </c>
      <c r="D28" s="42" t="s">
        <v>127</v>
      </c>
      <c r="E28" s="43" t="n">
        <v>1</v>
      </c>
      <c r="F28" s="44" t="n">
        <v>39500</v>
      </c>
      <c r="G28" s="45" t="n">
        <v>1</v>
      </c>
      <c r="H28" s="46" t="s">
        <v>128</v>
      </c>
      <c r="I28" s="21" t="n">
        <f aca="false">13-G28</f>
        <v>12</v>
      </c>
      <c r="J28" s="47" t="n">
        <f aca="false">IF($H28="All",1,IF($H28="Growth only",IF(ScenNo=3,1,0),IF($H28="Not in Conservative",IF(ScenNo=2,0,1),1)))</f>
        <v>1</v>
      </c>
      <c r="K28" s="21" t="n">
        <f aca="false">$F28*$E28*(1+INDEX(Raise,ScenNo))*$I28/12*$J28*(1-INDEX(Vacancy,ScenNo))</f>
        <v>39871.3</v>
      </c>
      <c r="L28" s="21" t="n">
        <f aca="false">K28*IF($D28="Full-time",INDEX(BenFT,ScenNo),INDEX(BenPT,ScenNo))</f>
        <v>7376.1905</v>
      </c>
      <c r="M28" s="21" t="n">
        <f aca="false">K28*INDEX(TaxRate,ScenNo)</f>
        <v>3149.8327</v>
      </c>
      <c r="N28" s="27" t="n">
        <f aca="false">SUM(K28:M28)</f>
        <v>50397.3232</v>
      </c>
      <c r="O28" s="48" t="n">
        <v>1</v>
      </c>
      <c r="P28" s="48"/>
      <c r="Q28" s="48"/>
      <c r="R28" s="48"/>
      <c r="S28" s="48"/>
      <c r="T28" s="49" t="str">
        <f aca="false">IF(ROUND(SUM(O28:S28),4)=1,"OK","Fix")</f>
        <v>OK</v>
      </c>
      <c r="U28" s="21" t="n">
        <f aca="false">$F28*$E28*(1+INDEX(Raise,1))*$I28/12*IF($H28="All",1,IF($H28="Growth only",IF(1=3,1,0),IF($H28="Not in Conservative",IF(1=2,0,1),1)))*(1-INDEX(Vacancy,1))*(1+IF($D28="Full-time",INDEX(BenFT,1),INDEX(BenPT,1))+INDEX(TaxRate,1))</f>
        <v>50397.3232</v>
      </c>
      <c r="V28" s="21" t="n">
        <f aca="false">$F28*$E28*(1+INDEX(Raise,2))*$I28/12*IF($H28="All",1,IF($H28="Growth only",IF(2=3,1,0),IF($H28="Not in Conservative",IF(2=2,0,1),1)))*(1-INDEX(Vacancy,2))*(1+IF($D28="Full-time",INDEX(BenFT,2),INDEX(BenPT,2))+INDEX(TaxRate,2))</f>
        <v>49789.5762</v>
      </c>
      <c r="W28" s="21" t="n">
        <f aca="false">$F28*$E28*(1+INDEX(Raise,3))*$I28/12*IF($H28="All",1,IF($H28="Growth only",IF(3=3,1,0),IF($H28="Not in Conservative",IF(3=2,0,1),1)))*(1-INDEX(Vacancy,3))*(1+IF($D28="Full-time",INDEX(BenFT,3),INDEX(BenPT,3))+INDEX(TaxRate,3))</f>
        <v>50900.3478</v>
      </c>
    </row>
    <row r="29" customFormat="false" ht="15" hidden="false" customHeight="false" outlineLevel="0" collapsed="false">
      <c r="A29" s="42" t="s">
        <v>146</v>
      </c>
      <c r="B29" s="42" t="s">
        <v>33</v>
      </c>
      <c r="C29" s="42" t="s">
        <v>126</v>
      </c>
      <c r="D29" s="42" t="s">
        <v>131</v>
      </c>
      <c r="E29" s="43" t="n">
        <v>0.5</v>
      </c>
      <c r="F29" s="44" t="n">
        <v>39500</v>
      </c>
      <c r="G29" s="45" t="n">
        <v>1</v>
      </c>
      <c r="H29" s="46" t="s">
        <v>128</v>
      </c>
      <c r="I29" s="21" t="n">
        <f aca="false">13-G29</f>
        <v>12</v>
      </c>
      <c r="J29" s="47" t="n">
        <f aca="false">IF($H29="All",1,IF($H29="Growth only",IF(ScenNo=3,1,0),IF($H29="Not in Conservative",IF(ScenNo=2,0,1),1)))</f>
        <v>1</v>
      </c>
      <c r="K29" s="21" t="n">
        <f aca="false">$F29*$E29*(1+INDEX(Raise,ScenNo))*$I29/12*$J29*(1-INDEX(Vacancy,ScenNo))</f>
        <v>19935.65</v>
      </c>
      <c r="L29" s="21" t="n">
        <f aca="false">K29*IF($D29="Full-time",INDEX(BenFT,ScenNo),INDEX(BenPT,ScenNo))</f>
        <v>398.713</v>
      </c>
      <c r="M29" s="21" t="n">
        <f aca="false">K29*INDEX(TaxRate,ScenNo)</f>
        <v>1574.91635</v>
      </c>
      <c r="N29" s="27" t="n">
        <f aca="false">SUM(K29:M29)</f>
        <v>21909.27935</v>
      </c>
      <c r="O29" s="48" t="n">
        <v>1</v>
      </c>
      <c r="P29" s="48"/>
      <c r="Q29" s="48"/>
      <c r="R29" s="48"/>
      <c r="S29" s="48"/>
      <c r="T29" s="49" t="str">
        <f aca="false">IF(ROUND(SUM(O29:S29),4)=1,"OK","Fix")</f>
        <v>OK</v>
      </c>
      <c r="U29" s="21" t="n">
        <f aca="false">$F29*$E29*(1+INDEX(Raise,1))*$I29/12*IF($H29="All",1,IF($H29="Growth only",IF(1=3,1,0),IF($H29="Not in Conservative",IF(1=2,0,1),1)))*(1-INDEX(Vacancy,1))*(1+IF($D29="Full-time",INDEX(BenFT,1),INDEX(BenPT,1))+INDEX(TaxRate,1))</f>
        <v>21909.27935</v>
      </c>
      <c r="V29" s="21" t="n">
        <f aca="false">$F29*$E29*(1+INDEX(Raise,2))*$I29/12*IF($H29="All",1,IF($H29="Growth only",IF(2=3,1,0),IF($H29="Not in Conservative",IF(2=2,0,1),1)))*(1-INDEX(Vacancy,2))*(1+IF($D29="Full-time",INDEX(BenFT,2),INDEX(BenPT,2))+INDEX(TaxRate,2))</f>
        <v>21475.17435</v>
      </c>
      <c r="W29" s="21" t="n">
        <f aca="false">$F29*$E29*(1+INDEX(Raise,3))*$I29/12*IF($H29="All",1,IF($H29="Growth only",IF(3=3,1,0),IF($H29="Not in Conservative",IF(3=2,0,1),1)))*(1-INDEX(Vacancy,3))*(1+IF($D29="Full-time",INDEX(BenFT,3),INDEX(BenPT,3))+INDEX(TaxRate,3))</f>
        <v>22127.95974375</v>
      </c>
    </row>
    <row r="30" customFormat="false" ht="15" hidden="false" customHeight="false" outlineLevel="0" collapsed="false">
      <c r="A30" s="42" t="s">
        <v>147</v>
      </c>
      <c r="B30" s="42" t="s">
        <v>33</v>
      </c>
      <c r="C30" s="42" t="s">
        <v>148</v>
      </c>
      <c r="D30" s="42" t="s">
        <v>127</v>
      </c>
      <c r="E30" s="43" t="n">
        <v>1</v>
      </c>
      <c r="F30" s="44" t="n">
        <v>46000</v>
      </c>
      <c r="G30" s="45" t="n">
        <v>4</v>
      </c>
      <c r="H30" s="46" t="s">
        <v>149</v>
      </c>
      <c r="I30" s="21" t="n">
        <f aca="false">13-G30</f>
        <v>9</v>
      </c>
      <c r="J30" s="47" t="n">
        <f aca="false">IF($H30="All",1,IF($H30="Growth only",IF(ScenNo=3,1,0),IF($H30="Not in Conservative",IF(ScenNo=2,0,1),1)))</f>
        <v>0</v>
      </c>
      <c r="K30" s="21" t="n">
        <f aca="false">$F30*$E30*(1+INDEX(Raise,ScenNo))*$I30/12*$J30*(1-INDEX(Vacancy,ScenNo))</f>
        <v>0</v>
      </c>
      <c r="L30" s="21" t="n">
        <f aca="false">K30*IF($D30="Full-time",INDEX(BenFT,ScenNo),INDEX(BenPT,ScenNo))</f>
        <v>0</v>
      </c>
      <c r="M30" s="21" t="n">
        <f aca="false">K30*INDEX(TaxRate,ScenNo)</f>
        <v>0</v>
      </c>
      <c r="N30" s="27" t="n">
        <f aca="false">SUM(K30:M30)</f>
        <v>0</v>
      </c>
      <c r="O30" s="48" t="n">
        <v>1</v>
      </c>
      <c r="P30" s="48"/>
      <c r="Q30" s="48"/>
      <c r="R30" s="48"/>
      <c r="S30" s="48"/>
      <c r="T30" s="49" t="str">
        <f aca="false">IF(ROUND(SUM(O30:S30),4)=1,"OK","Fix")</f>
        <v>OK</v>
      </c>
      <c r="U30" s="21" t="n">
        <f aca="false">$F30*$E30*(1+INDEX(Raise,1))*$I30/12*IF($H30="All",1,IF($H30="Growth only",IF(1=3,1,0),IF($H30="Not in Conservative",IF(1=2,0,1),1)))*(1-INDEX(Vacancy,1))*(1+IF($D30="Full-time",INDEX(BenFT,1),INDEX(BenPT,1))+INDEX(TaxRate,1))</f>
        <v>0</v>
      </c>
      <c r="V30" s="21" t="n">
        <f aca="false">$F30*$E30*(1+INDEX(Raise,2))*$I30/12*IF($H30="All",1,IF($H30="Growth only",IF(2=3,1,0),IF($H30="Not in Conservative",IF(2=2,0,1),1)))*(1-INDEX(Vacancy,2))*(1+IF($D30="Full-time",INDEX(BenFT,2),INDEX(BenPT,2))+INDEX(TaxRate,2))</f>
        <v>0</v>
      </c>
      <c r="W30" s="21" t="n">
        <f aca="false">$F30*$E30*(1+INDEX(Raise,3))*$I30/12*IF($H30="All",1,IF($H30="Growth only",IF(3=3,1,0),IF($H30="Not in Conservative",IF(3=2,0,1),1)))*(1-INDEX(Vacancy,3))*(1+IF($D30="Full-time",INDEX(BenFT,3),INDEX(BenPT,3))+INDEX(TaxRate,3))</f>
        <v>44457.2658</v>
      </c>
    </row>
    <row r="31" customFormat="false" ht="15" hidden="false" customHeight="false" outlineLevel="0" collapsed="false">
      <c r="A31" s="42" t="s">
        <v>150</v>
      </c>
      <c r="B31" s="42" t="s">
        <v>34</v>
      </c>
      <c r="C31" s="42" t="s">
        <v>126</v>
      </c>
      <c r="D31" s="42" t="s">
        <v>127</v>
      </c>
      <c r="E31" s="43" t="n">
        <v>1</v>
      </c>
      <c r="F31" s="44" t="n">
        <v>72000</v>
      </c>
      <c r="G31" s="45" t="n">
        <v>1</v>
      </c>
      <c r="H31" s="46" t="s">
        <v>128</v>
      </c>
      <c r="I31" s="21" t="n">
        <f aca="false">13-G31</f>
        <v>12</v>
      </c>
      <c r="J31" s="47" t="n">
        <f aca="false">IF($H31="All",1,IF($H31="Growth only",IF(ScenNo=3,1,0),IF($H31="Not in Conservative",IF(ScenNo=2,0,1),1)))</f>
        <v>1</v>
      </c>
      <c r="K31" s="21" t="n">
        <f aca="false">$F31*$E31*(1+INDEX(Raise,ScenNo))*$I31/12*$J31*(1-INDEX(Vacancy,ScenNo))</f>
        <v>72676.8</v>
      </c>
      <c r="L31" s="21" t="n">
        <f aca="false">K31*IF($D31="Full-time",INDEX(BenFT,ScenNo),INDEX(BenPT,ScenNo))</f>
        <v>13445.208</v>
      </c>
      <c r="M31" s="21" t="n">
        <f aca="false">K31*INDEX(TaxRate,ScenNo)</f>
        <v>5741.4672</v>
      </c>
      <c r="N31" s="27" t="n">
        <f aca="false">SUM(K31:M31)</f>
        <v>91863.4752</v>
      </c>
      <c r="O31" s="48"/>
      <c r="P31" s="48" t="n">
        <v>1</v>
      </c>
      <c r="Q31" s="48"/>
      <c r="R31" s="48"/>
      <c r="S31" s="48"/>
      <c r="T31" s="49" t="str">
        <f aca="false">IF(ROUND(SUM(O31:S31),4)=1,"OK","Fix")</f>
        <v>OK</v>
      </c>
      <c r="U31" s="21" t="n">
        <f aca="false">$F31*$E31*(1+INDEX(Raise,1))*$I31/12*IF($H31="All",1,IF($H31="Growth only",IF(1=3,1,0),IF($H31="Not in Conservative",IF(1=2,0,1),1)))*(1-INDEX(Vacancy,1))*(1+IF($D31="Full-time",INDEX(BenFT,1),INDEX(BenPT,1))+INDEX(TaxRate,1))</f>
        <v>91863.4752</v>
      </c>
      <c r="V31" s="21" t="n">
        <f aca="false">$F31*$E31*(1+INDEX(Raise,2))*$I31/12*IF($H31="All",1,IF($H31="Growth only",IF(2=3,1,0),IF($H31="Not in Conservative",IF(2=2,0,1),1)))*(1-INDEX(Vacancy,2))*(1+IF($D31="Full-time",INDEX(BenFT,2),INDEX(BenPT,2))+INDEX(TaxRate,2))</f>
        <v>90755.6832</v>
      </c>
      <c r="W31" s="21" t="n">
        <f aca="false">$F31*$E31*(1+INDEX(Raise,3))*$I31/12*IF($H31="All",1,IF($H31="Growth only",IF(3=3,1,0),IF($H31="Not in Conservative",IF(3=2,0,1),1)))*(1-INDEX(Vacancy,3))*(1+IF($D31="Full-time",INDEX(BenFT,3),INDEX(BenPT,3))+INDEX(TaxRate,3))</f>
        <v>92780.3808</v>
      </c>
    </row>
    <row r="32" customFormat="false" ht="15" hidden="false" customHeight="false" outlineLevel="0" collapsed="false">
      <c r="A32" s="42" t="s">
        <v>151</v>
      </c>
      <c r="B32" s="42" t="s">
        <v>34</v>
      </c>
      <c r="C32" s="42" t="s">
        <v>126</v>
      </c>
      <c r="D32" s="42" t="s">
        <v>127</v>
      </c>
      <c r="E32" s="43" t="n">
        <v>1</v>
      </c>
      <c r="F32" s="44" t="n">
        <v>45500</v>
      </c>
      <c r="G32" s="45" t="n">
        <v>1</v>
      </c>
      <c r="H32" s="46" t="s">
        <v>128</v>
      </c>
      <c r="I32" s="21" t="n">
        <f aca="false">13-G32</f>
        <v>12</v>
      </c>
      <c r="J32" s="47" t="n">
        <f aca="false">IF($H32="All",1,IF($H32="Growth only",IF(ScenNo=3,1,0),IF($H32="Not in Conservative",IF(ScenNo=2,0,1),1)))</f>
        <v>1</v>
      </c>
      <c r="K32" s="21" t="n">
        <f aca="false">$F32*$E32*(1+INDEX(Raise,ScenNo))*$I32/12*$J32*(1-INDEX(Vacancy,ScenNo))</f>
        <v>45927.7</v>
      </c>
      <c r="L32" s="21" t="n">
        <f aca="false">K32*IF($D32="Full-time",INDEX(BenFT,ScenNo),INDEX(BenPT,ScenNo))</f>
        <v>8496.6245</v>
      </c>
      <c r="M32" s="21" t="n">
        <f aca="false">K32*INDEX(TaxRate,ScenNo)</f>
        <v>3628.2883</v>
      </c>
      <c r="N32" s="27" t="n">
        <f aca="false">SUM(K32:M32)</f>
        <v>58052.6128</v>
      </c>
      <c r="O32" s="48"/>
      <c r="P32" s="48" t="n">
        <v>1</v>
      </c>
      <c r="Q32" s="48"/>
      <c r="R32" s="48"/>
      <c r="S32" s="48"/>
      <c r="T32" s="49" t="str">
        <f aca="false">IF(ROUND(SUM(O32:S32),4)=1,"OK","Fix")</f>
        <v>OK</v>
      </c>
      <c r="U32" s="21" t="n">
        <f aca="false">$F32*$E32*(1+INDEX(Raise,1))*$I32/12*IF($H32="All",1,IF($H32="Growth only",IF(1=3,1,0),IF($H32="Not in Conservative",IF(1=2,0,1),1)))*(1-INDEX(Vacancy,1))*(1+IF($D32="Full-time",INDEX(BenFT,1),INDEX(BenPT,1))+INDEX(TaxRate,1))</f>
        <v>58052.6128</v>
      </c>
      <c r="V32" s="21" t="n">
        <f aca="false">$F32*$E32*(1+INDEX(Raise,2))*$I32/12*IF($H32="All",1,IF($H32="Growth only",IF(2=3,1,0),IF($H32="Not in Conservative",IF(2=2,0,1),1)))*(1-INDEX(Vacancy,2))*(1+IF($D32="Full-time",INDEX(BenFT,2),INDEX(BenPT,2))+INDEX(TaxRate,2))</f>
        <v>57352.5498</v>
      </c>
      <c r="W32" s="21" t="n">
        <f aca="false">$F32*$E32*(1+INDEX(Raise,3))*$I32/12*IF($H32="All",1,IF($H32="Growth only",IF(3=3,1,0),IF($H32="Not in Conservative",IF(3=2,0,1),1)))*(1-INDEX(Vacancy,3))*(1+IF($D32="Full-time",INDEX(BenFT,3),INDEX(BenPT,3))+INDEX(TaxRate,3))</f>
        <v>58632.0462</v>
      </c>
    </row>
    <row r="33" customFormat="false" ht="15" hidden="false" customHeight="false" outlineLevel="0" collapsed="false">
      <c r="A33" s="42" t="s">
        <v>151</v>
      </c>
      <c r="B33" s="42" t="s">
        <v>34</v>
      </c>
      <c r="C33" s="42" t="s">
        <v>126</v>
      </c>
      <c r="D33" s="42" t="s">
        <v>127</v>
      </c>
      <c r="E33" s="43" t="n">
        <v>1</v>
      </c>
      <c r="F33" s="44" t="n">
        <v>44800</v>
      </c>
      <c r="G33" s="45" t="n">
        <v>1</v>
      </c>
      <c r="H33" s="46" t="s">
        <v>128</v>
      </c>
      <c r="I33" s="21" t="n">
        <f aca="false">13-G33</f>
        <v>12</v>
      </c>
      <c r="J33" s="47" t="n">
        <f aca="false">IF($H33="All",1,IF($H33="Growth only",IF(ScenNo=3,1,0),IF($H33="Not in Conservative",IF(ScenNo=2,0,1),1)))</f>
        <v>1</v>
      </c>
      <c r="K33" s="21" t="n">
        <f aca="false">$F33*$E33*(1+INDEX(Raise,ScenNo))*$I33/12*$J33*(1-INDEX(Vacancy,ScenNo))</f>
        <v>45221.12</v>
      </c>
      <c r="L33" s="21" t="n">
        <f aca="false">K33*IF($D33="Full-time",INDEX(BenFT,ScenNo),INDEX(BenPT,ScenNo))</f>
        <v>8365.9072</v>
      </c>
      <c r="M33" s="21" t="n">
        <f aca="false">K33*INDEX(TaxRate,ScenNo)</f>
        <v>3572.46848</v>
      </c>
      <c r="N33" s="27" t="n">
        <f aca="false">SUM(K33:M33)</f>
        <v>57159.49568</v>
      </c>
      <c r="O33" s="48"/>
      <c r="P33" s="48" t="n">
        <v>1</v>
      </c>
      <c r="Q33" s="48"/>
      <c r="R33" s="48"/>
      <c r="S33" s="48"/>
      <c r="T33" s="49" t="str">
        <f aca="false">IF(ROUND(SUM(O33:S33),4)=1,"OK","Fix")</f>
        <v>OK</v>
      </c>
      <c r="U33" s="21" t="n">
        <f aca="false">$F33*$E33*(1+INDEX(Raise,1))*$I33/12*IF($H33="All",1,IF($H33="Growth only",IF(1=3,1,0),IF($H33="Not in Conservative",IF(1=2,0,1),1)))*(1-INDEX(Vacancy,1))*(1+IF($D33="Full-time",INDEX(BenFT,1),INDEX(BenPT,1))+INDEX(TaxRate,1))</f>
        <v>57159.49568</v>
      </c>
      <c r="V33" s="21" t="n">
        <f aca="false">$F33*$E33*(1+INDEX(Raise,2))*$I33/12*IF($H33="All",1,IF($H33="Growth only",IF(2=3,1,0),IF($H33="Not in Conservative",IF(2=2,0,1),1)))*(1-INDEX(Vacancy,2))*(1+IF($D33="Full-time",INDEX(BenFT,2),INDEX(BenPT,2))+INDEX(TaxRate,2))</f>
        <v>56470.20288</v>
      </c>
      <c r="W33" s="21" t="n">
        <f aca="false">$F33*$E33*(1+INDEX(Raise,3))*$I33/12*IF($H33="All",1,IF($H33="Growth only",IF(3=3,1,0),IF($H33="Not in Conservative",IF(3=2,0,1),1)))*(1-INDEX(Vacancy,3))*(1+IF($D33="Full-time",INDEX(BenFT,3),INDEX(BenPT,3))+INDEX(TaxRate,3))</f>
        <v>57730.01472</v>
      </c>
    </row>
    <row r="34" customFormat="false" ht="15" hidden="false" customHeight="false" outlineLevel="0" collapsed="false">
      <c r="A34" s="42" t="s">
        <v>151</v>
      </c>
      <c r="B34" s="42" t="s">
        <v>34</v>
      </c>
      <c r="C34" s="42" t="s">
        <v>126</v>
      </c>
      <c r="D34" s="42" t="s">
        <v>127</v>
      </c>
      <c r="E34" s="43" t="n">
        <v>1</v>
      </c>
      <c r="F34" s="44" t="n">
        <v>46200</v>
      </c>
      <c r="G34" s="45" t="n">
        <v>1</v>
      </c>
      <c r="H34" s="46" t="s">
        <v>128</v>
      </c>
      <c r="I34" s="21" t="n">
        <f aca="false">13-G34</f>
        <v>12</v>
      </c>
      <c r="J34" s="47" t="n">
        <f aca="false">IF($H34="All",1,IF($H34="Growth only",IF(ScenNo=3,1,0),IF($H34="Not in Conservative",IF(ScenNo=2,0,1),1)))</f>
        <v>1</v>
      </c>
      <c r="K34" s="21" t="n">
        <f aca="false">$F34*$E34*(1+INDEX(Raise,ScenNo))*$I34/12*$J34*(1-INDEX(Vacancy,ScenNo))</f>
        <v>46634.28</v>
      </c>
      <c r="L34" s="21" t="n">
        <f aca="false">K34*IF($D34="Full-time",INDEX(BenFT,ScenNo),INDEX(BenPT,ScenNo))</f>
        <v>8627.3418</v>
      </c>
      <c r="M34" s="21" t="n">
        <f aca="false">K34*INDEX(TaxRate,ScenNo)</f>
        <v>3684.10812</v>
      </c>
      <c r="N34" s="27" t="n">
        <f aca="false">SUM(K34:M34)</f>
        <v>58945.72992</v>
      </c>
      <c r="O34" s="48"/>
      <c r="P34" s="48" t="n">
        <v>1</v>
      </c>
      <c r="Q34" s="48"/>
      <c r="R34" s="48"/>
      <c r="S34" s="48"/>
      <c r="T34" s="49" t="str">
        <f aca="false">IF(ROUND(SUM(O34:S34),4)=1,"OK","Fix")</f>
        <v>OK</v>
      </c>
      <c r="U34" s="21" t="n">
        <f aca="false">$F34*$E34*(1+INDEX(Raise,1))*$I34/12*IF($H34="All",1,IF($H34="Growth only",IF(1=3,1,0),IF($H34="Not in Conservative",IF(1=2,0,1),1)))*(1-INDEX(Vacancy,1))*(1+IF($D34="Full-time",INDEX(BenFT,1),INDEX(BenPT,1))+INDEX(TaxRate,1))</f>
        <v>58945.72992</v>
      </c>
      <c r="V34" s="21" t="n">
        <f aca="false">$F34*$E34*(1+INDEX(Raise,2))*$I34/12*IF($H34="All",1,IF($H34="Growth only",IF(2=3,1,0),IF($H34="Not in Conservative",IF(2=2,0,1),1)))*(1-INDEX(Vacancy,2))*(1+IF($D34="Full-time",INDEX(BenFT,2),INDEX(BenPT,2))+INDEX(TaxRate,2))</f>
        <v>58234.89672</v>
      </c>
      <c r="W34" s="21" t="n">
        <f aca="false">$F34*$E34*(1+INDEX(Raise,3))*$I34/12*IF($H34="All",1,IF($H34="Growth only",IF(3=3,1,0),IF($H34="Not in Conservative",IF(3=2,0,1),1)))*(1-INDEX(Vacancy,3))*(1+IF($D34="Full-time",INDEX(BenFT,3),INDEX(BenPT,3))+INDEX(TaxRate,3))</f>
        <v>59534.07768</v>
      </c>
    </row>
    <row r="35" customFormat="false" ht="15" hidden="false" customHeight="false" outlineLevel="0" collapsed="false">
      <c r="A35" s="42" t="s">
        <v>152</v>
      </c>
      <c r="B35" s="42" t="s">
        <v>34</v>
      </c>
      <c r="C35" s="42" t="s">
        <v>126</v>
      </c>
      <c r="D35" s="42" t="s">
        <v>127</v>
      </c>
      <c r="E35" s="43" t="n">
        <v>1</v>
      </c>
      <c r="F35" s="44" t="n">
        <v>46500</v>
      </c>
      <c r="G35" s="45" t="n">
        <v>1</v>
      </c>
      <c r="H35" s="46" t="s">
        <v>128</v>
      </c>
      <c r="I35" s="21" t="n">
        <f aca="false">13-G35</f>
        <v>12</v>
      </c>
      <c r="J35" s="47" t="n">
        <f aca="false">IF($H35="All",1,IF($H35="Growth only",IF(ScenNo=3,1,0),IF($H35="Not in Conservative",IF(ScenNo=2,0,1),1)))</f>
        <v>1</v>
      </c>
      <c r="K35" s="21" t="n">
        <f aca="false">$F35*$E35*(1+INDEX(Raise,ScenNo))*$I35/12*$J35*(1-INDEX(Vacancy,ScenNo))</f>
        <v>46937.1</v>
      </c>
      <c r="L35" s="21" t="n">
        <f aca="false">K35*IF($D35="Full-time",INDEX(BenFT,ScenNo),INDEX(BenPT,ScenNo))</f>
        <v>8683.3635</v>
      </c>
      <c r="M35" s="21" t="n">
        <f aca="false">K35*INDEX(TaxRate,ScenNo)</f>
        <v>3708.0309</v>
      </c>
      <c r="N35" s="27" t="n">
        <f aca="false">SUM(K35:M35)</f>
        <v>59328.4944</v>
      </c>
      <c r="O35" s="48"/>
      <c r="P35" s="48" t="n">
        <v>1</v>
      </c>
      <c r="Q35" s="48"/>
      <c r="R35" s="48"/>
      <c r="S35" s="48"/>
      <c r="T35" s="49" t="str">
        <f aca="false">IF(ROUND(SUM(O35:S35),4)=1,"OK","Fix")</f>
        <v>OK</v>
      </c>
      <c r="U35" s="21" t="n">
        <f aca="false">$F35*$E35*(1+INDEX(Raise,1))*$I35/12*IF($H35="All",1,IF($H35="Growth only",IF(1=3,1,0),IF($H35="Not in Conservative",IF(1=2,0,1),1)))*(1-INDEX(Vacancy,1))*(1+IF($D35="Full-time",INDEX(BenFT,1),INDEX(BenPT,1))+INDEX(TaxRate,1))</f>
        <v>59328.4944</v>
      </c>
      <c r="V35" s="21" t="n">
        <f aca="false">$F35*$E35*(1+INDEX(Raise,2))*$I35/12*IF($H35="All",1,IF($H35="Growth only",IF(2=3,1,0),IF($H35="Not in Conservative",IF(2=2,0,1),1)))*(1-INDEX(Vacancy,2))*(1+IF($D35="Full-time",INDEX(BenFT,2),INDEX(BenPT,2))+INDEX(TaxRate,2))</f>
        <v>58613.0454</v>
      </c>
      <c r="W35" s="21" t="n">
        <f aca="false">$F35*$E35*(1+INDEX(Raise,3))*$I35/12*IF($H35="All",1,IF($H35="Growth only",IF(3=3,1,0),IF($H35="Not in Conservative",IF(3=2,0,1),1)))*(1-INDEX(Vacancy,3))*(1+IF($D35="Full-time",INDEX(BenFT,3),INDEX(BenPT,3))+INDEX(TaxRate,3))</f>
        <v>59920.6626</v>
      </c>
    </row>
    <row r="36" customFormat="false" ht="15" hidden="false" customHeight="false" outlineLevel="0" collapsed="false">
      <c r="A36" s="42" t="s">
        <v>153</v>
      </c>
      <c r="B36" s="42" t="s">
        <v>34</v>
      </c>
      <c r="C36" s="42" t="s">
        <v>126</v>
      </c>
      <c r="D36" s="42" t="s">
        <v>127</v>
      </c>
      <c r="E36" s="43" t="n">
        <v>1</v>
      </c>
      <c r="F36" s="44" t="n">
        <v>39500</v>
      </c>
      <c r="G36" s="45" t="n">
        <v>1</v>
      </c>
      <c r="H36" s="46" t="s">
        <v>128</v>
      </c>
      <c r="I36" s="21" t="n">
        <f aca="false">13-G36</f>
        <v>12</v>
      </c>
      <c r="J36" s="47" t="n">
        <f aca="false">IF($H36="All",1,IF($H36="Growth only",IF(ScenNo=3,1,0),IF($H36="Not in Conservative",IF(ScenNo=2,0,1),1)))</f>
        <v>1</v>
      </c>
      <c r="K36" s="21" t="n">
        <f aca="false">$F36*$E36*(1+INDEX(Raise,ScenNo))*$I36/12*$J36*(1-INDEX(Vacancy,ScenNo))</f>
        <v>39871.3</v>
      </c>
      <c r="L36" s="21" t="n">
        <f aca="false">K36*IF($D36="Full-time",INDEX(BenFT,ScenNo),INDEX(BenPT,ScenNo))</f>
        <v>7376.1905</v>
      </c>
      <c r="M36" s="21" t="n">
        <f aca="false">K36*INDEX(TaxRate,ScenNo)</f>
        <v>3149.8327</v>
      </c>
      <c r="N36" s="27" t="n">
        <f aca="false">SUM(K36:M36)</f>
        <v>50397.3232</v>
      </c>
      <c r="O36" s="48"/>
      <c r="P36" s="48" t="n">
        <v>1</v>
      </c>
      <c r="Q36" s="48"/>
      <c r="R36" s="48"/>
      <c r="S36" s="48"/>
      <c r="T36" s="49" t="str">
        <f aca="false">IF(ROUND(SUM(O36:S36),4)=1,"OK","Fix")</f>
        <v>OK</v>
      </c>
      <c r="U36" s="21" t="n">
        <f aca="false">$F36*$E36*(1+INDEX(Raise,1))*$I36/12*IF($H36="All",1,IF($H36="Growth only",IF(1=3,1,0),IF($H36="Not in Conservative",IF(1=2,0,1),1)))*(1-INDEX(Vacancy,1))*(1+IF($D36="Full-time",INDEX(BenFT,1),INDEX(BenPT,1))+INDEX(TaxRate,1))</f>
        <v>50397.3232</v>
      </c>
      <c r="V36" s="21" t="n">
        <f aca="false">$F36*$E36*(1+INDEX(Raise,2))*$I36/12*IF($H36="All",1,IF($H36="Growth only",IF(2=3,1,0),IF($H36="Not in Conservative",IF(2=2,0,1),1)))*(1-INDEX(Vacancy,2))*(1+IF($D36="Full-time",INDEX(BenFT,2),INDEX(BenPT,2))+INDEX(TaxRate,2))</f>
        <v>49789.5762</v>
      </c>
      <c r="W36" s="21" t="n">
        <f aca="false">$F36*$E36*(1+INDEX(Raise,3))*$I36/12*IF($H36="All",1,IF($H36="Growth only",IF(3=3,1,0),IF($H36="Not in Conservative",IF(3=2,0,1),1)))*(1-INDEX(Vacancy,3))*(1+IF($D36="Full-time",INDEX(BenFT,3),INDEX(BenPT,3))+INDEX(TaxRate,3))</f>
        <v>50900.3478</v>
      </c>
    </row>
    <row r="37" customFormat="false" ht="15" hidden="false" customHeight="false" outlineLevel="0" collapsed="false">
      <c r="A37" s="42" t="s">
        <v>154</v>
      </c>
      <c r="B37" s="42" t="s">
        <v>34</v>
      </c>
      <c r="C37" s="42" t="s">
        <v>126</v>
      </c>
      <c r="D37" s="42" t="s">
        <v>131</v>
      </c>
      <c r="E37" s="43" t="n">
        <v>0.75</v>
      </c>
      <c r="F37" s="44" t="n">
        <v>52000</v>
      </c>
      <c r="G37" s="45" t="n">
        <v>1</v>
      </c>
      <c r="H37" s="46" t="s">
        <v>128</v>
      </c>
      <c r="I37" s="21" t="n">
        <f aca="false">13-G37</f>
        <v>12</v>
      </c>
      <c r="J37" s="47" t="n">
        <f aca="false">IF($H37="All",1,IF($H37="Growth only",IF(ScenNo=3,1,0),IF($H37="Not in Conservative",IF(ScenNo=2,0,1),1)))</f>
        <v>1</v>
      </c>
      <c r="K37" s="21" t="n">
        <f aca="false">$F37*$E37*(1+INDEX(Raise,ScenNo))*$I37/12*$J37*(1-INDEX(Vacancy,ScenNo))</f>
        <v>39366.6</v>
      </c>
      <c r="L37" s="21" t="n">
        <f aca="false">K37*IF($D37="Full-time",INDEX(BenFT,ScenNo),INDEX(BenPT,ScenNo))</f>
        <v>787.332</v>
      </c>
      <c r="M37" s="21" t="n">
        <f aca="false">K37*INDEX(TaxRate,ScenNo)</f>
        <v>3109.9614</v>
      </c>
      <c r="N37" s="27" t="n">
        <f aca="false">SUM(K37:M37)</f>
        <v>43263.8934</v>
      </c>
      <c r="O37" s="48"/>
      <c r="P37" s="48" t="n">
        <v>1</v>
      </c>
      <c r="Q37" s="48"/>
      <c r="R37" s="48"/>
      <c r="S37" s="48"/>
      <c r="T37" s="49" t="str">
        <f aca="false">IF(ROUND(SUM(O37:S37),4)=1,"OK","Fix")</f>
        <v>OK</v>
      </c>
      <c r="U37" s="21" t="n">
        <f aca="false">$F37*$E37*(1+INDEX(Raise,1))*$I37/12*IF($H37="All",1,IF($H37="Growth only",IF(1=3,1,0),IF($H37="Not in Conservative",IF(1=2,0,1),1)))*(1-INDEX(Vacancy,1))*(1+IF($D37="Full-time",INDEX(BenFT,1),INDEX(BenPT,1))+INDEX(TaxRate,1))</f>
        <v>43263.8934</v>
      </c>
      <c r="V37" s="21" t="n">
        <f aca="false">$F37*$E37*(1+INDEX(Raise,2))*$I37/12*IF($H37="All",1,IF($H37="Growth only",IF(2=3,1,0),IF($H37="Not in Conservative",IF(2=2,0,1),1)))*(1-INDEX(Vacancy,2))*(1+IF($D37="Full-time",INDEX(BenFT,2),INDEX(BenPT,2))+INDEX(TaxRate,2))</f>
        <v>42406.6734</v>
      </c>
      <c r="W37" s="21" t="n">
        <f aca="false">$F37*$E37*(1+INDEX(Raise,3))*$I37/12*IF($H37="All",1,IF($H37="Growth only",IF(3=3,1,0),IF($H37="Not in Conservative",IF(3=2,0,1),1)))*(1-INDEX(Vacancy,3))*(1+IF($D37="Full-time",INDEX(BenFT,3),INDEX(BenPT,3))+INDEX(TaxRate,3))</f>
        <v>43695.717975</v>
      </c>
    </row>
    <row r="38" customFormat="false" ht="15" hidden="false" customHeight="false" outlineLevel="0" collapsed="false">
      <c r="A38" s="42" t="s">
        <v>154</v>
      </c>
      <c r="B38" s="42" t="s">
        <v>34</v>
      </c>
      <c r="C38" s="42" t="s">
        <v>126</v>
      </c>
      <c r="D38" s="42" t="s">
        <v>131</v>
      </c>
      <c r="E38" s="43" t="n">
        <v>0.75</v>
      </c>
      <c r="F38" s="44" t="n">
        <v>52000</v>
      </c>
      <c r="G38" s="45" t="n">
        <v>1</v>
      </c>
      <c r="H38" s="46" t="s">
        <v>128</v>
      </c>
      <c r="I38" s="21" t="n">
        <f aca="false">13-G38</f>
        <v>12</v>
      </c>
      <c r="J38" s="47" t="n">
        <f aca="false">IF($H38="All",1,IF($H38="Growth only",IF(ScenNo=3,1,0),IF($H38="Not in Conservative",IF(ScenNo=2,0,1),1)))</f>
        <v>1</v>
      </c>
      <c r="K38" s="21" t="n">
        <f aca="false">$F38*$E38*(1+INDEX(Raise,ScenNo))*$I38/12*$J38*(1-INDEX(Vacancy,ScenNo))</f>
        <v>39366.6</v>
      </c>
      <c r="L38" s="21" t="n">
        <f aca="false">K38*IF($D38="Full-time",INDEX(BenFT,ScenNo),INDEX(BenPT,ScenNo))</f>
        <v>787.332</v>
      </c>
      <c r="M38" s="21" t="n">
        <f aca="false">K38*INDEX(TaxRate,ScenNo)</f>
        <v>3109.9614</v>
      </c>
      <c r="N38" s="27" t="n">
        <f aca="false">SUM(K38:M38)</f>
        <v>43263.8934</v>
      </c>
      <c r="O38" s="48"/>
      <c r="P38" s="48" t="n">
        <v>1</v>
      </c>
      <c r="Q38" s="48"/>
      <c r="R38" s="48"/>
      <c r="S38" s="48"/>
      <c r="T38" s="49" t="str">
        <f aca="false">IF(ROUND(SUM(O38:S38),4)=1,"OK","Fix")</f>
        <v>OK</v>
      </c>
      <c r="U38" s="21" t="n">
        <f aca="false">$F38*$E38*(1+INDEX(Raise,1))*$I38/12*IF($H38="All",1,IF($H38="Growth only",IF(1=3,1,0),IF($H38="Not in Conservative",IF(1=2,0,1),1)))*(1-INDEX(Vacancy,1))*(1+IF($D38="Full-time",INDEX(BenFT,1),INDEX(BenPT,1))+INDEX(TaxRate,1))</f>
        <v>43263.8934</v>
      </c>
      <c r="V38" s="21" t="n">
        <f aca="false">$F38*$E38*(1+INDEX(Raise,2))*$I38/12*IF($H38="All",1,IF($H38="Growth only",IF(2=3,1,0),IF($H38="Not in Conservative",IF(2=2,0,1),1)))*(1-INDEX(Vacancy,2))*(1+IF($D38="Full-time",INDEX(BenFT,2),INDEX(BenPT,2))+INDEX(TaxRate,2))</f>
        <v>42406.6734</v>
      </c>
      <c r="W38" s="21" t="n">
        <f aca="false">$F38*$E38*(1+INDEX(Raise,3))*$I38/12*IF($H38="All",1,IF($H38="Growth only",IF(3=3,1,0),IF($H38="Not in Conservative",IF(3=2,0,1),1)))*(1-INDEX(Vacancy,3))*(1+IF($D38="Full-time",INDEX(BenFT,3),INDEX(BenPT,3))+INDEX(TaxRate,3))</f>
        <v>43695.717975</v>
      </c>
    </row>
    <row r="39" customFormat="false" ht="15" hidden="false" customHeight="false" outlineLevel="0" collapsed="false">
      <c r="A39" s="42" t="s">
        <v>155</v>
      </c>
      <c r="B39" s="42" t="s">
        <v>34</v>
      </c>
      <c r="C39" s="42" t="s">
        <v>142</v>
      </c>
      <c r="D39" s="42" t="s">
        <v>127</v>
      </c>
      <c r="E39" s="43" t="n">
        <v>1</v>
      </c>
      <c r="F39" s="44" t="n">
        <v>58000</v>
      </c>
      <c r="G39" s="45" t="n">
        <v>3</v>
      </c>
      <c r="H39" s="46" t="s">
        <v>156</v>
      </c>
      <c r="I39" s="21" t="n">
        <f aca="false">13-G39</f>
        <v>10</v>
      </c>
      <c r="J39" s="47" t="n">
        <f aca="false">IF($H39="All",1,IF($H39="Growth only",IF(ScenNo=3,1,0),IF($H39="Not in Conservative",IF(ScenNo=2,0,1),1)))</f>
        <v>1</v>
      </c>
      <c r="K39" s="21" t="n">
        <f aca="false">$F39*$E39*(1+INDEX(Raise,ScenNo))*$I39/12*$J39*(1-INDEX(Vacancy,ScenNo))</f>
        <v>48787.6666666667</v>
      </c>
      <c r="L39" s="21" t="n">
        <f aca="false">K39*IF($D39="Full-time",INDEX(BenFT,ScenNo),INDEX(BenPT,ScenNo))</f>
        <v>9025.71833333333</v>
      </c>
      <c r="M39" s="21" t="n">
        <f aca="false">K39*INDEX(TaxRate,ScenNo)</f>
        <v>3854.22566666667</v>
      </c>
      <c r="N39" s="27" t="n">
        <f aca="false">SUM(K39:M39)</f>
        <v>61667.6106666667</v>
      </c>
      <c r="O39" s="48"/>
      <c r="P39" s="48" t="n">
        <v>1</v>
      </c>
      <c r="Q39" s="48"/>
      <c r="R39" s="48"/>
      <c r="S39" s="48"/>
      <c r="T39" s="49" t="str">
        <f aca="false">IF(ROUND(SUM(O39:S39),4)=1,"OK","Fix")</f>
        <v>OK</v>
      </c>
      <c r="U39" s="21" t="n">
        <f aca="false">$F39*$E39*(1+INDEX(Raise,1))*$I39/12*IF($H39="All",1,IF($H39="Growth only",IF(1=3,1,0),IF($H39="Not in Conservative",IF(1=2,0,1),1)))*(1-INDEX(Vacancy,1))*(1+IF($D39="Full-time",INDEX(BenFT,1),INDEX(BenPT,1))+INDEX(TaxRate,1))</f>
        <v>61667.6106666667</v>
      </c>
      <c r="V39" s="21" t="n">
        <f aca="false">$F39*$E39*(1+INDEX(Raise,2))*$I39/12*IF($H39="All",1,IF($H39="Growth only",IF(2=3,1,0),IF($H39="Not in Conservative",IF(2=2,0,1),1)))*(1-INDEX(Vacancy,2))*(1+IF($D39="Full-time",INDEX(BenFT,2),INDEX(BenPT,2))+INDEX(TaxRate,2))</f>
        <v>0</v>
      </c>
      <c r="W39" s="21" t="n">
        <f aca="false">$F39*$E39*(1+INDEX(Raise,3))*$I39/12*IF($H39="All",1,IF($H39="Growth only",IF(3=3,1,0),IF($H39="Not in Conservative",IF(3=2,0,1),1)))*(1-INDEX(Vacancy,3))*(1+IF($D39="Full-time",INDEX(BenFT,3),INDEX(BenPT,3))+INDEX(TaxRate,3))</f>
        <v>62283.126</v>
      </c>
    </row>
    <row r="40" customFormat="false" ht="15" hidden="false" customHeight="false" outlineLevel="0" collapsed="false">
      <c r="A40" s="42" t="s">
        <v>157</v>
      </c>
      <c r="B40" s="42" t="s">
        <v>34</v>
      </c>
      <c r="C40" s="42" t="s">
        <v>148</v>
      </c>
      <c r="D40" s="42" t="s">
        <v>127</v>
      </c>
      <c r="E40" s="43" t="n">
        <v>1</v>
      </c>
      <c r="F40" s="44" t="n">
        <v>45000</v>
      </c>
      <c r="G40" s="45" t="n">
        <v>6</v>
      </c>
      <c r="H40" s="46" t="s">
        <v>149</v>
      </c>
      <c r="I40" s="21" t="n">
        <f aca="false">13-G40</f>
        <v>7</v>
      </c>
      <c r="J40" s="47" t="n">
        <f aca="false">IF($H40="All",1,IF($H40="Growth only",IF(ScenNo=3,1,0),IF($H40="Not in Conservative",IF(ScenNo=2,0,1),1)))</f>
        <v>0</v>
      </c>
      <c r="K40" s="21" t="n">
        <f aca="false">$F40*$E40*(1+INDEX(Raise,ScenNo))*$I40/12*$J40*(1-INDEX(Vacancy,ScenNo))</f>
        <v>0</v>
      </c>
      <c r="L40" s="21" t="n">
        <f aca="false">K40*IF($D40="Full-time",INDEX(BenFT,ScenNo),INDEX(BenPT,ScenNo))</f>
        <v>0</v>
      </c>
      <c r="M40" s="21" t="n">
        <f aca="false">K40*INDEX(TaxRate,ScenNo)</f>
        <v>0</v>
      </c>
      <c r="N40" s="27" t="n">
        <f aca="false">SUM(K40:M40)</f>
        <v>0</v>
      </c>
      <c r="O40" s="48"/>
      <c r="P40" s="48" t="n">
        <v>1</v>
      </c>
      <c r="Q40" s="48"/>
      <c r="R40" s="48"/>
      <c r="S40" s="48"/>
      <c r="T40" s="49" t="str">
        <f aca="false">IF(ROUND(SUM(O40:S40),4)=1,"OK","Fix")</f>
        <v>OK</v>
      </c>
      <c r="U40" s="21" t="n">
        <f aca="false">$F40*$E40*(1+INDEX(Raise,1))*$I40/12*IF($H40="All",1,IF($H40="Growth only",IF(1=3,1,0),IF($H40="Not in Conservative",IF(1=2,0,1),1)))*(1-INDEX(Vacancy,1))*(1+IF($D40="Full-time",INDEX(BenFT,1),INDEX(BenPT,1))+INDEX(TaxRate,1))</f>
        <v>0</v>
      </c>
      <c r="V40" s="21" t="n">
        <f aca="false">$F40*$E40*(1+INDEX(Raise,2))*$I40/12*IF($H40="All",1,IF($H40="Growth only",IF(2=3,1,0),IF($H40="Not in Conservative",IF(2=2,0,1),1)))*(1-INDEX(Vacancy,2))*(1+IF($D40="Full-time",INDEX(BenFT,2),INDEX(BenPT,2))+INDEX(TaxRate,2))</f>
        <v>0</v>
      </c>
      <c r="W40" s="21" t="n">
        <f aca="false">$F40*$E40*(1+INDEX(Raise,3))*$I40/12*IF($H40="All",1,IF($H40="Growth only",IF(3=3,1,0),IF($H40="Not in Conservative",IF(3=2,0,1),1)))*(1-INDEX(Vacancy,3))*(1+IF($D40="Full-time",INDEX(BenFT,3),INDEX(BenPT,3))+INDEX(TaxRate,3))</f>
        <v>33826.1805</v>
      </c>
    </row>
    <row r="41" customFormat="false" ht="15" hidden="false" customHeight="false" outlineLevel="0" collapsed="false">
      <c r="A41" s="42" t="s">
        <v>158</v>
      </c>
      <c r="B41" s="42" t="s">
        <v>35</v>
      </c>
      <c r="C41" s="42" t="s">
        <v>126</v>
      </c>
      <c r="D41" s="42" t="s">
        <v>127</v>
      </c>
      <c r="E41" s="43" t="n">
        <v>1</v>
      </c>
      <c r="F41" s="44" t="n">
        <v>70000</v>
      </c>
      <c r="G41" s="45" t="n">
        <v>1</v>
      </c>
      <c r="H41" s="46" t="s">
        <v>128</v>
      </c>
      <c r="I41" s="21" t="n">
        <f aca="false">13-G41</f>
        <v>12</v>
      </c>
      <c r="J41" s="47" t="n">
        <f aca="false">IF($H41="All",1,IF($H41="Growth only",IF(ScenNo=3,1,0),IF($H41="Not in Conservative",IF(ScenNo=2,0,1),1)))</f>
        <v>1</v>
      </c>
      <c r="K41" s="21" t="n">
        <f aca="false">$F41*$E41*(1+INDEX(Raise,ScenNo))*$I41/12*$J41*(1-INDEX(Vacancy,ScenNo))</f>
        <v>70658</v>
      </c>
      <c r="L41" s="21" t="n">
        <f aca="false">K41*IF($D41="Full-time",INDEX(BenFT,ScenNo),INDEX(BenPT,ScenNo))</f>
        <v>13071.73</v>
      </c>
      <c r="M41" s="21" t="n">
        <f aca="false">K41*INDEX(TaxRate,ScenNo)</f>
        <v>5581.982</v>
      </c>
      <c r="N41" s="27" t="n">
        <f aca="false">SUM(K41:M41)</f>
        <v>89311.712</v>
      </c>
      <c r="O41" s="48"/>
      <c r="P41" s="48"/>
      <c r="Q41" s="48" t="n">
        <v>1</v>
      </c>
      <c r="R41" s="48"/>
      <c r="S41" s="48"/>
      <c r="T41" s="49" t="str">
        <f aca="false">IF(ROUND(SUM(O41:S41),4)=1,"OK","Fix")</f>
        <v>OK</v>
      </c>
      <c r="U41" s="21" t="n">
        <f aca="false">$F41*$E41*(1+INDEX(Raise,1))*$I41/12*IF($H41="All",1,IF($H41="Growth only",IF(1=3,1,0),IF($H41="Not in Conservative",IF(1=2,0,1),1)))*(1-INDEX(Vacancy,1))*(1+IF($D41="Full-time",INDEX(BenFT,1),INDEX(BenPT,1))+INDEX(TaxRate,1))</f>
        <v>89311.712</v>
      </c>
      <c r="V41" s="21" t="n">
        <f aca="false">$F41*$E41*(1+INDEX(Raise,2))*$I41/12*IF($H41="All",1,IF($H41="Growth only",IF(2=3,1,0),IF($H41="Not in Conservative",IF(2=2,0,1),1)))*(1-INDEX(Vacancy,2))*(1+IF($D41="Full-time",INDEX(BenFT,2),INDEX(BenPT,2))+INDEX(TaxRate,2))</f>
        <v>88234.692</v>
      </c>
      <c r="W41" s="21" t="n">
        <f aca="false">$F41*$E41*(1+INDEX(Raise,3))*$I41/12*IF($H41="All",1,IF($H41="Growth only",IF(3=3,1,0),IF($H41="Not in Conservative",IF(3=2,0,1),1)))*(1-INDEX(Vacancy,3))*(1+IF($D41="Full-time",INDEX(BenFT,3),INDEX(BenPT,3))+INDEX(TaxRate,3))</f>
        <v>90203.148</v>
      </c>
    </row>
    <row r="42" customFormat="false" ht="15" hidden="false" customHeight="false" outlineLevel="0" collapsed="false">
      <c r="A42" s="42" t="s">
        <v>159</v>
      </c>
      <c r="B42" s="42" t="s">
        <v>35</v>
      </c>
      <c r="C42" s="42" t="s">
        <v>126</v>
      </c>
      <c r="D42" s="42" t="s">
        <v>127</v>
      </c>
      <c r="E42" s="43" t="n">
        <v>1</v>
      </c>
      <c r="F42" s="44" t="n">
        <v>49500</v>
      </c>
      <c r="G42" s="45" t="n">
        <v>1</v>
      </c>
      <c r="H42" s="46" t="s">
        <v>128</v>
      </c>
      <c r="I42" s="21" t="n">
        <f aca="false">13-G42</f>
        <v>12</v>
      </c>
      <c r="J42" s="47" t="n">
        <f aca="false">IF($H42="All",1,IF($H42="Growth only",IF(ScenNo=3,1,0),IF($H42="Not in Conservative",IF(ScenNo=2,0,1),1)))</f>
        <v>1</v>
      </c>
      <c r="K42" s="21" t="n">
        <f aca="false">$F42*$E42*(1+INDEX(Raise,ScenNo))*$I42/12*$J42*(1-INDEX(Vacancy,ScenNo))</f>
        <v>49965.3</v>
      </c>
      <c r="L42" s="21" t="n">
        <f aca="false">K42*IF($D42="Full-time",INDEX(BenFT,ScenNo),INDEX(BenPT,ScenNo))</f>
        <v>9243.5805</v>
      </c>
      <c r="M42" s="21" t="n">
        <f aca="false">K42*INDEX(TaxRate,ScenNo)</f>
        <v>3947.2587</v>
      </c>
      <c r="N42" s="27" t="n">
        <f aca="false">SUM(K42:M42)</f>
        <v>63156.1392</v>
      </c>
      <c r="O42" s="48"/>
      <c r="P42" s="48"/>
      <c r="Q42" s="48" t="n">
        <v>1</v>
      </c>
      <c r="R42" s="48"/>
      <c r="S42" s="48"/>
      <c r="T42" s="49" t="str">
        <f aca="false">IF(ROUND(SUM(O42:S42),4)=1,"OK","Fix")</f>
        <v>OK</v>
      </c>
      <c r="U42" s="21" t="n">
        <f aca="false">$F42*$E42*(1+INDEX(Raise,1))*$I42/12*IF($H42="All",1,IF($H42="Growth only",IF(1=3,1,0),IF($H42="Not in Conservative",IF(1=2,0,1),1)))*(1-INDEX(Vacancy,1))*(1+IF($D42="Full-time",INDEX(BenFT,1),INDEX(BenPT,1))+INDEX(TaxRate,1))</f>
        <v>63156.1392</v>
      </c>
      <c r="V42" s="21" t="n">
        <f aca="false">$F42*$E42*(1+INDEX(Raise,2))*$I42/12*IF($H42="All",1,IF($H42="Growth only",IF(2=3,1,0),IF($H42="Not in Conservative",IF(2=2,0,1),1)))*(1-INDEX(Vacancy,2))*(1+IF($D42="Full-time",INDEX(BenFT,2),INDEX(BenPT,2))+INDEX(TaxRate,2))</f>
        <v>62394.5322</v>
      </c>
      <c r="W42" s="21" t="n">
        <f aca="false">$F42*$E42*(1+INDEX(Raise,3))*$I42/12*IF($H42="All",1,IF($H42="Growth only",IF(3=3,1,0),IF($H42="Not in Conservative",IF(3=2,0,1),1)))*(1-INDEX(Vacancy,3))*(1+IF($D42="Full-time",INDEX(BenFT,3),INDEX(BenPT,3))+INDEX(TaxRate,3))</f>
        <v>63786.5118</v>
      </c>
    </row>
    <row r="43" customFormat="false" ht="15" hidden="false" customHeight="false" outlineLevel="0" collapsed="false">
      <c r="A43" s="42" t="s">
        <v>160</v>
      </c>
      <c r="B43" s="42" t="s">
        <v>35</v>
      </c>
      <c r="C43" s="42" t="s">
        <v>126</v>
      </c>
      <c r="D43" s="42" t="s">
        <v>127</v>
      </c>
      <c r="E43" s="43" t="n">
        <v>1</v>
      </c>
      <c r="F43" s="44" t="n">
        <v>42000</v>
      </c>
      <c r="G43" s="45" t="n">
        <v>1</v>
      </c>
      <c r="H43" s="46" t="s">
        <v>128</v>
      </c>
      <c r="I43" s="21" t="n">
        <f aca="false">13-G43</f>
        <v>12</v>
      </c>
      <c r="J43" s="47" t="n">
        <f aca="false">IF($H43="All",1,IF($H43="Growth only",IF(ScenNo=3,1,0),IF($H43="Not in Conservative",IF(ScenNo=2,0,1),1)))</f>
        <v>1</v>
      </c>
      <c r="K43" s="21" t="n">
        <f aca="false">$F43*$E43*(1+INDEX(Raise,ScenNo))*$I43/12*$J43*(1-INDEX(Vacancy,ScenNo))</f>
        <v>42394.8</v>
      </c>
      <c r="L43" s="21" t="n">
        <f aca="false">K43*IF($D43="Full-time",INDEX(BenFT,ScenNo),INDEX(BenPT,ScenNo))</f>
        <v>7843.038</v>
      </c>
      <c r="M43" s="21" t="n">
        <f aca="false">K43*INDEX(TaxRate,ScenNo)</f>
        <v>3349.1892</v>
      </c>
      <c r="N43" s="27" t="n">
        <f aca="false">SUM(K43:M43)</f>
        <v>53587.0272</v>
      </c>
      <c r="O43" s="48"/>
      <c r="P43" s="48"/>
      <c r="Q43" s="48" t="n">
        <v>1</v>
      </c>
      <c r="R43" s="48"/>
      <c r="S43" s="48"/>
      <c r="T43" s="49" t="str">
        <f aca="false">IF(ROUND(SUM(O43:S43),4)=1,"OK","Fix")</f>
        <v>OK</v>
      </c>
      <c r="U43" s="21" t="n">
        <f aca="false">$F43*$E43*(1+INDEX(Raise,1))*$I43/12*IF($H43="All",1,IF($H43="Growth only",IF(1=3,1,0),IF($H43="Not in Conservative",IF(1=2,0,1),1)))*(1-INDEX(Vacancy,1))*(1+IF($D43="Full-time",INDEX(BenFT,1),INDEX(BenPT,1))+INDEX(TaxRate,1))</f>
        <v>53587.0272</v>
      </c>
      <c r="V43" s="21" t="n">
        <f aca="false">$F43*$E43*(1+INDEX(Raise,2))*$I43/12*IF($H43="All",1,IF($H43="Growth only",IF(2=3,1,0),IF($H43="Not in Conservative",IF(2=2,0,1),1)))*(1-INDEX(Vacancy,2))*(1+IF($D43="Full-time",INDEX(BenFT,2),INDEX(BenPT,2))+INDEX(TaxRate,2))</f>
        <v>52940.8152</v>
      </c>
      <c r="W43" s="21" t="n">
        <f aca="false">$F43*$E43*(1+INDEX(Raise,3))*$I43/12*IF($H43="All",1,IF($H43="Growth only",IF(3=3,1,0),IF($H43="Not in Conservative",IF(3=2,0,1),1)))*(1-INDEX(Vacancy,3))*(1+IF($D43="Full-time",INDEX(BenFT,3),INDEX(BenPT,3))+INDEX(TaxRate,3))</f>
        <v>54121.8888</v>
      </c>
    </row>
    <row r="44" customFormat="false" ht="15" hidden="false" customHeight="false" outlineLevel="0" collapsed="false">
      <c r="A44" s="42" t="s">
        <v>161</v>
      </c>
      <c r="B44" s="42" t="s">
        <v>35</v>
      </c>
      <c r="C44" s="42" t="s">
        <v>126</v>
      </c>
      <c r="D44" s="42" t="s">
        <v>131</v>
      </c>
      <c r="E44" s="43" t="n">
        <v>0.6</v>
      </c>
      <c r="F44" s="44" t="n">
        <v>32000</v>
      </c>
      <c r="G44" s="45" t="n">
        <v>1</v>
      </c>
      <c r="H44" s="46" t="s">
        <v>128</v>
      </c>
      <c r="I44" s="21" t="n">
        <f aca="false">13-G44</f>
        <v>12</v>
      </c>
      <c r="J44" s="47" t="n">
        <f aca="false">IF($H44="All",1,IF($H44="Growth only",IF(ScenNo=3,1,0),IF($H44="Not in Conservative",IF(ScenNo=2,0,1),1)))</f>
        <v>1</v>
      </c>
      <c r="K44" s="21" t="n">
        <f aca="false">$F44*$E44*(1+INDEX(Raise,ScenNo))*$I44/12*$J44*(1-INDEX(Vacancy,ScenNo))</f>
        <v>19380.48</v>
      </c>
      <c r="L44" s="21" t="n">
        <f aca="false">K44*IF($D44="Full-time",INDEX(BenFT,ScenNo),INDEX(BenPT,ScenNo))</f>
        <v>387.6096</v>
      </c>
      <c r="M44" s="21" t="n">
        <f aca="false">K44*INDEX(TaxRate,ScenNo)</f>
        <v>1531.05792</v>
      </c>
      <c r="N44" s="27" t="n">
        <f aca="false">SUM(K44:M44)</f>
        <v>21299.14752</v>
      </c>
      <c r="O44" s="48"/>
      <c r="P44" s="48"/>
      <c r="Q44" s="48" t="n">
        <v>1</v>
      </c>
      <c r="R44" s="48"/>
      <c r="S44" s="48"/>
      <c r="T44" s="49" t="str">
        <f aca="false">IF(ROUND(SUM(O44:S44),4)=1,"OK","Fix")</f>
        <v>OK</v>
      </c>
      <c r="U44" s="21" t="n">
        <f aca="false">$F44*$E44*(1+INDEX(Raise,1))*$I44/12*IF($H44="All",1,IF($H44="Growth only",IF(1=3,1,0),IF($H44="Not in Conservative",IF(1=2,0,1),1)))*(1-INDEX(Vacancy,1))*(1+IF($D44="Full-time",INDEX(BenFT,1),INDEX(BenPT,1))+INDEX(TaxRate,1))</f>
        <v>21299.14752</v>
      </c>
      <c r="V44" s="21" t="n">
        <f aca="false">$F44*$E44*(1+INDEX(Raise,2))*$I44/12*IF($H44="All",1,IF($H44="Growth only",IF(2=3,1,0),IF($H44="Not in Conservative",IF(2=2,0,1),1)))*(1-INDEX(Vacancy,2))*(1+IF($D44="Full-time",INDEX(BenFT,2),INDEX(BenPT,2))+INDEX(TaxRate,2))</f>
        <v>20877.13152</v>
      </c>
      <c r="W44" s="21" t="n">
        <f aca="false">$F44*$E44*(1+INDEX(Raise,3))*$I44/12*IF($H44="All",1,IF($H44="Growth only",IF(3=3,1,0),IF($H44="Not in Conservative",IF(3=2,0,1),1)))*(1-INDEX(Vacancy,3))*(1+IF($D44="Full-time",INDEX(BenFT,3),INDEX(BenPT,3))+INDEX(TaxRate,3))</f>
        <v>21511.73808</v>
      </c>
    </row>
    <row r="45" customFormat="false" ht="15" hidden="false" customHeight="false" outlineLevel="0" collapsed="false">
      <c r="A45" s="42" t="s">
        <v>161</v>
      </c>
      <c r="B45" s="42" t="s">
        <v>35</v>
      </c>
      <c r="C45" s="42" t="s">
        <v>126</v>
      </c>
      <c r="D45" s="42" t="s">
        <v>131</v>
      </c>
      <c r="E45" s="43" t="n">
        <v>0.6</v>
      </c>
      <c r="F45" s="44" t="n">
        <v>32000</v>
      </c>
      <c r="G45" s="45" t="n">
        <v>1</v>
      </c>
      <c r="H45" s="46" t="s">
        <v>128</v>
      </c>
      <c r="I45" s="21" t="n">
        <f aca="false">13-G45</f>
        <v>12</v>
      </c>
      <c r="J45" s="47" t="n">
        <f aca="false">IF($H45="All",1,IF($H45="Growth only",IF(ScenNo=3,1,0),IF($H45="Not in Conservative",IF(ScenNo=2,0,1),1)))</f>
        <v>1</v>
      </c>
      <c r="K45" s="21" t="n">
        <f aca="false">$F45*$E45*(1+INDEX(Raise,ScenNo))*$I45/12*$J45*(1-INDEX(Vacancy,ScenNo))</f>
        <v>19380.48</v>
      </c>
      <c r="L45" s="21" t="n">
        <f aca="false">K45*IF($D45="Full-time",INDEX(BenFT,ScenNo),INDEX(BenPT,ScenNo))</f>
        <v>387.6096</v>
      </c>
      <c r="M45" s="21" t="n">
        <f aca="false">K45*INDEX(TaxRate,ScenNo)</f>
        <v>1531.05792</v>
      </c>
      <c r="N45" s="27" t="n">
        <f aca="false">SUM(K45:M45)</f>
        <v>21299.14752</v>
      </c>
      <c r="O45" s="48"/>
      <c r="P45" s="48"/>
      <c r="Q45" s="48" t="n">
        <v>1</v>
      </c>
      <c r="R45" s="48"/>
      <c r="S45" s="48"/>
      <c r="T45" s="49" t="str">
        <f aca="false">IF(ROUND(SUM(O45:S45),4)=1,"OK","Fix")</f>
        <v>OK</v>
      </c>
      <c r="U45" s="21" t="n">
        <f aca="false">$F45*$E45*(1+INDEX(Raise,1))*$I45/12*IF($H45="All",1,IF($H45="Growth only",IF(1=3,1,0),IF($H45="Not in Conservative",IF(1=2,0,1),1)))*(1-INDEX(Vacancy,1))*(1+IF($D45="Full-time",INDEX(BenFT,1),INDEX(BenPT,1))+INDEX(TaxRate,1))</f>
        <v>21299.14752</v>
      </c>
      <c r="V45" s="21" t="n">
        <f aca="false">$F45*$E45*(1+INDEX(Raise,2))*$I45/12*IF($H45="All",1,IF($H45="Growth only",IF(2=3,1,0),IF($H45="Not in Conservative",IF(2=2,0,1),1)))*(1-INDEX(Vacancy,2))*(1+IF($D45="Full-time",INDEX(BenFT,2),INDEX(BenPT,2))+INDEX(TaxRate,2))</f>
        <v>20877.13152</v>
      </c>
      <c r="W45" s="21" t="n">
        <f aca="false">$F45*$E45*(1+INDEX(Raise,3))*$I45/12*IF($H45="All",1,IF($H45="Growth only",IF(3=3,1,0),IF($H45="Not in Conservative",IF(3=2,0,1),1)))*(1-INDEX(Vacancy,3))*(1+IF($D45="Full-time",INDEX(BenFT,3),INDEX(BenPT,3))+INDEX(TaxRate,3))</f>
        <v>21511.73808</v>
      </c>
    </row>
    <row r="46" customFormat="false" ht="15" hidden="false" customHeight="false" outlineLevel="0" collapsed="false">
      <c r="A46" s="42" t="s">
        <v>162</v>
      </c>
      <c r="B46" s="42" t="s">
        <v>35</v>
      </c>
      <c r="C46" s="42" t="s">
        <v>126</v>
      </c>
      <c r="D46" s="42" t="s">
        <v>131</v>
      </c>
      <c r="E46" s="43" t="n">
        <v>0.75</v>
      </c>
      <c r="F46" s="44" t="n">
        <v>34000</v>
      </c>
      <c r="G46" s="45" t="n">
        <v>1</v>
      </c>
      <c r="H46" s="46" t="s">
        <v>128</v>
      </c>
      <c r="I46" s="21" t="n">
        <f aca="false">13-G46</f>
        <v>12</v>
      </c>
      <c r="J46" s="47" t="n">
        <f aca="false">IF($H46="All",1,IF($H46="Growth only",IF(ScenNo=3,1,0),IF($H46="Not in Conservative",IF(ScenNo=2,0,1),1)))</f>
        <v>1</v>
      </c>
      <c r="K46" s="21" t="n">
        <f aca="false">$F46*$E46*(1+INDEX(Raise,ScenNo))*$I46/12*$J46*(1-INDEX(Vacancy,ScenNo))</f>
        <v>25739.7</v>
      </c>
      <c r="L46" s="21" t="n">
        <f aca="false">K46*IF($D46="Full-time",INDEX(BenFT,ScenNo),INDEX(BenPT,ScenNo))</f>
        <v>514.794</v>
      </c>
      <c r="M46" s="21" t="n">
        <f aca="false">K46*INDEX(TaxRate,ScenNo)</f>
        <v>2033.4363</v>
      </c>
      <c r="N46" s="27" t="n">
        <f aca="false">SUM(K46:M46)</f>
        <v>28287.9303</v>
      </c>
      <c r="O46" s="48"/>
      <c r="P46" s="48"/>
      <c r="Q46" s="48" t="n">
        <v>1</v>
      </c>
      <c r="R46" s="48"/>
      <c r="S46" s="48"/>
      <c r="T46" s="49" t="str">
        <f aca="false">IF(ROUND(SUM(O46:S46),4)=1,"OK","Fix")</f>
        <v>OK</v>
      </c>
      <c r="U46" s="21" t="n">
        <f aca="false">$F46*$E46*(1+INDEX(Raise,1))*$I46/12*IF($H46="All",1,IF($H46="Growth only",IF(1=3,1,0),IF($H46="Not in Conservative",IF(1=2,0,1),1)))*(1-INDEX(Vacancy,1))*(1+IF($D46="Full-time",INDEX(BenFT,1),INDEX(BenPT,1))+INDEX(TaxRate,1))</f>
        <v>28287.9303</v>
      </c>
      <c r="V46" s="21" t="n">
        <f aca="false">$F46*$E46*(1+INDEX(Raise,2))*$I46/12*IF($H46="All",1,IF($H46="Growth only",IF(2=3,1,0),IF($H46="Not in Conservative",IF(2=2,0,1),1)))*(1-INDEX(Vacancy,2))*(1+IF($D46="Full-time",INDEX(BenFT,2),INDEX(BenPT,2))+INDEX(TaxRate,2))</f>
        <v>27727.4403</v>
      </c>
      <c r="W46" s="21" t="n">
        <f aca="false">$F46*$E46*(1+INDEX(Raise,3))*$I46/12*IF($H46="All",1,IF($H46="Growth only",IF(3=3,1,0),IF($H46="Not in Conservative",IF(3=2,0,1),1)))*(1-INDEX(Vacancy,3))*(1+IF($D46="Full-time",INDEX(BenFT,3),INDEX(BenPT,3))+INDEX(TaxRate,3))</f>
        <v>28570.2771375</v>
      </c>
    </row>
    <row r="47" customFormat="false" ht="15" hidden="false" customHeight="false" outlineLevel="0" collapsed="false">
      <c r="A47" s="42" t="s">
        <v>162</v>
      </c>
      <c r="B47" s="42" t="s">
        <v>35</v>
      </c>
      <c r="C47" s="42" t="s">
        <v>126</v>
      </c>
      <c r="D47" s="42" t="s">
        <v>131</v>
      </c>
      <c r="E47" s="43" t="n">
        <v>0.75</v>
      </c>
      <c r="F47" s="44" t="n">
        <v>34000</v>
      </c>
      <c r="G47" s="45" t="n">
        <v>1</v>
      </c>
      <c r="H47" s="46" t="s">
        <v>128</v>
      </c>
      <c r="I47" s="21" t="n">
        <f aca="false">13-G47</f>
        <v>12</v>
      </c>
      <c r="J47" s="47" t="n">
        <f aca="false">IF($H47="All",1,IF($H47="Growth only",IF(ScenNo=3,1,0),IF($H47="Not in Conservative",IF(ScenNo=2,0,1),1)))</f>
        <v>1</v>
      </c>
      <c r="K47" s="21" t="n">
        <f aca="false">$F47*$E47*(1+INDEX(Raise,ScenNo))*$I47/12*$J47*(1-INDEX(Vacancy,ScenNo))</f>
        <v>25739.7</v>
      </c>
      <c r="L47" s="21" t="n">
        <f aca="false">K47*IF($D47="Full-time",INDEX(BenFT,ScenNo),INDEX(BenPT,ScenNo))</f>
        <v>514.794</v>
      </c>
      <c r="M47" s="21" t="n">
        <f aca="false">K47*INDEX(TaxRate,ScenNo)</f>
        <v>2033.4363</v>
      </c>
      <c r="N47" s="27" t="n">
        <f aca="false">SUM(K47:M47)</f>
        <v>28287.9303</v>
      </c>
      <c r="O47" s="48"/>
      <c r="P47" s="48"/>
      <c r="Q47" s="48" t="n">
        <v>1</v>
      </c>
      <c r="R47" s="48"/>
      <c r="S47" s="48"/>
      <c r="T47" s="49" t="str">
        <f aca="false">IF(ROUND(SUM(O47:S47),4)=1,"OK","Fix")</f>
        <v>OK</v>
      </c>
      <c r="U47" s="21" t="n">
        <f aca="false">$F47*$E47*(1+INDEX(Raise,1))*$I47/12*IF($H47="All",1,IF($H47="Growth only",IF(1=3,1,0),IF($H47="Not in Conservative",IF(1=2,0,1),1)))*(1-INDEX(Vacancy,1))*(1+IF($D47="Full-time",INDEX(BenFT,1),INDEX(BenPT,1))+INDEX(TaxRate,1))</f>
        <v>28287.9303</v>
      </c>
      <c r="V47" s="21" t="n">
        <f aca="false">$F47*$E47*(1+INDEX(Raise,2))*$I47/12*IF($H47="All",1,IF($H47="Growth only",IF(2=3,1,0),IF($H47="Not in Conservative",IF(2=2,0,1),1)))*(1-INDEX(Vacancy,2))*(1+IF($D47="Full-time",INDEX(BenFT,2),INDEX(BenPT,2))+INDEX(TaxRate,2))</f>
        <v>27727.4403</v>
      </c>
      <c r="W47" s="21" t="n">
        <f aca="false">$F47*$E47*(1+INDEX(Raise,3))*$I47/12*IF($H47="All",1,IF($H47="Growth only",IF(3=3,1,0),IF($H47="Not in Conservative",IF(3=2,0,1),1)))*(1-INDEX(Vacancy,3))*(1+IF($D47="Full-time",INDEX(BenFT,3),INDEX(BenPT,3))+INDEX(TaxRate,3))</f>
        <v>28570.2771375</v>
      </c>
    </row>
    <row r="48" customFormat="false" ht="15" hidden="false" customHeight="false" outlineLevel="0" collapsed="false">
      <c r="A48" s="42" t="s">
        <v>162</v>
      </c>
      <c r="B48" s="42" t="s">
        <v>35</v>
      </c>
      <c r="C48" s="42" t="s">
        <v>126</v>
      </c>
      <c r="D48" s="42" t="s">
        <v>131</v>
      </c>
      <c r="E48" s="43" t="n">
        <v>0.75</v>
      </c>
      <c r="F48" s="44" t="n">
        <v>34000</v>
      </c>
      <c r="G48" s="45" t="n">
        <v>1</v>
      </c>
      <c r="H48" s="46" t="s">
        <v>128</v>
      </c>
      <c r="I48" s="21" t="n">
        <f aca="false">13-G48</f>
        <v>12</v>
      </c>
      <c r="J48" s="47" t="n">
        <f aca="false">IF($H48="All",1,IF($H48="Growth only",IF(ScenNo=3,1,0),IF($H48="Not in Conservative",IF(ScenNo=2,0,1),1)))</f>
        <v>1</v>
      </c>
      <c r="K48" s="21" t="n">
        <f aca="false">$F48*$E48*(1+INDEX(Raise,ScenNo))*$I48/12*$J48*(1-INDEX(Vacancy,ScenNo))</f>
        <v>25739.7</v>
      </c>
      <c r="L48" s="21" t="n">
        <f aca="false">K48*IF($D48="Full-time",INDEX(BenFT,ScenNo),INDEX(BenPT,ScenNo))</f>
        <v>514.794</v>
      </c>
      <c r="M48" s="21" t="n">
        <f aca="false">K48*INDEX(TaxRate,ScenNo)</f>
        <v>2033.4363</v>
      </c>
      <c r="N48" s="27" t="n">
        <f aca="false">SUM(K48:M48)</f>
        <v>28287.9303</v>
      </c>
      <c r="O48" s="48"/>
      <c r="P48" s="48"/>
      <c r="Q48" s="48" t="n">
        <v>1</v>
      </c>
      <c r="R48" s="48"/>
      <c r="S48" s="48"/>
      <c r="T48" s="49" t="str">
        <f aca="false">IF(ROUND(SUM(O48:S48),4)=1,"OK","Fix")</f>
        <v>OK</v>
      </c>
      <c r="U48" s="21" t="n">
        <f aca="false">$F48*$E48*(1+INDEX(Raise,1))*$I48/12*IF($H48="All",1,IF($H48="Growth only",IF(1=3,1,0),IF($H48="Not in Conservative",IF(1=2,0,1),1)))*(1-INDEX(Vacancy,1))*(1+IF($D48="Full-time",INDEX(BenFT,1),INDEX(BenPT,1))+INDEX(TaxRate,1))</f>
        <v>28287.9303</v>
      </c>
      <c r="V48" s="21" t="n">
        <f aca="false">$F48*$E48*(1+INDEX(Raise,2))*$I48/12*IF($H48="All",1,IF($H48="Growth only",IF(2=3,1,0),IF($H48="Not in Conservative",IF(2=2,0,1),1)))*(1-INDEX(Vacancy,2))*(1+IF($D48="Full-time",INDEX(BenFT,2),INDEX(BenPT,2))+INDEX(TaxRate,2))</f>
        <v>27727.4403</v>
      </c>
      <c r="W48" s="21" t="n">
        <f aca="false">$F48*$E48*(1+INDEX(Raise,3))*$I48/12*IF($H48="All",1,IF($H48="Growth only",IF(3=3,1,0),IF($H48="Not in Conservative",IF(3=2,0,1),1)))*(1-INDEX(Vacancy,3))*(1+IF($D48="Full-time",INDEX(BenFT,3),INDEX(BenPT,3))+INDEX(TaxRate,3))</f>
        <v>28570.2771375</v>
      </c>
    </row>
    <row r="49" customFormat="false" ht="15" hidden="false" customHeight="false" outlineLevel="0" collapsed="false">
      <c r="A49" s="42" t="s">
        <v>163</v>
      </c>
      <c r="B49" s="42" t="s">
        <v>35</v>
      </c>
      <c r="C49" s="42" t="s">
        <v>126</v>
      </c>
      <c r="D49" s="42" t="s">
        <v>127</v>
      </c>
      <c r="E49" s="43" t="n">
        <v>1</v>
      </c>
      <c r="F49" s="44" t="n">
        <v>47000</v>
      </c>
      <c r="G49" s="45" t="n">
        <v>1</v>
      </c>
      <c r="H49" s="46" t="s">
        <v>128</v>
      </c>
      <c r="I49" s="21" t="n">
        <f aca="false">13-G49</f>
        <v>12</v>
      </c>
      <c r="J49" s="47" t="n">
        <f aca="false">IF($H49="All",1,IF($H49="Growth only",IF(ScenNo=3,1,0),IF($H49="Not in Conservative",IF(ScenNo=2,0,1),1)))</f>
        <v>1</v>
      </c>
      <c r="K49" s="21" t="n">
        <f aca="false">$F49*$E49*(1+INDEX(Raise,ScenNo))*$I49/12*$J49*(1-INDEX(Vacancy,ScenNo))</f>
        <v>47441.8</v>
      </c>
      <c r="L49" s="21" t="n">
        <f aca="false">K49*IF($D49="Full-time",INDEX(BenFT,ScenNo),INDEX(BenPT,ScenNo))</f>
        <v>8776.733</v>
      </c>
      <c r="M49" s="21" t="n">
        <f aca="false">K49*INDEX(TaxRate,ScenNo)</f>
        <v>3747.9022</v>
      </c>
      <c r="N49" s="27" t="n">
        <f aca="false">SUM(K49:M49)</f>
        <v>59966.4352</v>
      </c>
      <c r="O49" s="48"/>
      <c r="P49" s="48"/>
      <c r="Q49" s="48" t="n">
        <v>1</v>
      </c>
      <c r="R49" s="48"/>
      <c r="S49" s="48"/>
      <c r="T49" s="49" t="str">
        <f aca="false">IF(ROUND(SUM(O49:S49),4)=1,"OK","Fix")</f>
        <v>OK</v>
      </c>
      <c r="U49" s="21" t="n">
        <f aca="false">$F49*$E49*(1+INDEX(Raise,1))*$I49/12*IF($H49="All",1,IF($H49="Growth only",IF(1=3,1,0),IF($H49="Not in Conservative",IF(1=2,0,1),1)))*(1-INDEX(Vacancy,1))*(1+IF($D49="Full-time",INDEX(BenFT,1),INDEX(BenPT,1))+INDEX(TaxRate,1))</f>
        <v>59966.4352</v>
      </c>
      <c r="V49" s="21" t="n">
        <f aca="false">$F49*$E49*(1+INDEX(Raise,2))*$I49/12*IF($H49="All",1,IF($H49="Growth only",IF(2=3,1,0),IF($H49="Not in Conservative",IF(2=2,0,1),1)))*(1-INDEX(Vacancy,2))*(1+IF($D49="Full-time",INDEX(BenFT,2),INDEX(BenPT,2))+INDEX(TaxRate,2))</f>
        <v>59243.2932</v>
      </c>
      <c r="W49" s="21" t="n">
        <f aca="false">$F49*$E49*(1+INDEX(Raise,3))*$I49/12*IF($H49="All",1,IF($H49="Growth only",IF(3=3,1,0),IF($H49="Not in Conservative",IF(3=2,0,1),1)))*(1-INDEX(Vacancy,3))*(1+IF($D49="Full-time",INDEX(BenFT,3),INDEX(BenPT,3))+INDEX(TaxRate,3))</f>
        <v>60564.9708</v>
      </c>
    </row>
    <row r="50" customFormat="false" ht="15" hidden="false" customHeight="false" outlineLevel="0" collapsed="false">
      <c r="A50" s="42" t="s">
        <v>164</v>
      </c>
      <c r="B50" s="42" t="s">
        <v>35</v>
      </c>
      <c r="C50" s="42" t="s">
        <v>126</v>
      </c>
      <c r="D50" s="42" t="s">
        <v>127</v>
      </c>
      <c r="E50" s="43" t="n">
        <v>1</v>
      </c>
      <c r="F50" s="44" t="n">
        <v>45000</v>
      </c>
      <c r="G50" s="45" t="n">
        <v>1</v>
      </c>
      <c r="H50" s="46" t="s">
        <v>128</v>
      </c>
      <c r="I50" s="21" t="n">
        <f aca="false">13-G50</f>
        <v>12</v>
      </c>
      <c r="J50" s="47" t="n">
        <f aca="false">IF($H50="All",1,IF($H50="Growth only",IF(ScenNo=3,1,0),IF($H50="Not in Conservative",IF(ScenNo=2,0,1),1)))</f>
        <v>1</v>
      </c>
      <c r="K50" s="21" t="n">
        <f aca="false">$F50*$E50*(1+INDEX(Raise,ScenNo))*$I50/12*$J50*(1-INDEX(Vacancy,ScenNo))</f>
        <v>45423</v>
      </c>
      <c r="L50" s="21" t="n">
        <f aca="false">K50*IF($D50="Full-time",INDEX(BenFT,ScenNo),INDEX(BenPT,ScenNo))</f>
        <v>8403.255</v>
      </c>
      <c r="M50" s="21" t="n">
        <f aca="false">K50*INDEX(TaxRate,ScenNo)</f>
        <v>3588.417</v>
      </c>
      <c r="N50" s="27" t="n">
        <f aca="false">SUM(K50:M50)</f>
        <v>57414.672</v>
      </c>
      <c r="O50" s="48"/>
      <c r="P50" s="48"/>
      <c r="Q50" s="48" t="n">
        <v>1</v>
      </c>
      <c r="R50" s="48"/>
      <c r="S50" s="48"/>
      <c r="T50" s="49" t="str">
        <f aca="false">IF(ROUND(SUM(O50:S50),4)=1,"OK","Fix")</f>
        <v>OK</v>
      </c>
      <c r="U50" s="21" t="n">
        <f aca="false">$F50*$E50*(1+INDEX(Raise,1))*$I50/12*IF($H50="All",1,IF($H50="Growth only",IF(1=3,1,0),IF($H50="Not in Conservative",IF(1=2,0,1),1)))*(1-INDEX(Vacancy,1))*(1+IF($D50="Full-time",INDEX(BenFT,1),INDEX(BenPT,1))+INDEX(TaxRate,1))</f>
        <v>57414.672</v>
      </c>
      <c r="V50" s="21" t="n">
        <f aca="false">$F50*$E50*(1+INDEX(Raise,2))*$I50/12*IF($H50="All",1,IF($H50="Growth only",IF(2=3,1,0),IF($H50="Not in Conservative",IF(2=2,0,1),1)))*(1-INDEX(Vacancy,2))*(1+IF($D50="Full-time",INDEX(BenFT,2),INDEX(BenPT,2))+INDEX(TaxRate,2))</f>
        <v>56722.302</v>
      </c>
      <c r="W50" s="21" t="n">
        <f aca="false">$F50*$E50*(1+INDEX(Raise,3))*$I50/12*IF($H50="All",1,IF($H50="Growth only",IF(3=3,1,0),IF($H50="Not in Conservative",IF(3=2,0,1),1)))*(1-INDEX(Vacancy,3))*(1+IF($D50="Full-time",INDEX(BenFT,3),INDEX(BenPT,3))+INDEX(TaxRate,3))</f>
        <v>57987.738</v>
      </c>
    </row>
    <row r="51" customFormat="false" ht="15" hidden="false" customHeight="false" outlineLevel="0" collapsed="false">
      <c r="A51" s="42" t="s">
        <v>162</v>
      </c>
      <c r="B51" s="42" t="s">
        <v>35</v>
      </c>
      <c r="C51" s="42" t="s">
        <v>126</v>
      </c>
      <c r="D51" s="42" t="s">
        <v>131</v>
      </c>
      <c r="E51" s="43" t="n">
        <v>0.75</v>
      </c>
      <c r="F51" s="44" t="n">
        <v>34000</v>
      </c>
      <c r="G51" s="45" t="n">
        <v>1</v>
      </c>
      <c r="H51" s="46" t="s">
        <v>128</v>
      </c>
      <c r="I51" s="21" t="n">
        <f aca="false">13-G51</f>
        <v>12</v>
      </c>
      <c r="J51" s="47" t="n">
        <f aca="false">IF($H51="All",1,IF($H51="Growth only",IF(ScenNo=3,1,0),IF($H51="Not in Conservative",IF(ScenNo=2,0,1),1)))</f>
        <v>1</v>
      </c>
      <c r="K51" s="21" t="n">
        <f aca="false">$F51*$E51*(1+INDEX(Raise,ScenNo))*$I51/12*$J51*(1-INDEX(Vacancy,ScenNo))</f>
        <v>25739.7</v>
      </c>
      <c r="L51" s="21" t="n">
        <f aca="false">K51*IF($D51="Full-time",INDEX(BenFT,ScenNo),INDEX(BenPT,ScenNo))</f>
        <v>514.794</v>
      </c>
      <c r="M51" s="21" t="n">
        <f aca="false">K51*INDEX(TaxRate,ScenNo)</f>
        <v>2033.4363</v>
      </c>
      <c r="N51" s="27" t="n">
        <f aca="false">SUM(K51:M51)</f>
        <v>28287.9303</v>
      </c>
      <c r="O51" s="48"/>
      <c r="P51" s="48"/>
      <c r="Q51" s="48" t="n">
        <v>1</v>
      </c>
      <c r="R51" s="48"/>
      <c r="S51" s="48"/>
      <c r="T51" s="49" t="str">
        <f aca="false">IF(ROUND(SUM(O51:S51),4)=1,"OK","Fix")</f>
        <v>OK</v>
      </c>
      <c r="U51" s="21" t="n">
        <f aca="false">$F51*$E51*(1+INDEX(Raise,1))*$I51/12*IF($H51="All",1,IF($H51="Growth only",IF(1=3,1,0),IF($H51="Not in Conservative",IF(1=2,0,1),1)))*(1-INDEX(Vacancy,1))*(1+IF($D51="Full-time",INDEX(BenFT,1),INDEX(BenPT,1))+INDEX(TaxRate,1))</f>
        <v>28287.9303</v>
      </c>
      <c r="V51" s="21" t="n">
        <f aca="false">$F51*$E51*(1+INDEX(Raise,2))*$I51/12*IF($H51="All",1,IF($H51="Growth only",IF(2=3,1,0),IF($H51="Not in Conservative",IF(2=2,0,1),1)))*(1-INDEX(Vacancy,2))*(1+IF($D51="Full-time",INDEX(BenFT,2),INDEX(BenPT,2))+INDEX(TaxRate,2))</f>
        <v>27727.4403</v>
      </c>
      <c r="W51" s="21" t="n">
        <f aca="false">$F51*$E51*(1+INDEX(Raise,3))*$I51/12*IF($H51="All",1,IF($H51="Growth only",IF(3=3,1,0),IF($H51="Not in Conservative",IF(3=2,0,1),1)))*(1-INDEX(Vacancy,3))*(1+IF($D51="Full-time",INDEX(BenFT,3),INDEX(BenPT,3))+INDEX(TaxRate,3))</f>
        <v>28570.2771375</v>
      </c>
    </row>
    <row r="52" customFormat="false" ht="15" hidden="false" customHeight="false" outlineLevel="0" collapsed="false">
      <c r="A52" s="42" t="s">
        <v>165</v>
      </c>
      <c r="B52" s="42" t="s">
        <v>35</v>
      </c>
      <c r="C52" s="42" t="s">
        <v>126</v>
      </c>
      <c r="D52" s="42" t="s">
        <v>127</v>
      </c>
      <c r="E52" s="43" t="n">
        <v>1</v>
      </c>
      <c r="F52" s="44" t="n">
        <v>44000</v>
      </c>
      <c r="G52" s="45" t="n">
        <v>1</v>
      </c>
      <c r="H52" s="46" t="s">
        <v>128</v>
      </c>
      <c r="I52" s="21" t="n">
        <f aca="false">13-G52</f>
        <v>12</v>
      </c>
      <c r="J52" s="47" t="n">
        <f aca="false">IF($H52="All",1,IF($H52="Growth only",IF(ScenNo=3,1,0),IF($H52="Not in Conservative",IF(ScenNo=2,0,1),1)))</f>
        <v>1</v>
      </c>
      <c r="K52" s="21" t="n">
        <f aca="false">$F52*$E52*(1+INDEX(Raise,ScenNo))*$I52/12*$J52*(1-INDEX(Vacancy,ScenNo))</f>
        <v>44413.6</v>
      </c>
      <c r="L52" s="21" t="n">
        <f aca="false">K52*IF($D52="Full-time",INDEX(BenFT,ScenNo),INDEX(BenPT,ScenNo))</f>
        <v>8216.516</v>
      </c>
      <c r="M52" s="21" t="n">
        <f aca="false">K52*INDEX(TaxRate,ScenNo)</f>
        <v>3508.6744</v>
      </c>
      <c r="N52" s="27" t="n">
        <f aca="false">SUM(K52:M52)</f>
        <v>56138.7904</v>
      </c>
      <c r="O52" s="48"/>
      <c r="P52" s="48"/>
      <c r="Q52" s="48" t="n">
        <v>1</v>
      </c>
      <c r="R52" s="48"/>
      <c r="S52" s="48"/>
      <c r="T52" s="49" t="str">
        <f aca="false">IF(ROUND(SUM(O52:S52),4)=1,"OK","Fix")</f>
        <v>OK</v>
      </c>
      <c r="U52" s="21" t="n">
        <f aca="false">$F52*$E52*(1+INDEX(Raise,1))*$I52/12*IF($H52="All",1,IF($H52="Growth only",IF(1=3,1,0),IF($H52="Not in Conservative",IF(1=2,0,1),1)))*(1-INDEX(Vacancy,1))*(1+IF($D52="Full-time",INDEX(BenFT,1),INDEX(BenPT,1))+INDEX(TaxRate,1))</f>
        <v>56138.7904</v>
      </c>
      <c r="V52" s="21" t="n">
        <f aca="false">$F52*$E52*(1+INDEX(Raise,2))*$I52/12*IF($H52="All",1,IF($H52="Growth only",IF(2=3,1,0),IF($H52="Not in Conservative",IF(2=2,0,1),1)))*(1-INDEX(Vacancy,2))*(1+IF($D52="Full-time",INDEX(BenFT,2),INDEX(BenPT,2))+INDEX(TaxRate,2))</f>
        <v>55461.8064</v>
      </c>
      <c r="W52" s="21" t="n">
        <f aca="false">$F52*$E52*(1+INDEX(Raise,3))*$I52/12*IF($H52="All",1,IF($H52="Growth only",IF(3=3,1,0),IF($H52="Not in Conservative",IF(3=2,0,1),1)))*(1-INDEX(Vacancy,3))*(1+IF($D52="Full-time",INDEX(BenFT,3),INDEX(BenPT,3))+INDEX(TaxRate,3))</f>
        <v>56699.1216</v>
      </c>
    </row>
    <row r="53" customFormat="false" ht="15" hidden="false" customHeight="false" outlineLevel="0" collapsed="false">
      <c r="A53" s="42" t="s">
        <v>166</v>
      </c>
      <c r="B53" s="42" t="s">
        <v>35</v>
      </c>
      <c r="C53" s="42" t="s">
        <v>126</v>
      </c>
      <c r="D53" s="42" t="s">
        <v>131</v>
      </c>
      <c r="E53" s="43" t="n">
        <v>0.5</v>
      </c>
      <c r="F53" s="44" t="n">
        <v>44000</v>
      </c>
      <c r="G53" s="45" t="n">
        <v>1</v>
      </c>
      <c r="H53" s="46" t="s">
        <v>128</v>
      </c>
      <c r="I53" s="21" t="n">
        <f aca="false">13-G53</f>
        <v>12</v>
      </c>
      <c r="J53" s="47" t="n">
        <f aca="false">IF($H53="All",1,IF($H53="Growth only",IF(ScenNo=3,1,0),IF($H53="Not in Conservative",IF(ScenNo=2,0,1),1)))</f>
        <v>1</v>
      </c>
      <c r="K53" s="21" t="n">
        <f aca="false">$F53*$E53*(1+INDEX(Raise,ScenNo))*$I53/12*$J53*(1-INDEX(Vacancy,ScenNo))</f>
        <v>22206.8</v>
      </c>
      <c r="L53" s="21" t="n">
        <f aca="false">K53*IF($D53="Full-time",INDEX(BenFT,ScenNo),INDEX(BenPT,ScenNo))</f>
        <v>444.136</v>
      </c>
      <c r="M53" s="21" t="n">
        <f aca="false">K53*INDEX(TaxRate,ScenNo)</f>
        <v>1754.3372</v>
      </c>
      <c r="N53" s="27" t="n">
        <f aca="false">SUM(K53:M53)</f>
        <v>24405.2732</v>
      </c>
      <c r="O53" s="48"/>
      <c r="P53" s="48"/>
      <c r="Q53" s="48" t="n">
        <v>0.7</v>
      </c>
      <c r="R53" s="48"/>
      <c r="S53" s="48" t="n">
        <v>0.3</v>
      </c>
      <c r="T53" s="49" t="str">
        <f aca="false">IF(ROUND(SUM(O53:S53),4)=1,"OK","Fix")</f>
        <v>OK</v>
      </c>
      <c r="U53" s="21" t="n">
        <f aca="false">$F53*$E53*(1+INDEX(Raise,1))*$I53/12*IF($H53="All",1,IF($H53="Growth only",IF(1=3,1,0),IF($H53="Not in Conservative",IF(1=2,0,1),1)))*(1-INDEX(Vacancy,1))*(1+IF($D53="Full-time",INDEX(BenFT,1),INDEX(BenPT,1))+INDEX(TaxRate,1))</f>
        <v>24405.2732</v>
      </c>
      <c r="V53" s="21" t="n">
        <f aca="false">$F53*$E53*(1+INDEX(Raise,2))*$I53/12*IF($H53="All",1,IF($H53="Growth only",IF(2=3,1,0),IF($H53="Not in Conservative",IF(2=2,0,1),1)))*(1-INDEX(Vacancy,2))*(1+IF($D53="Full-time",INDEX(BenFT,2),INDEX(BenPT,2))+INDEX(TaxRate,2))</f>
        <v>23921.7132</v>
      </c>
      <c r="W53" s="21" t="n">
        <f aca="false">$F53*$E53*(1+INDEX(Raise,3))*$I53/12*IF($H53="All",1,IF($H53="Growth only",IF(3=3,1,0),IF($H53="Not in Conservative",IF(3=2,0,1),1)))*(1-INDEX(Vacancy,3))*(1+IF($D53="Full-time",INDEX(BenFT,3),INDEX(BenPT,3))+INDEX(TaxRate,3))</f>
        <v>24648.86655</v>
      </c>
    </row>
    <row r="54" customFormat="false" ht="15" hidden="false" customHeight="false" outlineLevel="0" collapsed="false">
      <c r="A54" s="42" t="s">
        <v>167</v>
      </c>
      <c r="B54" s="42" t="s">
        <v>35</v>
      </c>
      <c r="C54" s="42" t="s">
        <v>148</v>
      </c>
      <c r="D54" s="42" t="s">
        <v>131</v>
      </c>
      <c r="E54" s="43" t="n">
        <v>0.5</v>
      </c>
      <c r="F54" s="44" t="n">
        <v>46000</v>
      </c>
      <c r="G54" s="45" t="n">
        <v>4</v>
      </c>
      <c r="H54" s="46" t="s">
        <v>149</v>
      </c>
      <c r="I54" s="21" t="n">
        <f aca="false">13-G54</f>
        <v>9</v>
      </c>
      <c r="J54" s="47" t="n">
        <f aca="false">IF($H54="All",1,IF($H54="Growth only",IF(ScenNo=3,1,0),IF($H54="Not in Conservative",IF(ScenNo=2,0,1),1)))</f>
        <v>0</v>
      </c>
      <c r="K54" s="21" t="n">
        <f aca="false">$F54*$E54*(1+INDEX(Raise,ScenNo))*$I54/12*$J54*(1-INDEX(Vacancy,ScenNo))</f>
        <v>0</v>
      </c>
      <c r="L54" s="21" t="n">
        <f aca="false">K54*IF($D54="Full-time",INDEX(BenFT,ScenNo),INDEX(BenPT,ScenNo))</f>
        <v>0</v>
      </c>
      <c r="M54" s="21" t="n">
        <f aca="false">K54*INDEX(TaxRate,ScenNo)</f>
        <v>0</v>
      </c>
      <c r="N54" s="27" t="n">
        <f aca="false">SUM(K54:M54)</f>
        <v>0</v>
      </c>
      <c r="O54" s="48"/>
      <c r="P54" s="48"/>
      <c r="Q54" s="48" t="n">
        <v>1</v>
      </c>
      <c r="R54" s="48"/>
      <c r="S54" s="48"/>
      <c r="T54" s="49" t="str">
        <f aca="false">IF(ROUND(SUM(O54:S54),4)=1,"OK","Fix")</f>
        <v>OK</v>
      </c>
      <c r="U54" s="21" t="n">
        <f aca="false">$F54*$E54*(1+INDEX(Raise,1))*$I54/12*IF($H54="All",1,IF($H54="Growth only",IF(1=3,1,0),IF($H54="Not in Conservative",IF(1=2,0,1),1)))*(1-INDEX(Vacancy,1))*(1+IF($D54="Full-time",INDEX(BenFT,1),INDEX(BenPT,1))+INDEX(TaxRate,1))</f>
        <v>0</v>
      </c>
      <c r="V54" s="21" t="n">
        <f aca="false">$F54*$E54*(1+INDEX(Raise,2))*$I54/12*IF($H54="All",1,IF($H54="Growth only",IF(2=3,1,0),IF($H54="Not in Conservative",IF(2=2,0,1),1)))*(1-INDEX(Vacancy,2))*(1+IF($D54="Full-time",INDEX(BenFT,2),INDEX(BenPT,2))+INDEX(TaxRate,2))</f>
        <v>0</v>
      </c>
      <c r="W54" s="21" t="n">
        <f aca="false">$F54*$E54*(1+INDEX(Raise,3))*$I54/12*IF($H54="All",1,IF($H54="Growth only",IF(3=3,1,0),IF($H54="Not in Conservative",IF(3=2,0,1),1)))*(1-INDEX(Vacancy,3))*(1+IF($D54="Full-time",INDEX(BenFT,3),INDEX(BenPT,3))+INDEX(TaxRate,3))</f>
        <v>19326.95218125</v>
      </c>
    </row>
    <row r="55" customFormat="false" ht="15" hidden="false" customHeight="false" outlineLevel="0" collapsed="false">
      <c r="A55" s="23" t="s">
        <v>168</v>
      </c>
      <c r="E55" s="50" t="n">
        <f aca="false">SUMPRODUCT(E6:E54,J6:J54)</f>
        <v>41.8</v>
      </c>
      <c r="K55" s="51" t="n">
        <f aca="false">SUM(K6:K54)</f>
        <v>2167518.26666667</v>
      </c>
      <c r="L55" s="51" t="n">
        <f aca="false">SUM(L6:L54)</f>
        <v>347936.058283333</v>
      </c>
      <c r="M55" s="51" t="n">
        <f aca="false">SUM(M6:M54)</f>
        <v>171233.943066667</v>
      </c>
      <c r="N55" s="51" t="n">
        <f aca="false">SUM(N6:N54)</f>
        <v>2686688.26801667</v>
      </c>
      <c r="U55" s="51" t="n">
        <f aca="false">SUM(U6:U54)</f>
        <v>2686688.26801667</v>
      </c>
      <c r="V55" s="51" t="n">
        <f aca="false">SUM(V6:V54)</f>
        <v>2590624.92465</v>
      </c>
      <c r="W55" s="51" t="n">
        <f aca="false">SUM(W6:W54)</f>
        <v>2811114.977475</v>
      </c>
    </row>
    <row r="56" customFormat="false" ht="15" hidden="false" customHeight="false" outlineLevel="0" collapsed="false">
      <c r="A56" s="4" t="s">
        <v>169</v>
      </c>
    </row>
    <row r="58" customFormat="false" ht="15" hidden="false" customHeight="false" outlineLevel="0" collapsed="false">
      <c r="A58" s="7" t="s">
        <v>170</v>
      </c>
    </row>
    <row r="59" customFormat="false" ht="21.75" hidden="false" customHeight="true" outlineLevel="0" collapsed="false">
      <c r="A59" s="18" t="s">
        <v>28</v>
      </c>
      <c r="B59" s="19" t="s">
        <v>171</v>
      </c>
      <c r="C59" s="19" t="s">
        <v>172</v>
      </c>
      <c r="D59" s="19" t="s">
        <v>31</v>
      </c>
      <c r="E59" s="19" t="s">
        <v>106</v>
      </c>
      <c r="F59" s="19" t="s">
        <v>173</v>
      </c>
    </row>
    <row r="60" customFormat="false" ht="15" hidden="false" customHeight="false" outlineLevel="0" collapsed="false">
      <c r="A60" s="8" t="s">
        <v>33</v>
      </c>
      <c r="B60" s="21" t="n">
        <f aca="false">SUMPRODUCT($K$6:$K$54,O$6:O$54)</f>
        <v>644411.054</v>
      </c>
      <c r="C60" s="21" t="n">
        <f aca="false">SUMPRODUCT($L$6:$L$54+$M$6:$M$54,O$6:O$54)</f>
        <v>166835.136006</v>
      </c>
      <c r="D60" s="21" t="n">
        <f aca="false">B60+C60</f>
        <v>811246.190006</v>
      </c>
      <c r="E60" s="52" t="n">
        <f aca="false">SUMPRODUCT($E$6:$E$54,$J$6:$J$54,O$6:O$54)</f>
        <v>13.29</v>
      </c>
      <c r="F60" s="22" t="n">
        <f aca="false">IF($E$65=0,0,E60/$E$65)</f>
        <v>0.317942583732057</v>
      </c>
    </row>
    <row r="61" customFormat="false" ht="15" hidden="false" customHeight="false" outlineLevel="0" collapsed="false">
      <c r="A61" s="8" t="s">
        <v>34</v>
      </c>
      <c r="B61" s="21" t="n">
        <f aca="false">SUMPRODUCT($K$6:$K$54,P$6:P$54)</f>
        <v>453072.554666667</v>
      </c>
      <c r="C61" s="21" t="n">
        <f aca="false">SUMPRODUCT($L$6:$L$54+$M$6:$M$54,P$6:P$54)</f>
        <v>106620.176432</v>
      </c>
      <c r="D61" s="21" t="n">
        <f aca="false">B61+C61</f>
        <v>559692.731098667</v>
      </c>
      <c r="E61" s="52" t="n">
        <f aca="false">SUMPRODUCT($E$6:$E$54,$J$6:$J$54,P$6:P$54)</f>
        <v>8.98</v>
      </c>
      <c r="F61" s="22" t="n">
        <f aca="false">IF($E$65=0,0,E61/$E$65)</f>
        <v>0.214832535885167</v>
      </c>
    </row>
    <row r="62" customFormat="false" ht="15" hidden="false" customHeight="false" outlineLevel="0" collapsed="false">
      <c r="A62" s="8" t="s">
        <v>35</v>
      </c>
      <c r="B62" s="21" t="n">
        <f aca="false">SUMPRODUCT($K$6:$K$54,Q$6:Q$54)</f>
        <v>493263.498</v>
      </c>
      <c r="C62" s="21" t="n">
        <f aca="false">SUMPRODUCT($L$6:$L$54+$M$6:$M$54,Q$6:Q$54)</f>
        <v>104272.917672</v>
      </c>
      <c r="D62" s="21" t="n">
        <f aca="false">B62+C62</f>
        <v>597536.415672</v>
      </c>
      <c r="E62" s="52" t="n">
        <f aca="false">SUMPRODUCT($E$6:$E$54,$J$6:$J$54,Q$6:Q$54)</f>
        <v>11.18</v>
      </c>
      <c r="F62" s="22" t="n">
        <f aca="false">IF($E$65=0,0,E62/$E$65)</f>
        <v>0.267464114832536</v>
      </c>
    </row>
    <row r="63" customFormat="false" ht="15" hidden="false" customHeight="false" outlineLevel="0" collapsed="false">
      <c r="A63" s="8" t="s">
        <v>36</v>
      </c>
      <c r="B63" s="21" t="n">
        <f aca="false">SUMPRODUCT($K$6:$K$54,R$6:R$54)</f>
        <v>365604.68</v>
      </c>
      <c r="C63" s="21" t="n">
        <f aca="false">SUMPRODUCT($L$6:$L$54+$M$6:$M$54,R$6:R$54)</f>
        <v>89391.25272</v>
      </c>
      <c r="D63" s="21" t="n">
        <f aca="false">B63+C63</f>
        <v>454995.93272</v>
      </c>
      <c r="E63" s="52" t="n">
        <f aca="false">SUMPRODUCT($E$6:$E$54,$J$6:$J$54,R$6:R$54)</f>
        <v>5.1</v>
      </c>
      <c r="F63" s="22" t="n">
        <f aca="false">IF($E$65=0,0,E63/$E$65)</f>
        <v>0.12200956937799</v>
      </c>
    </row>
    <row r="64" customFormat="false" ht="15" hidden="false" customHeight="false" outlineLevel="0" collapsed="false">
      <c r="A64" s="8" t="s">
        <v>37</v>
      </c>
      <c r="B64" s="21" t="n">
        <f aca="false">SUMPRODUCT($K$6:$K$54,S$6:S$54)</f>
        <v>211166.48</v>
      </c>
      <c r="C64" s="21" t="n">
        <f aca="false">SUMPRODUCT($L$6:$L$54+$M$6:$M$54,S$6:S$54)</f>
        <v>52050.51852</v>
      </c>
      <c r="D64" s="21" t="n">
        <f aca="false">B64+C64</f>
        <v>263216.99852</v>
      </c>
      <c r="E64" s="52" t="n">
        <f aca="false">SUMPRODUCT($E$6:$E$54,$J$6:$J$54,S$6:S$54)</f>
        <v>3.25</v>
      </c>
      <c r="F64" s="22" t="n">
        <f aca="false">IF($E$65=0,0,E64/$E$65)</f>
        <v>0.0777511961722488</v>
      </c>
    </row>
    <row r="65" customFormat="false" ht="15" hidden="false" customHeight="false" outlineLevel="0" collapsed="false">
      <c r="A65" s="23" t="s">
        <v>31</v>
      </c>
      <c r="B65" s="24" t="n">
        <f aca="false">SUM(B60:B64)</f>
        <v>2167518.26666667</v>
      </c>
      <c r="C65" s="24" t="n">
        <f aca="false">SUM(C60:C64)</f>
        <v>519170.00135</v>
      </c>
      <c r="D65" s="24" t="n">
        <f aca="false">SUM(D60:D64)</f>
        <v>2686688.26801667</v>
      </c>
      <c r="E65" s="53" t="n">
        <f aca="false">SUM(E60:E64)</f>
        <v>41.8</v>
      </c>
      <c r="F65" s="25" t="n">
        <f aca="false">SUM(F60:F64)</f>
        <v>1</v>
      </c>
    </row>
    <row r="66" customFormat="false" ht="15" hidden="false" customHeight="false" outlineLevel="0" collapsed="false">
      <c r="A66" s="28" t="s">
        <v>174</v>
      </c>
      <c r="D66" s="29" t="str">
        <f aca="false">IF(ABS(D65-N55)&lt;1,"Agrees","Does not agree")</f>
        <v>Agrees</v>
      </c>
    </row>
  </sheetData>
  <conditionalFormatting sqref="A6:W54">
    <cfRule type="expression" priority="2" aboveAverage="0" equalAverage="0" bottom="0" percent="0" rank="0" text="" dxfId="4">
      <formula>$J6=0</formula>
    </cfRule>
  </conditionalFormatting>
  <conditionalFormatting sqref="T6:T54">
    <cfRule type="cellIs" priority="3" operator="equal" aboveAverage="0" equalAverage="0" bottom="0" percent="0" rank="0" text="" dxfId="0">
      <formula>"Fix"</formula>
    </cfRule>
  </conditionalFormatting>
  <conditionalFormatting sqref="C6:C54">
    <cfRule type="cellIs" priority="4" operator="equal" aboveAverage="0" equalAverage="0" bottom="0" percent="0" rank="0" text="" dxfId="5">
      <formula>"New"</formula>
    </cfRule>
  </conditionalFormatting>
  <dataValidations count="4">
    <dataValidation allowBlank="false" errorStyle="stop" operator="between" showDropDown="false" showErrorMessage="false" showInputMessage="false" sqref="H6:H54" type="list">
      <formula1>"All,Growth only,Not in Conservative"</formula1>
      <formula2>0</formula2>
    </dataValidation>
    <dataValidation allowBlank="false" errorStyle="stop" operator="between" showDropDown="false" showErrorMessage="false" showInputMessage="false" sqref="D6:D54" type="list">
      <formula1>"Full-time,Part-time"</formula1>
      <formula2>0</formula2>
    </dataValidation>
    <dataValidation allowBlank="false" errorStyle="stop" operator="between" showDropDown="false" showErrorMessage="false" showInputMessage="false" sqref="C6:C54" type="list">
      <formula1>"Filled,Vacant,New"</formula1>
      <formula2>0</formula2>
    </dataValidation>
    <dataValidation allowBlank="false" errorStyle="stop" operator="between" showDropDown="false" showErrorMessage="false" showInputMessage="false" sqref="G6:G54" type="whole">
      <formula1>1</formula1>
      <formula2>12</formula2>
    </dataValidation>
  </dataValidations>
  <printOptions headings="false" gridLines="false" gridLinesSet="true" horizontalCentered="fals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5E66"/>
    <pageSetUpPr fitToPage="true"/>
  </sheetPr>
  <dimension ref="A1:P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18"/>
    <col collapsed="false" customWidth="true" hidden="false" outlineLevel="0" max="3" min="3" style="1" width="12"/>
    <col collapsed="false" customWidth="true" hidden="false" outlineLevel="0" max="9" min="4" style="1" width="11"/>
    <col collapsed="false" customWidth="true" hidden="false" outlineLevel="0" max="10" min="10" style="1" width="12"/>
    <col collapsed="false" customWidth="true" hidden="false" outlineLevel="0" max="11" min="11" style="1" width="9"/>
    <col collapsed="false" customWidth="true" hidden="false" outlineLevel="0" max="13" min="12" style="1" width="12"/>
    <col collapsed="false" customWidth="true" hidden="false" outlineLevel="0" max="14" min="14" style="1" width="11"/>
    <col collapsed="false" customWidth="true" hidden="false" outlineLevel="0" max="15" min="15" style="1" width="12"/>
    <col collapsed="false" customWidth="true" hidden="false" outlineLevel="0" max="16" min="16" style="1" width="11"/>
  </cols>
  <sheetData>
    <row r="1" customFormat="false" ht="18.55" hidden="false" customHeight="false" outlineLevel="0" collapsed="false">
      <c r="A1" s="30" t="s">
        <v>175</v>
      </c>
    </row>
    <row r="2" customFormat="false" ht="15" hidden="false" customHeight="false" outlineLevel="0" collapsed="false">
      <c r="A2" s="3" t="s">
        <v>176</v>
      </c>
    </row>
    <row r="3" customFormat="false" ht="15" hidden="false" customHeight="false" outlineLevel="0" collapsed="false">
      <c r="A3" s="4" t="s">
        <v>2</v>
      </c>
    </row>
    <row r="5" customFormat="false" ht="39.75" hidden="false" customHeight="true" outlineLevel="0" collapsed="false">
      <c r="A5" s="18" t="s">
        <v>177</v>
      </c>
      <c r="B5" s="19" t="s">
        <v>178</v>
      </c>
      <c r="C5" s="19" t="s">
        <v>40</v>
      </c>
      <c r="D5" s="19" t="s">
        <v>116</v>
      </c>
      <c r="E5" s="19" t="s">
        <v>117</v>
      </c>
      <c r="F5" s="19" t="s">
        <v>118</v>
      </c>
      <c r="G5" s="19" t="s">
        <v>119</v>
      </c>
      <c r="H5" s="19" t="s">
        <v>120</v>
      </c>
      <c r="I5" s="19" t="s">
        <v>179</v>
      </c>
      <c r="J5" s="19" t="s">
        <v>180</v>
      </c>
      <c r="K5" s="19" t="s">
        <v>181</v>
      </c>
      <c r="L5" s="19" t="s">
        <v>182</v>
      </c>
      <c r="M5" s="19" t="s">
        <v>183</v>
      </c>
      <c r="N5" s="41" t="s">
        <v>50</v>
      </c>
      <c r="O5" s="41" t="s">
        <v>51</v>
      </c>
      <c r="P5" s="41" t="s">
        <v>52</v>
      </c>
    </row>
    <row r="6" customFormat="false" ht="15" hidden="false" customHeight="false" outlineLevel="0" collapsed="false">
      <c r="A6" s="8" t="s">
        <v>184</v>
      </c>
      <c r="B6" s="42" t="s">
        <v>185</v>
      </c>
      <c r="C6" s="44" t="n">
        <v>557344</v>
      </c>
      <c r="D6" s="44" t="n">
        <v>512000</v>
      </c>
      <c r="E6" s="44" t="n">
        <v>46000</v>
      </c>
      <c r="F6" s="44"/>
      <c r="G6" s="44"/>
      <c r="H6" s="44"/>
      <c r="I6" s="44"/>
      <c r="J6" s="21" t="n">
        <f aca="false">SUM(D6:I6)</f>
        <v>558000</v>
      </c>
      <c r="K6" s="54" t="n">
        <f aca="false">IF($B6="Fixed",1,IF($B6="Inflation",1+INDEX(Infl,ScenNo),IF($B6="Volume",INDEX(Volume,ScenNo),INDEX(Volume,ScenNo)*(1+INDEX(Infl,ScenNo)))))</f>
        <v>1</v>
      </c>
      <c r="L6" s="27" t="n">
        <f aca="false">J6*K6</f>
        <v>558000</v>
      </c>
      <c r="M6" s="21" t="n">
        <f aca="false">L6-C6</f>
        <v>656</v>
      </c>
      <c r="N6" s="21" t="n">
        <f aca="false">$J6*IF($B6="Fixed",1,IF($B6="Inflation",1+INDEX(Infl,1),IF($B6="Volume",INDEX(Volume,1),INDEX(Volume,1)*(1+INDEX(Infl,1)))))</f>
        <v>558000</v>
      </c>
      <c r="O6" s="21" t="n">
        <f aca="false">$J6*IF($B6="Fixed",1,IF($B6="Inflation",1+INDEX(Infl,2),IF($B6="Volume",INDEX(Volume,2),INDEX(Volume,2)*(1+INDEX(Infl,2)))))</f>
        <v>513360</v>
      </c>
      <c r="P6" s="21" t="n">
        <f aca="false">$J6*IF($B6="Fixed",1,IF($B6="Inflation",1+INDEX(Infl,3),IF($B6="Volume",INDEX(Volume,3),INDEX(Volume,3)*(1+INDEX(Infl,3)))))</f>
        <v>624960</v>
      </c>
    </row>
    <row r="7" customFormat="false" ht="15" hidden="false" customHeight="false" outlineLevel="0" collapsed="false">
      <c r="A7" s="8" t="s">
        <v>186</v>
      </c>
      <c r="B7" s="42" t="s">
        <v>187</v>
      </c>
      <c r="C7" s="44" t="n">
        <v>231601</v>
      </c>
      <c r="D7" s="44" t="n">
        <v>11000</v>
      </c>
      <c r="E7" s="44"/>
      <c r="F7" s="44" t="n">
        <v>215000</v>
      </c>
      <c r="G7" s="44"/>
      <c r="H7" s="44"/>
      <c r="I7" s="44"/>
      <c r="J7" s="21" t="n">
        <f aca="false">SUM(D7:I7)</f>
        <v>226000</v>
      </c>
      <c r="K7" s="54" t="n">
        <f aca="false">IF($B7="Fixed",1,IF($B7="Inflation",1+INDEX(Infl,ScenNo),IF($B7="Volume",INDEX(Volume,ScenNo),INDEX(Volume,ScenNo)*(1+INDEX(Infl,ScenNo)))))</f>
        <v>1.03</v>
      </c>
      <c r="L7" s="27" t="n">
        <f aca="false">J7*K7</f>
        <v>232780</v>
      </c>
      <c r="M7" s="21" t="n">
        <f aca="false">L7-C7</f>
        <v>1179</v>
      </c>
      <c r="N7" s="21" t="n">
        <f aca="false">$J7*IF($B7="Fixed",1,IF($B7="Inflation",1+INDEX(Infl,1),IF($B7="Volume",INDEX(Volume,1),INDEX(Volume,1)*(1+INDEX(Infl,1)))))</f>
        <v>232780</v>
      </c>
      <c r="O7" s="21" t="n">
        <f aca="false">$J7*IF($B7="Fixed",1,IF($B7="Inflation",1+INDEX(Infl,2),IF($B7="Volume",INDEX(Volume,2),INDEX(Volume,2)*(1+INDEX(Infl,2)))))</f>
        <v>216236.8</v>
      </c>
      <c r="P7" s="21" t="n">
        <f aca="false">$J7*IF($B7="Fixed",1,IF($B7="Inflation",1+INDEX(Infl,3),IF($B7="Volume",INDEX(Volume,3),INDEX(Volume,3)*(1+INDEX(Infl,3)))))</f>
        <v>260713.6</v>
      </c>
    </row>
    <row r="8" customFormat="false" ht="15" hidden="false" customHeight="false" outlineLevel="0" collapsed="false">
      <c r="A8" s="8" t="s">
        <v>188</v>
      </c>
      <c r="B8" s="42" t="s">
        <v>189</v>
      </c>
      <c r="C8" s="44" t="n">
        <v>62423</v>
      </c>
      <c r="D8" s="44" t="n">
        <v>18500</v>
      </c>
      <c r="E8" s="44" t="n">
        <v>27000</v>
      </c>
      <c r="F8" s="44" t="n">
        <v>15500</v>
      </c>
      <c r="G8" s="44"/>
      <c r="H8" s="44"/>
      <c r="I8" s="44"/>
      <c r="J8" s="21" t="n">
        <f aca="false">SUM(D8:I8)</f>
        <v>61000</v>
      </c>
      <c r="K8" s="54" t="n">
        <f aca="false">IF($B8="Fixed",1,IF($B8="Inflation",1+INDEX(Infl,ScenNo),IF($B8="Volume",INDEX(Volume,ScenNo),INDEX(Volume,ScenNo)*(1+INDEX(Infl,ScenNo)))))</f>
        <v>1.03</v>
      </c>
      <c r="L8" s="27" t="n">
        <f aca="false">J8*K8</f>
        <v>62830</v>
      </c>
      <c r="M8" s="21" t="n">
        <f aca="false">L8-C8</f>
        <v>407</v>
      </c>
      <c r="N8" s="21" t="n">
        <f aca="false">$J8*IF($B8="Fixed",1,IF($B8="Inflation",1+INDEX(Infl,1),IF($B8="Volume",INDEX(Volume,1),INDEX(Volume,1)*(1+INDEX(Infl,1)))))</f>
        <v>62830</v>
      </c>
      <c r="O8" s="21" t="n">
        <f aca="false">$J8*IF($B8="Fixed",1,IF($B8="Inflation",1+INDEX(Infl,2),IF($B8="Volume",INDEX(Volume,2),INDEX(Volume,2)*(1+INDEX(Infl,2)))))</f>
        <v>63440</v>
      </c>
      <c r="P8" s="21" t="n">
        <f aca="false">$J8*IF($B8="Fixed",1,IF($B8="Inflation",1+INDEX(Infl,3),IF($B8="Volume",INDEX(Volume,3),INDEX(Volume,3)*(1+INDEX(Infl,3)))))</f>
        <v>62830</v>
      </c>
    </row>
    <row r="9" customFormat="false" ht="15" hidden="false" customHeight="false" outlineLevel="0" collapsed="false">
      <c r="A9" s="8" t="s">
        <v>190</v>
      </c>
      <c r="B9" s="42" t="s">
        <v>191</v>
      </c>
      <c r="C9" s="44" t="n">
        <v>37868</v>
      </c>
      <c r="D9" s="44"/>
      <c r="E9" s="44"/>
      <c r="F9" s="44"/>
      <c r="G9" s="44" t="n">
        <v>39500</v>
      </c>
      <c r="H9" s="44"/>
      <c r="I9" s="44"/>
      <c r="J9" s="21" t="n">
        <f aca="false">SUM(D9:I9)</f>
        <v>39500</v>
      </c>
      <c r="K9" s="54" t="n">
        <f aca="false">IF($B9="Fixed",1,IF($B9="Inflation",1+INDEX(Infl,ScenNo),IF($B9="Volume",INDEX(Volume,ScenNo),INDEX(Volume,ScenNo)*(1+INDEX(Infl,ScenNo)))))</f>
        <v>1</v>
      </c>
      <c r="L9" s="27" t="n">
        <f aca="false">J9*K9</f>
        <v>39500</v>
      </c>
      <c r="M9" s="21" t="n">
        <f aca="false">L9-C9</f>
        <v>1632</v>
      </c>
      <c r="N9" s="21" t="n">
        <f aca="false">$J9*IF($B9="Fixed",1,IF($B9="Inflation",1+INDEX(Infl,1),IF($B9="Volume",INDEX(Volume,1),INDEX(Volume,1)*(1+INDEX(Infl,1)))))</f>
        <v>39500</v>
      </c>
      <c r="O9" s="21" t="n">
        <f aca="false">$J9*IF($B9="Fixed",1,IF($B9="Inflation",1+INDEX(Infl,2),IF($B9="Volume",INDEX(Volume,2),INDEX(Volume,2)*(1+INDEX(Infl,2)))))</f>
        <v>39500</v>
      </c>
      <c r="P9" s="21" t="n">
        <f aca="false">$J9*IF($B9="Fixed",1,IF($B9="Inflation",1+INDEX(Infl,3),IF($B9="Volume",INDEX(Volume,3),INDEX(Volume,3)*(1+INDEX(Infl,3)))))</f>
        <v>39500</v>
      </c>
    </row>
    <row r="10" customFormat="false" ht="15" hidden="false" customHeight="false" outlineLevel="0" collapsed="false">
      <c r="A10" s="8" t="s">
        <v>192</v>
      </c>
      <c r="B10" s="42" t="s">
        <v>189</v>
      </c>
      <c r="C10" s="44" t="n">
        <v>115996</v>
      </c>
      <c r="D10" s="44" t="n">
        <v>13000</v>
      </c>
      <c r="E10" s="44" t="n">
        <v>26000</v>
      </c>
      <c r="F10" s="44"/>
      <c r="G10" s="44" t="n">
        <v>34000</v>
      </c>
      <c r="H10" s="44" t="n">
        <v>14000</v>
      </c>
      <c r="I10" s="44"/>
      <c r="J10" s="21" t="n">
        <f aca="false">SUM(D10:I10)</f>
        <v>87000</v>
      </c>
      <c r="K10" s="54" t="n">
        <f aca="false">IF($B10="Fixed",1,IF($B10="Inflation",1+INDEX(Infl,ScenNo),IF($B10="Volume",INDEX(Volume,ScenNo),INDEX(Volume,ScenNo)*(1+INDEX(Infl,ScenNo)))))</f>
        <v>1.03</v>
      </c>
      <c r="L10" s="27" t="n">
        <f aca="false">J10*K10</f>
        <v>89610</v>
      </c>
      <c r="M10" s="21" t="n">
        <f aca="false">L10-C10</f>
        <v>-26386</v>
      </c>
      <c r="N10" s="21" t="n">
        <f aca="false">$J10*IF($B10="Fixed",1,IF($B10="Inflation",1+INDEX(Infl,1),IF($B10="Volume",INDEX(Volume,1),INDEX(Volume,1)*(1+INDEX(Infl,1)))))</f>
        <v>89610</v>
      </c>
      <c r="O10" s="21" t="n">
        <f aca="false">$J10*IF($B10="Fixed",1,IF($B10="Inflation",1+INDEX(Infl,2),IF($B10="Volume",INDEX(Volume,2),INDEX(Volume,2)*(1+INDEX(Infl,2)))))</f>
        <v>90480</v>
      </c>
      <c r="P10" s="21" t="n">
        <f aca="false">$J10*IF($B10="Fixed",1,IF($B10="Inflation",1+INDEX(Infl,3),IF($B10="Volume",INDEX(Volume,3),INDEX(Volume,3)*(1+INDEX(Infl,3)))))</f>
        <v>89610</v>
      </c>
    </row>
    <row r="11" customFormat="false" ht="15" hidden="false" customHeight="false" outlineLevel="0" collapsed="false">
      <c r="A11" s="8" t="s">
        <v>193</v>
      </c>
      <c r="B11" s="42" t="s">
        <v>189</v>
      </c>
      <c r="C11" s="44" t="n">
        <v>167879</v>
      </c>
      <c r="D11" s="44"/>
      <c r="E11" s="44"/>
      <c r="F11" s="44"/>
      <c r="G11" s="44"/>
      <c r="H11" s="44"/>
      <c r="I11" s="44" t="n">
        <v>166000</v>
      </c>
      <c r="J11" s="21" t="n">
        <f aca="false">SUM(D11:I11)</f>
        <v>166000</v>
      </c>
      <c r="K11" s="54" t="n">
        <f aca="false">IF($B11="Fixed",1,IF($B11="Inflation",1+INDEX(Infl,ScenNo),IF($B11="Volume",INDEX(Volume,ScenNo),INDEX(Volume,ScenNo)*(1+INDEX(Infl,ScenNo)))))</f>
        <v>1.03</v>
      </c>
      <c r="L11" s="27" t="n">
        <f aca="false">J11*K11</f>
        <v>170980</v>
      </c>
      <c r="M11" s="21" t="n">
        <f aca="false">L11-C11</f>
        <v>3101</v>
      </c>
      <c r="N11" s="21" t="n">
        <f aca="false">$J11*IF($B11="Fixed",1,IF($B11="Inflation",1+INDEX(Infl,1),IF($B11="Volume",INDEX(Volume,1),INDEX(Volume,1)*(1+INDEX(Infl,1)))))</f>
        <v>170980</v>
      </c>
      <c r="O11" s="21" t="n">
        <f aca="false">$J11*IF($B11="Fixed",1,IF($B11="Inflation",1+INDEX(Infl,2),IF($B11="Volume",INDEX(Volume,2),INDEX(Volume,2)*(1+INDEX(Infl,2)))))</f>
        <v>172640</v>
      </c>
      <c r="P11" s="21" t="n">
        <f aca="false">$J11*IF($B11="Fixed",1,IF($B11="Inflation",1+INDEX(Infl,3),IF($B11="Volume",INDEX(Volume,3),INDEX(Volume,3)*(1+INDEX(Infl,3)))))</f>
        <v>170980</v>
      </c>
    </row>
    <row r="12" customFormat="false" ht="15" hidden="false" customHeight="false" outlineLevel="0" collapsed="false">
      <c r="A12" s="8" t="s">
        <v>194</v>
      </c>
      <c r="B12" s="42" t="s">
        <v>189</v>
      </c>
      <c r="C12" s="44" t="n">
        <v>83980</v>
      </c>
      <c r="D12" s="44"/>
      <c r="E12" s="44"/>
      <c r="F12" s="44"/>
      <c r="G12" s="44"/>
      <c r="H12" s="44"/>
      <c r="I12" s="44" t="n">
        <v>82000</v>
      </c>
      <c r="J12" s="21" t="n">
        <f aca="false">SUM(D12:I12)</f>
        <v>82000</v>
      </c>
      <c r="K12" s="54" t="n">
        <f aca="false">IF($B12="Fixed",1,IF($B12="Inflation",1+INDEX(Infl,ScenNo),IF($B12="Volume",INDEX(Volume,ScenNo),INDEX(Volume,ScenNo)*(1+INDEX(Infl,ScenNo)))))</f>
        <v>1.03</v>
      </c>
      <c r="L12" s="27" t="n">
        <f aca="false">J12*K12</f>
        <v>84460</v>
      </c>
      <c r="M12" s="21" t="n">
        <f aca="false">L12-C12</f>
        <v>480</v>
      </c>
      <c r="N12" s="21" t="n">
        <f aca="false">$J12*IF($B12="Fixed",1,IF($B12="Inflation",1+INDEX(Infl,1),IF($B12="Volume",INDEX(Volume,1),INDEX(Volume,1)*(1+INDEX(Infl,1)))))</f>
        <v>84460</v>
      </c>
      <c r="O12" s="21" t="n">
        <f aca="false">$J12*IF($B12="Fixed",1,IF($B12="Inflation",1+INDEX(Infl,2),IF($B12="Volume",INDEX(Volume,2),INDEX(Volume,2)*(1+INDEX(Infl,2)))))</f>
        <v>85280</v>
      </c>
      <c r="P12" s="21" t="n">
        <f aca="false">$J12*IF($B12="Fixed",1,IF($B12="Inflation",1+INDEX(Infl,3),IF($B12="Volume",INDEX(Volume,3),INDEX(Volume,3)*(1+INDEX(Infl,3)))))</f>
        <v>84460</v>
      </c>
    </row>
    <row r="13" customFormat="false" ht="15" hidden="false" customHeight="false" outlineLevel="0" collapsed="false">
      <c r="A13" s="8" t="s">
        <v>195</v>
      </c>
      <c r="B13" s="42" t="s">
        <v>189</v>
      </c>
      <c r="C13" s="44" t="n">
        <v>58044</v>
      </c>
      <c r="D13" s="44"/>
      <c r="E13" s="44"/>
      <c r="F13" s="44"/>
      <c r="G13" s="44"/>
      <c r="H13" s="44"/>
      <c r="I13" s="44" t="n">
        <v>61000</v>
      </c>
      <c r="J13" s="21" t="n">
        <f aca="false">SUM(D13:I13)</f>
        <v>61000</v>
      </c>
      <c r="K13" s="54" t="n">
        <f aca="false">IF($B13="Fixed",1,IF($B13="Inflation",1+INDEX(Infl,ScenNo),IF($B13="Volume",INDEX(Volume,ScenNo),INDEX(Volume,ScenNo)*(1+INDEX(Infl,ScenNo)))))</f>
        <v>1.03</v>
      </c>
      <c r="L13" s="27" t="n">
        <f aca="false">J13*K13</f>
        <v>62830</v>
      </c>
      <c r="M13" s="21" t="n">
        <f aca="false">L13-C13</f>
        <v>4786</v>
      </c>
      <c r="N13" s="21" t="n">
        <f aca="false">$J13*IF($B13="Fixed",1,IF($B13="Inflation",1+INDEX(Infl,1),IF($B13="Volume",INDEX(Volume,1),INDEX(Volume,1)*(1+INDEX(Infl,1)))))</f>
        <v>62830</v>
      </c>
      <c r="O13" s="21" t="n">
        <f aca="false">$J13*IF($B13="Fixed",1,IF($B13="Inflation",1+INDEX(Infl,2),IF($B13="Volume",INDEX(Volume,2),INDEX(Volume,2)*(1+INDEX(Infl,2)))))</f>
        <v>63440</v>
      </c>
      <c r="P13" s="21" t="n">
        <f aca="false">$J13*IF($B13="Fixed",1,IF($B13="Inflation",1+INDEX(Infl,3),IF($B13="Volume",INDEX(Volume,3),INDEX(Volume,3)*(1+INDEX(Infl,3)))))</f>
        <v>62830</v>
      </c>
    </row>
    <row r="14" customFormat="false" ht="15" hidden="false" customHeight="false" outlineLevel="0" collapsed="false">
      <c r="A14" s="8" t="s">
        <v>196</v>
      </c>
      <c r="B14" s="42" t="s">
        <v>189</v>
      </c>
      <c r="C14" s="44" t="n">
        <v>71809</v>
      </c>
      <c r="D14" s="44" t="n">
        <v>21000</v>
      </c>
      <c r="E14" s="44" t="n">
        <v>10500</v>
      </c>
      <c r="F14" s="44" t="n">
        <v>31500</v>
      </c>
      <c r="G14" s="44" t="n">
        <v>3500</v>
      </c>
      <c r="H14" s="44" t="n">
        <v>3500</v>
      </c>
      <c r="I14" s="44"/>
      <c r="J14" s="21" t="n">
        <f aca="false">SUM(D14:I14)</f>
        <v>70000</v>
      </c>
      <c r="K14" s="54" t="n">
        <f aca="false">IF($B14="Fixed",1,IF($B14="Inflation",1+INDEX(Infl,ScenNo),IF($B14="Volume",INDEX(Volume,ScenNo),INDEX(Volume,ScenNo)*(1+INDEX(Infl,ScenNo)))))</f>
        <v>1.03</v>
      </c>
      <c r="L14" s="27" t="n">
        <f aca="false">J14*K14</f>
        <v>72100</v>
      </c>
      <c r="M14" s="21" t="n">
        <f aca="false">L14-C14</f>
        <v>291</v>
      </c>
      <c r="N14" s="21" t="n">
        <f aca="false">$J14*IF($B14="Fixed",1,IF($B14="Inflation",1+INDEX(Infl,1),IF($B14="Volume",INDEX(Volume,1),INDEX(Volume,1)*(1+INDEX(Infl,1)))))</f>
        <v>72100</v>
      </c>
      <c r="O14" s="21" t="n">
        <f aca="false">$J14*IF($B14="Fixed",1,IF($B14="Inflation",1+INDEX(Infl,2),IF($B14="Volume",INDEX(Volume,2),INDEX(Volume,2)*(1+INDEX(Infl,2)))))</f>
        <v>72800</v>
      </c>
      <c r="P14" s="21" t="n">
        <f aca="false">$J14*IF($B14="Fixed",1,IF($B14="Inflation",1+INDEX(Infl,3),IF($B14="Volume",INDEX(Volume,3),INDEX(Volume,3)*(1+INDEX(Infl,3)))))</f>
        <v>72100</v>
      </c>
    </row>
    <row r="15" customFormat="false" ht="15" hidden="false" customHeight="false" outlineLevel="0" collapsed="false">
      <c r="A15" s="8" t="s">
        <v>197</v>
      </c>
      <c r="B15" s="42" t="s">
        <v>189</v>
      </c>
      <c r="C15" s="44" t="n">
        <v>41673</v>
      </c>
      <c r="D15" s="44" t="n">
        <v>4000</v>
      </c>
      <c r="E15" s="44" t="n">
        <v>4000</v>
      </c>
      <c r="F15" s="44" t="n">
        <v>4000</v>
      </c>
      <c r="G15" s="44" t="n">
        <v>4000</v>
      </c>
      <c r="H15" s="44" t="n">
        <v>24500</v>
      </c>
      <c r="I15" s="44"/>
      <c r="J15" s="21" t="n">
        <f aca="false">SUM(D15:I15)</f>
        <v>40500</v>
      </c>
      <c r="K15" s="54" t="n">
        <f aca="false">IF($B15="Fixed",1,IF($B15="Inflation",1+INDEX(Infl,ScenNo),IF($B15="Volume",INDEX(Volume,ScenNo),INDEX(Volume,ScenNo)*(1+INDEX(Infl,ScenNo)))))</f>
        <v>1.03</v>
      </c>
      <c r="L15" s="27" t="n">
        <f aca="false">J15*K15</f>
        <v>41715</v>
      </c>
      <c r="M15" s="21" t="n">
        <f aca="false">L15-C15</f>
        <v>42</v>
      </c>
      <c r="N15" s="21" t="n">
        <f aca="false">$J15*IF($B15="Fixed",1,IF($B15="Inflation",1+INDEX(Infl,1),IF($B15="Volume",INDEX(Volume,1),INDEX(Volume,1)*(1+INDEX(Infl,1)))))</f>
        <v>41715</v>
      </c>
      <c r="O15" s="21" t="n">
        <f aca="false">$J15*IF($B15="Fixed",1,IF($B15="Inflation",1+INDEX(Infl,2),IF($B15="Volume",INDEX(Volume,2),INDEX(Volume,2)*(1+INDEX(Infl,2)))))</f>
        <v>42120</v>
      </c>
      <c r="P15" s="21" t="n">
        <f aca="false">$J15*IF($B15="Fixed",1,IF($B15="Inflation",1+INDEX(Infl,3),IF($B15="Volume",INDEX(Volume,3),INDEX(Volume,3)*(1+INDEX(Infl,3)))))</f>
        <v>41715</v>
      </c>
    </row>
    <row r="16" customFormat="false" ht="15" hidden="false" customHeight="false" outlineLevel="0" collapsed="false">
      <c r="A16" s="8" t="s">
        <v>198</v>
      </c>
      <c r="B16" s="42" t="s">
        <v>191</v>
      </c>
      <c r="C16" s="44" t="n">
        <v>18206</v>
      </c>
      <c r="D16" s="44" t="n">
        <v>5500</v>
      </c>
      <c r="E16" s="44" t="n">
        <v>5500</v>
      </c>
      <c r="F16" s="44" t="n">
        <v>3500</v>
      </c>
      <c r="G16" s="44" t="n">
        <v>2500</v>
      </c>
      <c r="H16" s="44" t="n">
        <v>1000</v>
      </c>
      <c r="I16" s="44"/>
      <c r="J16" s="21" t="n">
        <f aca="false">SUM(D16:I16)</f>
        <v>18000</v>
      </c>
      <c r="K16" s="54" t="n">
        <f aca="false">IF($B16="Fixed",1,IF($B16="Inflation",1+INDEX(Infl,ScenNo),IF($B16="Volume",INDEX(Volume,ScenNo),INDEX(Volume,ScenNo)*(1+INDEX(Infl,ScenNo)))))</f>
        <v>1</v>
      </c>
      <c r="L16" s="27" t="n">
        <f aca="false">J16*K16</f>
        <v>18000</v>
      </c>
      <c r="M16" s="21" t="n">
        <f aca="false">L16-C16</f>
        <v>-206</v>
      </c>
      <c r="N16" s="21" t="n">
        <f aca="false">$J16*IF($B16="Fixed",1,IF($B16="Inflation",1+INDEX(Infl,1),IF($B16="Volume",INDEX(Volume,1),INDEX(Volume,1)*(1+INDEX(Infl,1)))))</f>
        <v>18000</v>
      </c>
      <c r="O16" s="21" t="n">
        <f aca="false">$J16*IF($B16="Fixed",1,IF($B16="Inflation",1+INDEX(Infl,2),IF($B16="Volume",INDEX(Volume,2),INDEX(Volume,2)*(1+INDEX(Infl,2)))))</f>
        <v>18000</v>
      </c>
      <c r="P16" s="21" t="n">
        <f aca="false">$J16*IF($B16="Fixed",1,IF($B16="Inflation",1+INDEX(Infl,3),IF($B16="Volume",INDEX(Volume,3),INDEX(Volume,3)*(1+INDEX(Infl,3)))))</f>
        <v>18000</v>
      </c>
    </row>
    <row r="17" customFormat="false" ht="15" hidden="false" customHeight="false" outlineLevel="0" collapsed="false">
      <c r="A17" s="8" t="s">
        <v>199</v>
      </c>
      <c r="B17" s="42" t="s">
        <v>191</v>
      </c>
      <c r="C17" s="44" t="n">
        <v>31153</v>
      </c>
      <c r="D17" s="44"/>
      <c r="E17" s="44"/>
      <c r="F17" s="44"/>
      <c r="G17" s="44"/>
      <c r="H17" s="44"/>
      <c r="I17" s="44" t="n">
        <v>29800</v>
      </c>
      <c r="J17" s="21" t="n">
        <f aca="false">SUM(D17:I17)</f>
        <v>29800</v>
      </c>
      <c r="K17" s="54" t="n">
        <f aca="false">IF($B17="Fixed",1,IF($B17="Inflation",1+INDEX(Infl,ScenNo),IF($B17="Volume",INDEX(Volume,ScenNo),INDEX(Volume,ScenNo)*(1+INDEX(Infl,ScenNo)))))</f>
        <v>1</v>
      </c>
      <c r="L17" s="27" t="n">
        <f aca="false">J17*K17</f>
        <v>29800</v>
      </c>
      <c r="M17" s="21" t="n">
        <f aca="false">L17-C17</f>
        <v>-1353</v>
      </c>
      <c r="N17" s="21" t="n">
        <f aca="false">$J17*IF($B17="Fixed",1,IF($B17="Inflation",1+INDEX(Infl,1),IF($B17="Volume",INDEX(Volume,1),INDEX(Volume,1)*(1+INDEX(Infl,1)))))</f>
        <v>29800</v>
      </c>
      <c r="O17" s="21" t="n">
        <f aca="false">$J17*IF($B17="Fixed",1,IF($B17="Inflation",1+INDEX(Infl,2),IF($B17="Volume",INDEX(Volume,2),INDEX(Volume,2)*(1+INDEX(Infl,2)))))</f>
        <v>29800</v>
      </c>
      <c r="P17" s="21" t="n">
        <f aca="false">$J17*IF($B17="Fixed",1,IF($B17="Inflation",1+INDEX(Infl,3),IF($B17="Volume",INDEX(Volume,3),INDEX(Volume,3)*(1+INDEX(Infl,3)))))</f>
        <v>29800</v>
      </c>
    </row>
    <row r="18" customFormat="false" ht="15" hidden="false" customHeight="false" outlineLevel="0" collapsed="false">
      <c r="A18" s="8" t="s">
        <v>200</v>
      </c>
      <c r="B18" s="42" t="s">
        <v>191</v>
      </c>
      <c r="C18" s="44" t="n">
        <v>54000</v>
      </c>
      <c r="D18" s="44"/>
      <c r="E18" s="44"/>
      <c r="F18" s="44"/>
      <c r="G18" s="44"/>
      <c r="H18" s="44"/>
      <c r="I18" s="44" t="n">
        <v>58500</v>
      </c>
      <c r="J18" s="21" t="n">
        <f aca="false">SUM(D18:I18)</f>
        <v>58500</v>
      </c>
      <c r="K18" s="54" t="n">
        <f aca="false">IF($B18="Fixed",1,IF($B18="Inflation",1+INDEX(Infl,ScenNo),IF($B18="Volume",INDEX(Volume,ScenNo),INDEX(Volume,ScenNo)*(1+INDEX(Infl,ScenNo)))))</f>
        <v>1</v>
      </c>
      <c r="L18" s="27" t="n">
        <f aca="false">J18*K18</f>
        <v>58500</v>
      </c>
      <c r="M18" s="21" t="n">
        <f aca="false">L18-C18</f>
        <v>4500</v>
      </c>
      <c r="N18" s="21" t="n">
        <f aca="false">$J18*IF($B18="Fixed",1,IF($B18="Inflation",1+INDEX(Infl,1),IF($B18="Volume",INDEX(Volume,1),INDEX(Volume,1)*(1+INDEX(Infl,1)))))</f>
        <v>58500</v>
      </c>
      <c r="O18" s="21" t="n">
        <f aca="false">$J18*IF($B18="Fixed",1,IF($B18="Inflation",1+INDEX(Infl,2),IF($B18="Volume",INDEX(Volume,2),INDEX(Volume,2)*(1+INDEX(Infl,2)))))</f>
        <v>58500</v>
      </c>
      <c r="P18" s="21" t="n">
        <f aca="false">$J18*IF($B18="Fixed",1,IF($B18="Inflation",1+INDEX(Infl,3),IF($B18="Volume",INDEX(Volume,3),INDEX(Volume,3)*(1+INDEX(Infl,3)))))</f>
        <v>58500</v>
      </c>
    </row>
    <row r="19" customFormat="false" ht="15" hidden="false" customHeight="false" outlineLevel="0" collapsed="false">
      <c r="A19" s="8" t="s">
        <v>201</v>
      </c>
      <c r="B19" s="42" t="s">
        <v>191</v>
      </c>
      <c r="C19" s="44" t="n">
        <v>25700</v>
      </c>
      <c r="D19" s="44"/>
      <c r="E19" s="44"/>
      <c r="F19" s="44"/>
      <c r="G19" s="44" t="n">
        <v>14500</v>
      </c>
      <c r="H19" s="44" t="n">
        <v>10500</v>
      </c>
      <c r="I19" s="44"/>
      <c r="J19" s="21" t="n">
        <f aca="false">SUM(D19:I19)</f>
        <v>25000</v>
      </c>
      <c r="K19" s="54" t="n">
        <f aca="false">IF($B19="Fixed",1,IF($B19="Inflation",1+INDEX(Infl,ScenNo),IF($B19="Volume",INDEX(Volume,ScenNo),INDEX(Volume,ScenNo)*(1+INDEX(Infl,ScenNo)))))</f>
        <v>1</v>
      </c>
      <c r="L19" s="27" t="n">
        <f aca="false">J19*K19</f>
        <v>25000</v>
      </c>
      <c r="M19" s="21" t="n">
        <f aca="false">L19-C19</f>
        <v>-700</v>
      </c>
      <c r="N19" s="21" t="n">
        <f aca="false">$J19*IF($B19="Fixed",1,IF($B19="Inflation",1+INDEX(Infl,1),IF($B19="Volume",INDEX(Volume,1),INDEX(Volume,1)*(1+INDEX(Infl,1)))))</f>
        <v>25000</v>
      </c>
      <c r="O19" s="21" t="n">
        <f aca="false">$J19*IF($B19="Fixed",1,IF($B19="Inflation",1+INDEX(Infl,2),IF($B19="Volume",INDEX(Volume,2),INDEX(Volume,2)*(1+INDEX(Infl,2)))))</f>
        <v>25000</v>
      </c>
      <c r="P19" s="21" t="n">
        <f aca="false">$J19*IF($B19="Fixed",1,IF($B19="Inflation",1+INDEX(Infl,3),IF($B19="Volume",INDEX(Volume,3),INDEX(Volume,3)*(1+INDEX(Infl,3)))))</f>
        <v>25000</v>
      </c>
    </row>
    <row r="20" customFormat="false" ht="15" hidden="false" customHeight="false" outlineLevel="0" collapsed="false">
      <c r="A20" s="23" t="s">
        <v>202</v>
      </c>
      <c r="C20" s="51" t="n">
        <f aca="false">SUM(C6:C19)</f>
        <v>1557676</v>
      </c>
      <c r="D20" s="51" t="n">
        <f aca="false">SUM(D6:D19)</f>
        <v>585000</v>
      </c>
      <c r="E20" s="51" t="n">
        <f aca="false">SUM(E6:E19)</f>
        <v>119000</v>
      </c>
      <c r="F20" s="51" t="n">
        <f aca="false">SUM(F6:F19)</f>
        <v>269500</v>
      </c>
      <c r="G20" s="51" t="n">
        <f aca="false">SUM(G6:G19)</f>
        <v>98000</v>
      </c>
      <c r="H20" s="51" t="n">
        <f aca="false">SUM(H6:H19)</f>
        <v>53500</v>
      </c>
      <c r="I20" s="51" t="n">
        <f aca="false">SUM(I6:I19)</f>
        <v>397300</v>
      </c>
      <c r="J20" s="51" t="n">
        <f aca="false">SUM(J6:J19)</f>
        <v>1522300</v>
      </c>
      <c r="L20" s="51" t="n">
        <f aca="false">SUM(L6:L19)</f>
        <v>1546105</v>
      </c>
      <c r="M20" s="51" t="n">
        <f aca="false">SUM(M6:M19)</f>
        <v>-11571</v>
      </c>
      <c r="N20" s="51" t="n">
        <f aca="false">SUM(N6:N19)</f>
        <v>1546105</v>
      </c>
      <c r="O20" s="51" t="n">
        <f aca="false">SUM(O6:O19)</f>
        <v>1490596.8</v>
      </c>
      <c r="P20" s="51" t="n">
        <f aca="false">SUM(P6:P19)</f>
        <v>1640998.6</v>
      </c>
    </row>
    <row r="23" customFormat="false" ht="15" hidden="false" customHeight="false" outlineLevel="0" collapsed="false">
      <c r="A23" s="7" t="s">
        <v>203</v>
      </c>
    </row>
    <row r="24" customFormat="false" ht="30" hidden="false" customHeight="true" outlineLevel="0" collapsed="false">
      <c r="A24" s="18" t="s">
        <v>177</v>
      </c>
      <c r="B24" s="19" t="s">
        <v>116</v>
      </c>
      <c r="C24" s="19" t="s">
        <v>117</v>
      </c>
      <c r="D24" s="19" t="s">
        <v>118</v>
      </c>
      <c r="E24" s="19" t="s">
        <v>119</v>
      </c>
      <c r="F24" s="19" t="s">
        <v>120</v>
      </c>
      <c r="G24" s="19" t="s">
        <v>31</v>
      </c>
    </row>
    <row r="25" customFormat="false" ht="15" hidden="false" customHeight="false" outlineLevel="0" collapsed="false">
      <c r="A25" s="8" t="str">
        <f aca="false">A6</f>
        <v>Direct client assistance</v>
      </c>
      <c r="B25" s="21" t="n">
        <f aca="false">(D6+$I6*INDEX(FTEShare,1))*$K6</f>
        <v>512000</v>
      </c>
      <c r="C25" s="21" t="n">
        <f aca="false">(E6+$I6*INDEX(FTEShare,2))*$K6</f>
        <v>46000</v>
      </c>
      <c r="D25" s="21" t="n">
        <f aca="false">(F6+$I6*INDEX(FTEShare,3))*$K6</f>
        <v>0</v>
      </c>
      <c r="E25" s="21" t="n">
        <f aca="false">(G6+$I6*INDEX(FTEShare,4))*$K6</f>
        <v>0</v>
      </c>
      <c r="F25" s="21" t="n">
        <f aca="false">(H6+$I6*INDEX(FTEShare,5))*$K6</f>
        <v>0</v>
      </c>
      <c r="G25" s="27" t="n">
        <f aca="false">SUM(B25:F25)</f>
        <v>558000</v>
      </c>
    </row>
    <row r="26" customFormat="false" ht="15" hidden="false" customHeight="false" outlineLevel="0" collapsed="false">
      <c r="A26" s="8" t="str">
        <f aca="false">A7</f>
        <v>Food and meal supplies</v>
      </c>
      <c r="B26" s="21" t="n">
        <f aca="false">(D7+$I7*INDEX(FTEShare,1))*$K7</f>
        <v>11330</v>
      </c>
      <c r="C26" s="21" t="n">
        <f aca="false">(E7+$I7*INDEX(FTEShare,2))*$K7</f>
        <v>0</v>
      </c>
      <c r="D26" s="21" t="n">
        <f aca="false">(F7+$I7*INDEX(FTEShare,3))*$K7</f>
        <v>221450</v>
      </c>
      <c r="E26" s="21" t="n">
        <f aca="false">(G7+$I7*INDEX(FTEShare,4))*$K7</f>
        <v>0</v>
      </c>
      <c r="F26" s="21" t="n">
        <f aca="false">(H7+$I7*INDEX(FTEShare,5))*$K7</f>
        <v>0</v>
      </c>
      <c r="G26" s="27" t="n">
        <f aca="false">SUM(B26:F26)</f>
        <v>232780</v>
      </c>
    </row>
    <row r="27" customFormat="false" ht="15" hidden="false" customHeight="false" outlineLevel="0" collapsed="false">
      <c r="A27" s="8" t="str">
        <f aca="false">A8</f>
        <v>Program supplies</v>
      </c>
      <c r="B27" s="21" t="n">
        <f aca="false">(D8+$I8*INDEX(FTEShare,1))*$K8</f>
        <v>19055</v>
      </c>
      <c r="C27" s="21" t="n">
        <f aca="false">(E8+$I8*INDEX(FTEShare,2))*$K8</f>
        <v>27810</v>
      </c>
      <c r="D27" s="21" t="n">
        <f aca="false">(F8+$I8*INDEX(FTEShare,3))*$K8</f>
        <v>15965</v>
      </c>
      <c r="E27" s="21" t="n">
        <f aca="false">(G8+$I8*INDEX(FTEShare,4))*$K8</f>
        <v>0</v>
      </c>
      <c r="F27" s="21" t="n">
        <f aca="false">(H8+$I8*INDEX(FTEShare,5))*$K8</f>
        <v>0</v>
      </c>
      <c r="G27" s="27" t="n">
        <f aca="false">SUM(B27:F27)</f>
        <v>62830</v>
      </c>
    </row>
    <row r="28" customFormat="false" ht="15" hidden="false" customHeight="false" outlineLevel="0" collapsed="false">
      <c r="A28" s="8" t="str">
        <f aca="false">A9</f>
        <v>Audit and accounting</v>
      </c>
      <c r="B28" s="21" t="n">
        <f aca="false">(D9+$I9*INDEX(FTEShare,1))*$K9</f>
        <v>0</v>
      </c>
      <c r="C28" s="21" t="n">
        <f aca="false">(E9+$I9*INDEX(FTEShare,2))*$K9</f>
        <v>0</v>
      </c>
      <c r="D28" s="21" t="n">
        <f aca="false">(F9+$I9*INDEX(FTEShare,3))*$K9</f>
        <v>0</v>
      </c>
      <c r="E28" s="21" t="n">
        <f aca="false">(G9+$I9*INDEX(FTEShare,4))*$K9</f>
        <v>39500</v>
      </c>
      <c r="F28" s="21" t="n">
        <f aca="false">(H9+$I9*INDEX(FTEShare,5))*$K9</f>
        <v>0</v>
      </c>
      <c r="G28" s="27" t="n">
        <f aca="false">SUM(B28:F28)</f>
        <v>39500</v>
      </c>
    </row>
    <row r="29" customFormat="false" ht="15" hidden="false" customHeight="false" outlineLevel="0" collapsed="false">
      <c r="A29" s="8" t="str">
        <f aca="false">A10</f>
        <v>Contract services</v>
      </c>
      <c r="B29" s="21" t="n">
        <f aca="false">(D10+$I10*INDEX(FTEShare,1))*$K10</f>
        <v>13390</v>
      </c>
      <c r="C29" s="21" t="n">
        <f aca="false">(E10+$I10*INDEX(FTEShare,2))*$K10</f>
        <v>26780</v>
      </c>
      <c r="D29" s="21" t="n">
        <f aca="false">(F10+$I10*INDEX(FTEShare,3))*$K10</f>
        <v>0</v>
      </c>
      <c r="E29" s="21" t="n">
        <f aca="false">(G10+$I10*INDEX(FTEShare,4))*$K10</f>
        <v>35020</v>
      </c>
      <c r="F29" s="21" t="n">
        <f aca="false">(H10+$I10*INDEX(FTEShare,5))*$K10</f>
        <v>14420</v>
      </c>
      <c r="G29" s="27" t="n">
        <f aca="false">SUM(B29:F29)</f>
        <v>89610</v>
      </c>
    </row>
    <row r="30" customFormat="false" ht="15" hidden="false" customHeight="false" outlineLevel="0" collapsed="false">
      <c r="A30" s="8" t="str">
        <f aca="false">A11</f>
        <v>Occupancy</v>
      </c>
      <c r="B30" s="21" t="n">
        <f aca="false">(D11+$I11*INDEX(FTEShare,1))*$K11</f>
        <v>54361.8229665072</v>
      </c>
      <c r="C30" s="21" t="n">
        <f aca="false">(E11+$I11*INDEX(FTEShare,2))*$K11</f>
        <v>36732.0669856459</v>
      </c>
      <c r="D30" s="21" t="n">
        <f aca="false">(F11+$I11*INDEX(FTEShare,3))*$K11</f>
        <v>45731.014354067</v>
      </c>
      <c r="E30" s="21" t="n">
        <f aca="false">(G11+$I11*INDEX(FTEShare,4))*$K11</f>
        <v>20861.1961722488</v>
      </c>
      <c r="F30" s="21" t="n">
        <f aca="false">(H11+$I11*INDEX(FTEShare,5))*$K11</f>
        <v>13293.8995215311</v>
      </c>
      <c r="G30" s="27" t="n">
        <f aca="false">SUM(B30:F30)</f>
        <v>170980</v>
      </c>
    </row>
    <row r="31" customFormat="false" ht="15" hidden="false" customHeight="false" outlineLevel="0" collapsed="false">
      <c r="A31" s="8" t="str">
        <f aca="false">A12</f>
        <v>Technology and software</v>
      </c>
      <c r="B31" s="21" t="n">
        <f aca="false">(D12+$I12*INDEX(FTEShare,1))*$K12</f>
        <v>26853.4306220096</v>
      </c>
      <c r="C31" s="21" t="n">
        <f aca="false">(E12+$I12*INDEX(FTEShare,2))*$K12</f>
        <v>18144.7559808612</v>
      </c>
      <c r="D31" s="21" t="n">
        <f aca="false">(F12+$I12*INDEX(FTEShare,3))*$K12</f>
        <v>22590.019138756</v>
      </c>
      <c r="E31" s="21" t="n">
        <f aca="false">(G12+$I12*INDEX(FTEShare,4))*$K12</f>
        <v>10304.9282296651</v>
      </c>
      <c r="F31" s="21" t="n">
        <f aca="false">(H12+$I12*INDEX(FTEShare,5))*$K12</f>
        <v>6566.86602870814</v>
      </c>
      <c r="G31" s="27" t="n">
        <f aca="false">SUM(B31:F31)</f>
        <v>84460</v>
      </c>
    </row>
    <row r="32" customFormat="false" ht="15" hidden="false" customHeight="false" outlineLevel="0" collapsed="false">
      <c r="A32" s="8" t="str">
        <f aca="false">A13</f>
        <v>Insurance</v>
      </c>
      <c r="B32" s="21" t="n">
        <f aca="false">(D13+$I13*INDEX(FTEShare,1))*$K13</f>
        <v>19976.3325358852</v>
      </c>
      <c r="C32" s="21" t="n">
        <f aca="false">(E13+$I13*INDEX(FTEShare,2))*$K13</f>
        <v>13497.9282296651</v>
      </c>
      <c r="D32" s="21" t="n">
        <f aca="false">(F13+$I13*INDEX(FTEShare,3))*$K13</f>
        <v>16804.7703349282</v>
      </c>
      <c r="E32" s="21" t="n">
        <f aca="false">(G13+$I13*INDEX(FTEShare,4))*$K13</f>
        <v>7665.86124401914</v>
      </c>
      <c r="F32" s="21" t="n">
        <f aca="false">(H13+$I13*INDEX(FTEShare,5))*$K13</f>
        <v>4885.10765550239</v>
      </c>
      <c r="G32" s="27" t="n">
        <f aca="false">SUM(B32:F32)</f>
        <v>62830</v>
      </c>
    </row>
    <row r="33" customFormat="false" ht="15" hidden="false" customHeight="false" outlineLevel="0" collapsed="false">
      <c r="A33" s="8" t="str">
        <f aca="false">A14</f>
        <v>Travel, mileage, and vehicles</v>
      </c>
      <c r="B33" s="21" t="n">
        <f aca="false">(D14+$I14*INDEX(FTEShare,1))*$K14</f>
        <v>21630</v>
      </c>
      <c r="C33" s="21" t="n">
        <f aca="false">(E14+$I14*INDEX(FTEShare,2))*$K14</f>
        <v>10815</v>
      </c>
      <c r="D33" s="21" t="n">
        <f aca="false">(F14+$I14*INDEX(FTEShare,3))*$K14</f>
        <v>32445</v>
      </c>
      <c r="E33" s="21" t="n">
        <f aca="false">(G14+$I14*INDEX(FTEShare,4))*$K14</f>
        <v>3605</v>
      </c>
      <c r="F33" s="21" t="n">
        <f aca="false">(H14+$I14*INDEX(FTEShare,5))*$K14</f>
        <v>3605</v>
      </c>
      <c r="G33" s="27" t="n">
        <f aca="false">SUM(B33:F33)</f>
        <v>72100</v>
      </c>
    </row>
    <row r="34" customFormat="false" ht="15" hidden="false" customHeight="false" outlineLevel="0" collapsed="false">
      <c r="A34" s="8" t="str">
        <f aca="false">A15</f>
        <v>Printing, postage, and marketing</v>
      </c>
      <c r="B34" s="21" t="n">
        <f aca="false">(D15+$I15*INDEX(FTEShare,1))*$K15</f>
        <v>4120</v>
      </c>
      <c r="C34" s="21" t="n">
        <f aca="false">(E15+$I15*INDEX(FTEShare,2))*$K15</f>
        <v>4120</v>
      </c>
      <c r="D34" s="21" t="n">
        <f aca="false">(F15+$I15*INDEX(FTEShare,3))*$K15</f>
        <v>4120</v>
      </c>
      <c r="E34" s="21" t="n">
        <f aca="false">(G15+$I15*INDEX(FTEShare,4))*$K15</f>
        <v>4120</v>
      </c>
      <c r="F34" s="21" t="n">
        <f aca="false">(H15+$I15*INDEX(FTEShare,5))*$K15</f>
        <v>25235</v>
      </c>
      <c r="G34" s="27" t="n">
        <f aca="false">SUM(B34:F34)</f>
        <v>41715</v>
      </c>
    </row>
    <row r="35" customFormat="false" ht="15" hidden="false" customHeight="false" outlineLevel="0" collapsed="false">
      <c r="A35" s="8" t="str">
        <f aca="false">A16</f>
        <v>Staff training</v>
      </c>
      <c r="B35" s="21" t="n">
        <f aca="false">(D16+$I16*INDEX(FTEShare,1))*$K16</f>
        <v>5500</v>
      </c>
      <c r="C35" s="21" t="n">
        <f aca="false">(E16+$I16*INDEX(FTEShare,2))*$K16</f>
        <v>5500</v>
      </c>
      <c r="D35" s="21" t="n">
        <f aca="false">(F16+$I16*INDEX(FTEShare,3))*$K16</f>
        <v>3500</v>
      </c>
      <c r="E35" s="21" t="n">
        <f aca="false">(G16+$I16*INDEX(FTEShare,4))*$K16</f>
        <v>2500</v>
      </c>
      <c r="F35" s="21" t="n">
        <f aca="false">(H16+$I16*INDEX(FTEShare,5))*$K16</f>
        <v>1000</v>
      </c>
      <c r="G35" s="27" t="n">
        <f aca="false">SUM(B35:F35)</f>
        <v>18000</v>
      </c>
    </row>
    <row r="36" customFormat="false" ht="15" hidden="false" customHeight="false" outlineLevel="0" collapsed="false">
      <c r="A36" s="8" t="str">
        <f aca="false">A17</f>
        <v>Interest</v>
      </c>
      <c r="B36" s="21" t="n">
        <f aca="false">(D17+$I17*INDEX(FTEShare,1))*$K17</f>
        <v>9474.68899521531</v>
      </c>
      <c r="C36" s="21" t="n">
        <f aca="false">(E17+$I17*INDEX(FTEShare,2))*$K17</f>
        <v>6402.00956937799</v>
      </c>
      <c r="D36" s="21" t="n">
        <f aca="false">(F17+$I17*INDEX(FTEShare,3))*$K17</f>
        <v>7970.43062200957</v>
      </c>
      <c r="E36" s="21" t="n">
        <f aca="false">(G17+$I17*INDEX(FTEShare,4))*$K17</f>
        <v>3635.88516746411</v>
      </c>
      <c r="F36" s="21" t="n">
        <f aca="false">(H17+$I17*INDEX(FTEShare,5))*$K17</f>
        <v>2316.98564593301</v>
      </c>
      <c r="G36" s="27" t="n">
        <f aca="false">SUM(B36:F36)</f>
        <v>29800</v>
      </c>
    </row>
    <row r="37" customFormat="false" ht="15" hidden="false" customHeight="false" outlineLevel="0" collapsed="false">
      <c r="A37" s="8" t="str">
        <f aca="false">A18</f>
        <v>Depreciation</v>
      </c>
      <c r="B37" s="21" t="n">
        <f aca="false">(D18+$I18*INDEX(FTEShare,1))*$K18</f>
        <v>18599.6411483254</v>
      </c>
      <c r="C37" s="21" t="n">
        <f aca="false">(E18+$I18*INDEX(FTEShare,2))*$K18</f>
        <v>12567.7033492823</v>
      </c>
      <c r="D37" s="21" t="n">
        <f aca="false">(F18+$I18*INDEX(FTEShare,3))*$K18</f>
        <v>15646.6507177034</v>
      </c>
      <c r="E37" s="21" t="n">
        <f aca="false">(G18+$I18*INDEX(FTEShare,4))*$K18</f>
        <v>7137.55980861244</v>
      </c>
      <c r="F37" s="21" t="n">
        <f aca="false">(H18+$I18*INDEX(FTEShare,5))*$K18</f>
        <v>4548.44497607656</v>
      </c>
      <c r="G37" s="27" t="n">
        <f aca="false">SUM(B37:F37)</f>
        <v>58500</v>
      </c>
    </row>
    <row r="38" customFormat="false" ht="15" hidden="false" customHeight="false" outlineLevel="0" collapsed="false">
      <c r="A38" s="8" t="str">
        <f aca="false">A19</f>
        <v>Bank fees and other</v>
      </c>
      <c r="B38" s="21" t="n">
        <f aca="false">(D19+$I19*INDEX(FTEShare,1))*$K19</f>
        <v>0</v>
      </c>
      <c r="C38" s="21" t="n">
        <f aca="false">(E19+$I19*INDEX(FTEShare,2))*$K19</f>
        <v>0</v>
      </c>
      <c r="D38" s="21" t="n">
        <f aca="false">(F19+$I19*INDEX(FTEShare,3))*$K19</f>
        <v>0</v>
      </c>
      <c r="E38" s="21" t="n">
        <f aca="false">(G19+$I19*INDEX(FTEShare,4))*$K19</f>
        <v>14500</v>
      </c>
      <c r="F38" s="21" t="n">
        <f aca="false">(H19+$I19*INDEX(FTEShare,5))*$K19</f>
        <v>10500</v>
      </c>
      <c r="G38" s="27" t="n">
        <f aca="false">SUM(B38:F38)</f>
        <v>25000</v>
      </c>
    </row>
    <row r="39" customFormat="false" ht="15" hidden="false" customHeight="false" outlineLevel="0" collapsed="false">
      <c r="A39" s="23" t="s">
        <v>31</v>
      </c>
      <c r="B39" s="24" t="n">
        <f aca="false">SUM(B25:B38)</f>
        <v>716290.916267943</v>
      </c>
      <c r="C39" s="24" t="n">
        <f aca="false">SUM(C25:C38)</f>
        <v>208369.464114833</v>
      </c>
      <c r="D39" s="24" t="n">
        <f aca="false">SUM(D25:D38)</f>
        <v>386222.885167464</v>
      </c>
      <c r="E39" s="24" t="n">
        <f aca="false">SUM(E25:E38)</f>
        <v>148850.43062201</v>
      </c>
      <c r="F39" s="24" t="n">
        <f aca="false">SUM(F25:F38)</f>
        <v>86371.3038277512</v>
      </c>
      <c r="G39" s="24" t="n">
        <f aca="false">SUM(G25:G38)</f>
        <v>1546105</v>
      </c>
    </row>
    <row r="40" customFormat="false" ht="15" hidden="false" customHeight="false" outlineLevel="0" collapsed="false">
      <c r="A40" s="28" t="s">
        <v>204</v>
      </c>
      <c r="G40" s="29" t="str">
        <f aca="false">IF(ABS(G39-L20)&lt;1,"Agrees","Does not agree")</f>
        <v>Agrees</v>
      </c>
    </row>
  </sheetData>
  <conditionalFormatting sqref="M6:M20">
    <cfRule type="cellIs" priority="2" operator="greaterThan" aboveAverage="0" equalAverage="0" bottom="0" percent="0" rank="0" text="" dxfId="2">
      <formula>0.5</formula>
    </cfRule>
  </conditionalFormatting>
  <dataValidations count="1">
    <dataValidation allowBlank="false" errorStyle="stop" operator="between" showDropDown="false" showErrorMessage="false" showInputMessage="false" sqref="B6:B19" type="list">
      <formula1>"Fixed,Inflation,Volume,Volume and inflation"</formula1>
      <formula2>0</formula2>
    </dataValidation>
  </dataValidations>
  <printOptions headings="false" gridLines="false" gridLinesSet="true" horizontalCentered="fals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5E66"/>
    <pageSetUpPr fitToPage="true"/>
  </sheetPr>
  <dimension ref="A1:N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40"/>
    <col collapsed="false" customWidth="true" hidden="false" outlineLevel="0" max="3" min="3" style="1" width="10"/>
    <col collapsed="false" customWidth="true" hidden="false" outlineLevel="0" max="4" min="4" style="1" width="18"/>
    <col collapsed="false" customWidth="true" hidden="false" outlineLevel="0" max="5" min="5" style="1" width="14"/>
    <col collapsed="false" customWidth="true" hidden="false" outlineLevel="0" max="6" min="6" style="1" width="11"/>
    <col collapsed="false" customWidth="true" hidden="false" outlineLevel="0" max="8" min="7" style="1" width="9"/>
    <col collapsed="false" customWidth="true" hidden="false" outlineLevel="0" max="9" min="9" style="1" width="11"/>
    <col collapsed="false" customWidth="true" hidden="false" outlineLevel="0" max="10" min="10" style="1" width="10"/>
    <col collapsed="false" customWidth="true" hidden="false" outlineLevel="0" max="11" min="11" style="1" width="12"/>
    <col collapsed="false" customWidth="true" hidden="false" outlineLevel="0" max="12" min="12" style="1" width="11"/>
    <col collapsed="false" customWidth="true" hidden="false" outlineLevel="0" max="13" min="13" style="1" width="12"/>
    <col collapsed="false" customWidth="true" hidden="false" outlineLevel="0" max="14" min="14" style="1" width="11"/>
  </cols>
  <sheetData>
    <row r="1" customFormat="false" ht="18.55" hidden="false" customHeight="false" outlineLevel="0" collapsed="false">
      <c r="A1" s="30" t="s">
        <v>205</v>
      </c>
    </row>
    <row r="2" customFormat="false" ht="15" hidden="false" customHeight="false" outlineLevel="0" collapsed="false">
      <c r="A2" s="3" t="s">
        <v>206</v>
      </c>
    </row>
    <row r="3" customFormat="false" ht="15" hidden="false" customHeight="false" outlineLevel="0" collapsed="false">
      <c r="A3" s="4" t="s">
        <v>2</v>
      </c>
    </row>
    <row r="5" customFormat="false" ht="39.75" hidden="false" customHeight="true" outlineLevel="0" collapsed="false">
      <c r="A5" s="18" t="s">
        <v>207</v>
      </c>
      <c r="B5" s="19" t="s">
        <v>208</v>
      </c>
      <c r="C5" s="19" t="s">
        <v>209</v>
      </c>
      <c r="D5" s="19" t="s">
        <v>210</v>
      </c>
      <c r="E5" s="19" t="s">
        <v>211</v>
      </c>
      <c r="F5" s="19" t="s">
        <v>212</v>
      </c>
      <c r="G5" s="19" t="s">
        <v>213</v>
      </c>
      <c r="H5" s="19" t="s">
        <v>214</v>
      </c>
      <c r="I5" s="19" t="s">
        <v>215</v>
      </c>
      <c r="J5" s="19" t="s">
        <v>216</v>
      </c>
      <c r="K5" s="19" t="s">
        <v>217</v>
      </c>
      <c r="L5" s="41" t="s">
        <v>218</v>
      </c>
      <c r="M5" s="41" t="s">
        <v>219</v>
      </c>
      <c r="N5" s="41" t="s">
        <v>220</v>
      </c>
    </row>
    <row r="6" customFormat="false" ht="15" hidden="false" customHeight="false" outlineLevel="0" collapsed="false">
      <c r="A6" s="42" t="s">
        <v>221</v>
      </c>
      <c r="B6" s="55" t="s">
        <v>222</v>
      </c>
      <c r="C6" s="42" t="s">
        <v>223</v>
      </c>
      <c r="D6" s="42" t="s">
        <v>35</v>
      </c>
      <c r="E6" s="42" t="s">
        <v>95</v>
      </c>
      <c r="F6" s="44" t="n">
        <v>120000</v>
      </c>
      <c r="G6" s="42" t="n">
        <v>12</v>
      </c>
      <c r="H6" s="42" t="n">
        <v>12</v>
      </c>
      <c r="I6" s="21" t="n">
        <f aca="false">F6*MIN(H6,G6)/G6</f>
        <v>120000</v>
      </c>
      <c r="J6" s="56" t="n">
        <f aca="false">INDEX(ProbTable,MATCH(E6,StageNames,0),ScenNo)</f>
        <v>0.9</v>
      </c>
      <c r="K6" s="27" t="n">
        <f aca="false">I6*J6</f>
        <v>108000</v>
      </c>
      <c r="L6" s="21" t="n">
        <f aca="false">I6*INDEX(ProbTable,MATCH($E6,StageNames,0),1)</f>
        <v>108000</v>
      </c>
      <c r="M6" s="21" t="n">
        <f aca="false">I6*INDEX(ProbTable,MATCH($E6,StageNames,0),2)</f>
        <v>96000</v>
      </c>
      <c r="N6" s="21" t="n">
        <f aca="false">I6*INDEX(ProbTable,MATCH($E6,StageNames,0),3)</f>
        <v>114000</v>
      </c>
    </row>
    <row r="7" customFormat="false" ht="15" hidden="false" customHeight="false" outlineLevel="0" collapsed="false">
      <c r="A7" s="42" t="s">
        <v>224</v>
      </c>
      <c r="B7" s="55" t="s">
        <v>225</v>
      </c>
      <c r="C7" s="42" t="s">
        <v>226</v>
      </c>
      <c r="D7" s="42" t="s">
        <v>227</v>
      </c>
      <c r="E7" s="42" t="s">
        <v>93</v>
      </c>
      <c r="F7" s="44" t="n">
        <v>90000</v>
      </c>
      <c r="G7" s="42" t="n">
        <v>12</v>
      </c>
      <c r="H7" s="42" t="n">
        <v>12</v>
      </c>
      <c r="I7" s="21" t="n">
        <f aca="false">F7*MIN(H7,G7)/G7</f>
        <v>90000</v>
      </c>
      <c r="J7" s="56" t="n">
        <f aca="false">INDEX(ProbTable,MATCH(E7,StageNames,0),ScenNo)</f>
        <v>1</v>
      </c>
      <c r="K7" s="27" t="n">
        <f aca="false">I7*J7</f>
        <v>90000</v>
      </c>
      <c r="L7" s="21" t="n">
        <f aca="false">I7*INDEX(ProbTable,MATCH($E7,StageNames,0),1)</f>
        <v>90000</v>
      </c>
      <c r="M7" s="21" t="n">
        <f aca="false">I7*INDEX(ProbTable,MATCH($E7,StageNames,0),2)</f>
        <v>90000</v>
      </c>
      <c r="N7" s="21" t="n">
        <f aca="false">I7*INDEX(ProbTable,MATCH($E7,StageNames,0),3)</f>
        <v>90000</v>
      </c>
    </row>
    <row r="8" customFormat="false" ht="15" hidden="false" customHeight="false" outlineLevel="0" collapsed="false">
      <c r="A8" s="42" t="s">
        <v>228</v>
      </c>
      <c r="B8" s="55" t="s">
        <v>229</v>
      </c>
      <c r="C8" s="42" t="s">
        <v>223</v>
      </c>
      <c r="D8" s="42" t="s">
        <v>33</v>
      </c>
      <c r="E8" s="42" t="s">
        <v>93</v>
      </c>
      <c r="F8" s="44" t="n">
        <v>55000</v>
      </c>
      <c r="G8" s="42" t="n">
        <v>12</v>
      </c>
      <c r="H8" s="42" t="n">
        <v>12</v>
      </c>
      <c r="I8" s="21" t="n">
        <f aca="false">F8*MIN(H8,G8)/G8</f>
        <v>55000</v>
      </c>
      <c r="J8" s="56" t="n">
        <f aca="false">INDEX(ProbTable,MATCH(E8,StageNames,0),ScenNo)</f>
        <v>1</v>
      </c>
      <c r="K8" s="27" t="n">
        <f aca="false">I8*J8</f>
        <v>55000</v>
      </c>
      <c r="L8" s="21" t="n">
        <f aca="false">I8*INDEX(ProbTable,MATCH($E8,StageNames,0),1)</f>
        <v>55000</v>
      </c>
      <c r="M8" s="21" t="n">
        <f aca="false">I8*INDEX(ProbTable,MATCH($E8,StageNames,0),2)</f>
        <v>55000</v>
      </c>
      <c r="N8" s="21" t="n">
        <f aca="false">I8*INDEX(ProbTable,MATCH($E8,StageNames,0),3)</f>
        <v>55000</v>
      </c>
    </row>
    <row r="9" customFormat="false" ht="15" hidden="false" customHeight="false" outlineLevel="0" collapsed="false">
      <c r="A9" s="42" t="s">
        <v>230</v>
      </c>
      <c r="B9" s="55" t="s">
        <v>231</v>
      </c>
      <c r="C9" s="42" t="s">
        <v>223</v>
      </c>
      <c r="D9" s="42" t="s">
        <v>35</v>
      </c>
      <c r="E9" s="42" t="s">
        <v>97</v>
      </c>
      <c r="F9" s="44" t="n">
        <v>100000</v>
      </c>
      <c r="G9" s="42" t="n">
        <v>24</v>
      </c>
      <c r="H9" s="42" t="n">
        <v>12</v>
      </c>
      <c r="I9" s="21" t="n">
        <f aca="false">F9*MIN(H9,G9)/G9</f>
        <v>50000</v>
      </c>
      <c r="J9" s="56" t="n">
        <f aca="false">INDEX(ProbTable,MATCH(E9,StageNames,0),ScenNo)</f>
        <v>0.5</v>
      </c>
      <c r="K9" s="27" t="n">
        <f aca="false">I9*J9</f>
        <v>25000</v>
      </c>
      <c r="L9" s="21" t="n">
        <f aca="false">I9*INDEX(ProbTable,MATCH($E9,StageNames,0),1)</f>
        <v>25000</v>
      </c>
      <c r="M9" s="21" t="n">
        <f aca="false">I9*INDEX(ProbTable,MATCH($E9,StageNames,0),2)</f>
        <v>17500</v>
      </c>
      <c r="N9" s="21" t="n">
        <f aca="false">I9*INDEX(ProbTable,MATCH($E9,StageNames,0),3)</f>
        <v>30000</v>
      </c>
    </row>
    <row r="10" customFormat="false" ht="15" hidden="false" customHeight="false" outlineLevel="0" collapsed="false">
      <c r="A10" s="42" t="s">
        <v>232</v>
      </c>
      <c r="B10" s="55" t="s">
        <v>233</v>
      </c>
      <c r="C10" s="42" t="s">
        <v>223</v>
      </c>
      <c r="D10" s="42" t="s">
        <v>34</v>
      </c>
      <c r="E10" s="42" t="s">
        <v>97</v>
      </c>
      <c r="F10" s="44" t="n">
        <v>60000</v>
      </c>
      <c r="G10" s="42" t="n">
        <v>12</v>
      </c>
      <c r="H10" s="42" t="n">
        <v>10</v>
      </c>
      <c r="I10" s="21" t="n">
        <f aca="false">F10*MIN(H10,G10)/G10</f>
        <v>50000</v>
      </c>
      <c r="J10" s="56" t="n">
        <f aca="false">INDEX(ProbTable,MATCH(E10,StageNames,0),ScenNo)</f>
        <v>0.5</v>
      </c>
      <c r="K10" s="27" t="n">
        <f aca="false">I10*J10</f>
        <v>25000</v>
      </c>
      <c r="L10" s="21" t="n">
        <f aca="false">I10*INDEX(ProbTable,MATCH($E10,StageNames,0),1)</f>
        <v>25000</v>
      </c>
      <c r="M10" s="21" t="n">
        <f aca="false">I10*INDEX(ProbTable,MATCH($E10,StageNames,0),2)</f>
        <v>17500</v>
      </c>
      <c r="N10" s="21" t="n">
        <f aca="false">I10*INDEX(ProbTable,MATCH($E10,StageNames,0),3)</f>
        <v>30000</v>
      </c>
    </row>
    <row r="11" customFormat="false" ht="15" hidden="false" customHeight="false" outlineLevel="0" collapsed="false">
      <c r="A11" s="42" t="s">
        <v>234</v>
      </c>
      <c r="B11" s="55" t="s">
        <v>235</v>
      </c>
      <c r="C11" s="42" t="s">
        <v>223</v>
      </c>
      <c r="D11" s="42" t="s">
        <v>34</v>
      </c>
      <c r="E11" s="42" t="s">
        <v>99</v>
      </c>
      <c r="F11" s="44" t="n">
        <v>40000</v>
      </c>
      <c r="G11" s="42" t="n">
        <v>12</v>
      </c>
      <c r="H11" s="42" t="n">
        <v>9</v>
      </c>
      <c r="I11" s="21" t="n">
        <f aca="false">F11*MIN(H11,G11)/G11</f>
        <v>30000</v>
      </c>
      <c r="J11" s="56" t="n">
        <f aca="false">INDEX(ProbTable,MATCH(E11,StageNames,0),ScenNo)</f>
        <v>0.2</v>
      </c>
      <c r="K11" s="27" t="n">
        <f aca="false">I11*J11</f>
        <v>6000</v>
      </c>
      <c r="L11" s="21" t="n">
        <f aca="false">I11*INDEX(ProbTable,MATCH($E11,StageNames,0),1)</f>
        <v>6000</v>
      </c>
      <c r="M11" s="21" t="n">
        <f aca="false">I11*INDEX(ProbTable,MATCH($E11,StageNames,0),2)</f>
        <v>3000</v>
      </c>
      <c r="N11" s="21" t="n">
        <f aca="false">I11*INDEX(ProbTable,MATCH($E11,StageNames,0),3)</f>
        <v>9000</v>
      </c>
    </row>
    <row r="12" customFormat="false" ht="15" hidden="false" customHeight="false" outlineLevel="0" collapsed="false">
      <c r="A12" s="42" t="s">
        <v>236</v>
      </c>
      <c r="B12" s="55" t="s">
        <v>225</v>
      </c>
      <c r="C12" s="42" t="s">
        <v>226</v>
      </c>
      <c r="D12" s="42" t="s">
        <v>227</v>
      </c>
      <c r="E12" s="42" t="s">
        <v>95</v>
      </c>
      <c r="F12" s="44" t="n">
        <v>75000</v>
      </c>
      <c r="G12" s="42" t="n">
        <v>12</v>
      </c>
      <c r="H12" s="42" t="n">
        <v>12</v>
      </c>
      <c r="I12" s="21" t="n">
        <f aca="false">F12*MIN(H12,G12)/G12</f>
        <v>75000</v>
      </c>
      <c r="J12" s="56" t="n">
        <f aca="false">INDEX(ProbTable,MATCH(E12,StageNames,0),ScenNo)</f>
        <v>0.9</v>
      </c>
      <c r="K12" s="27" t="n">
        <f aca="false">I12*J12</f>
        <v>67500</v>
      </c>
      <c r="L12" s="21" t="n">
        <f aca="false">I12*INDEX(ProbTable,MATCH($E12,StageNames,0),1)</f>
        <v>67500</v>
      </c>
      <c r="M12" s="21" t="n">
        <f aca="false">I12*INDEX(ProbTable,MATCH($E12,StageNames,0),2)</f>
        <v>60000</v>
      </c>
      <c r="N12" s="21" t="n">
        <f aca="false">I12*INDEX(ProbTable,MATCH($E12,StageNames,0),3)</f>
        <v>71250</v>
      </c>
    </row>
    <row r="13" customFormat="false" ht="15" hidden="false" customHeight="false" outlineLevel="0" collapsed="false">
      <c r="A13" s="42" t="s">
        <v>237</v>
      </c>
      <c r="B13" s="55" t="s">
        <v>238</v>
      </c>
      <c r="C13" s="42" t="s">
        <v>223</v>
      </c>
      <c r="D13" s="42" t="s">
        <v>35</v>
      </c>
      <c r="E13" s="42" t="s">
        <v>97</v>
      </c>
      <c r="F13" s="44" t="n">
        <v>85000</v>
      </c>
      <c r="G13" s="42" t="n">
        <v>18</v>
      </c>
      <c r="H13" s="42" t="n">
        <v>12</v>
      </c>
      <c r="I13" s="21" t="n">
        <f aca="false">F13*MIN(H13,G13)/G13</f>
        <v>56666.6666666667</v>
      </c>
      <c r="J13" s="56" t="n">
        <f aca="false">INDEX(ProbTable,MATCH(E13,StageNames,0),ScenNo)</f>
        <v>0.5</v>
      </c>
      <c r="K13" s="27" t="n">
        <f aca="false">I13*J13</f>
        <v>28333.3333333333</v>
      </c>
      <c r="L13" s="21" t="n">
        <f aca="false">I13*INDEX(ProbTable,MATCH($E13,StageNames,0),1)</f>
        <v>28333.3333333333</v>
      </c>
      <c r="M13" s="21" t="n">
        <f aca="false">I13*INDEX(ProbTable,MATCH($E13,StageNames,0),2)</f>
        <v>19833.3333333333</v>
      </c>
      <c r="N13" s="21" t="n">
        <f aca="false">I13*INDEX(ProbTable,MATCH($E13,StageNames,0),3)</f>
        <v>34000</v>
      </c>
    </row>
    <row r="14" customFormat="false" ht="15" hidden="false" customHeight="false" outlineLevel="0" collapsed="false">
      <c r="A14" s="42" t="s">
        <v>239</v>
      </c>
      <c r="B14" s="55" t="s">
        <v>240</v>
      </c>
      <c r="C14" s="42" t="s">
        <v>223</v>
      </c>
      <c r="D14" s="42" t="s">
        <v>33</v>
      </c>
      <c r="E14" s="42" t="s">
        <v>95</v>
      </c>
      <c r="F14" s="44" t="n">
        <v>50000</v>
      </c>
      <c r="G14" s="42" t="n">
        <v>12</v>
      </c>
      <c r="H14" s="42" t="n">
        <v>12</v>
      </c>
      <c r="I14" s="21" t="n">
        <f aca="false">F14*MIN(H14,G14)/G14</f>
        <v>50000</v>
      </c>
      <c r="J14" s="56" t="n">
        <f aca="false">INDEX(ProbTable,MATCH(E14,StageNames,0),ScenNo)</f>
        <v>0.9</v>
      </c>
      <c r="K14" s="27" t="n">
        <f aca="false">I14*J14</f>
        <v>45000</v>
      </c>
      <c r="L14" s="21" t="n">
        <f aca="false">I14*INDEX(ProbTable,MATCH($E14,StageNames,0),1)</f>
        <v>45000</v>
      </c>
      <c r="M14" s="21" t="n">
        <f aca="false">I14*INDEX(ProbTable,MATCH($E14,StageNames,0),2)</f>
        <v>40000</v>
      </c>
      <c r="N14" s="21" t="n">
        <f aca="false">I14*INDEX(ProbTable,MATCH($E14,StageNames,0),3)</f>
        <v>47500</v>
      </c>
    </row>
    <row r="15" customFormat="false" ht="15" hidden="false" customHeight="false" outlineLevel="0" collapsed="false">
      <c r="A15" s="42" t="s">
        <v>241</v>
      </c>
      <c r="B15" s="55" t="s">
        <v>242</v>
      </c>
      <c r="C15" s="42" t="s">
        <v>223</v>
      </c>
      <c r="D15" s="42" t="s">
        <v>34</v>
      </c>
      <c r="E15" s="42" t="s">
        <v>97</v>
      </c>
      <c r="F15" s="44" t="n">
        <v>35000</v>
      </c>
      <c r="G15" s="42" t="n">
        <v>12</v>
      </c>
      <c r="H15" s="42" t="n">
        <v>12</v>
      </c>
      <c r="I15" s="21" t="n">
        <f aca="false">F15*MIN(H15,G15)/G15</f>
        <v>35000</v>
      </c>
      <c r="J15" s="56" t="n">
        <f aca="false">INDEX(ProbTable,MATCH(E15,StageNames,0),ScenNo)</f>
        <v>0.5</v>
      </c>
      <c r="K15" s="27" t="n">
        <f aca="false">I15*J15</f>
        <v>17500</v>
      </c>
      <c r="L15" s="21" t="n">
        <f aca="false">I15*INDEX(ProbTable,MATCH($E15,StageNames,0),1)</f>
        <v>17500</v>
      </c>
      <c r="M15" s="21" t="n">
        <f aca="false">I15*INDEX(ProbTable,MATCH($E15,StageNames,0),2)</f>
        <v>12250</v>
      </c>
      <c r="N15" s="21" t="n">
        <f aca="false">I15*INDEX(ProbTable,MATCH($E15,StageNames,0),3)</f>
        <v>21000</v>
      </c>
    </row>
    <row r="16" customFormat="false" ht="15" hidden="false" customHeight="false" outlineLevel="0" collapsed="false">
      <c r="A16" s="42" t="s">
        <v>243</v>
      </c>
      <c r="B16" s="55" t="s">
        <v>244</v>
      </c>
      <c r="C16" s="42" t="s">
        <v>226</v>
      </c>
      <c r="D16" s="42" t="s">
        <v>227</v>
      </c>
      <c r="E16" s="42" t="s">
        <v>99</v>
      </c>
      <c r="F16" s="44" t="n">
        <v>30000</v>
      </c>
      <c r="G16" s="42" t="n">
        <v>12</v>
      </c>
      <c r="H16" s="42" t="n">
        <v>12</v>
      </c>
      <c r="I16" s="21" t="n">
        <f aca="false">F16*MIN(H16,G16)/G16</f>
        <v>30000</v>
      </c>
      <c r="J16" s="56" t="n">
        <f aca="false">INDEX(ProbTable,MATCH(E16,StageNames,0),ScenNo)</f>
        <v>0.2</v>
      </c>
      <c r="K16" s="27" t="n">
        <f aca="false">I16*J16</f>
        <v>6000</v>
      </c>
      <c r="L16" s="21" t="n">
        <f aca="false">I16*INDEX(ProbTable,MATCH($E16,StageNames,0),1)</f>
        <v>6000</v>
      </c>
      <c r="M16" s="21" t="n">
        <f aca="false">I16*INDEX(ProbTable,MATCH($E16,StageNames,0),2)</f>
        <v>3000</v>
      </c>
      <c r="N16" s="21" t="n">
        <f aca="false">I16*INDEX(ProbTable,MATCH($E16,StageNames,0),3)</f>
        <v>9000</v>
      </c>
    </row>
    <row r="17" customFormat="false" ht="15" hidden="false" customHeight="false" outlineLevel="0" collapsed="false">
      <c r="A17" s="42" t="s">
        <v>245</v>
      </c>
      <c r="B17" s="55" t="s">
        <v>246</v>
      </c>
      <c r="C17" s="42" t="s">
        <v>223</v>
      </c>
      <c r="D17" s="42" t="s">
        <v>33</v>
      </c>
      <c r="E17" s="42" t="s">
        <v>95</v>
      </c>
      <c r="F17" s="44" t="n">
        <v>25000</v>
      </c>
      <c r="G17" s="42" t="n">
        <v>12</v>
      </c>
      <c r="H17" s="42" t="n">
        <v>12</v>
      </c>
      <c r="I17" s="21" t="n">
        <f aca="false">F17*MIN(H17,G17)/G17</f>
        <v>25000</v>
      </c>
      <c r="J17" s="56" t="n">
        <f aca="false">INDEX(ProbTable,MATCH(E17,StageNames,0),ScenNo)</f>
        <v>0.9</v>
      </c>
      <c r="K17" s="27" t="n">
        <f aca="false">I17*J17</f>
        <v>22500</v>
      </c>
      <c r="L17" s="21" t="n">
        <f aca="false">I17*INDEX(ProbTable,MATCH($E17,StageNames,0),1)</f>
        <v>22500</v>
      </c>
      <c r="M17" s="21" t="n">
        <f aca="false">I17*INDEX(ProbTable,MATCH($E17,StageNames,0),2)</f>
        <v>20000</v>
      </c>
      <c r="N17" s="21" t="n">
        <f aca="false">I17*INDEX(ProbTable,MATCH($E17,StageNames,0),3)</f>
        <v>23750</v>
      </c>
    </row>
    <row r="18" customFormat="false" ht="15" hidden="false" customHeight="false" outlineLevel="0" collapsed="false">
      <c r="A18" s="42" t="s">
        <v>247</v>
      </c>
      <c r="B18" s="55" t="s">
        <v>248</v>
      </c>
      <c r="C18" s="42" t="s">
        <v>223</v>
      </c>
      <c r="D18" s="42" t="s">
        <v>34</v>
      </c>
      <c r="E18" s="42" t="s">
        <v>99</v>
      </c>
      <c r="F18" s="44" t="n">
        <v>60000</v>
      </c>
      <c r="G18" s="42" t="n">
        <v>24</v>
      </c>
      <c r="H18" s="42" t="n">
        <v>9</v>
      </c>
      <c r="I18" s="21" t="n">
        <f aca="false">F18*MIN(H18,G18)/G18</f>
        <v>22500</v>
      </c>
      <c r="J18" s="56" t="n">
        <f aca="false">INDEX(ProbTable,MATCH(E18,StageNames,0),ScenNo)</f>
        <v>0.2</v>
      </c>
      <c r="K18" s="27" t="n">
        <f aca="false">I18*J18</f>
        <v>4500</v>
      </c>
      <c r="L18" s="21" t="n">
        <f aca="false">I18*INDEX(ProbTable,MATCH($E18,StageNames,0),1)</f>
        <v>4500</v>
      </c>
      <c r="M18" s="21" t="n">
        <f aca="false">I18*INDEX(ProbTable,MATCH($E18,StageNames,0),2)</f>
        <v>2250</v>
      </c>
      <c r="N18" s="21" t="n">
        <f aca="false">I18*INDEX(ProbTable,MATCH($E18,StageNames,0),3)</f>
        <v>6750</v>
      </c>
    </row>
    <row r="19" customFormat="false" ht="15" hidden="false" customHeight="false" outlineLevel="0" collapsed="false">
      <c r="A19" s="42" t="s">
        <v>249</v>
      </c>
      <c r="B19" s="55" t="s">
        <v>250</v>
      </c>
      <c r="C19" s="42" t="s">
        <v>223</v>
      </c>
      <c r="D19" s="42" t="s">
        <v>35</v>
      </c>
      <c r="E19" s="42" t="s">
        <v>99</v>
      </c>
      <c r="F19" s="44" t="n">
        <v>15000</v>
      </c>
      <c r="G19" s="42" t="n">
        <v>12</v>
      </c>
      <c r="H19" s="42" t="n">
        <v>12</v>
      </c>
      <c r="I19" s="21" t="n">
        <f aca="false">F19*MIN(H19,G19)/G19</f>
        <v>15000</v>
      </c>
      <c r="J19" s="56" t="n">
        <f aca="false">INDEX(ProbTable,MATCH(E19,StageNames,0),ScenNo)</f>
        <v>0.2</v>
      </c>
      <c r="K19" s="27" t="n">
        <f aca="false">I19*J19</f>
        <v>3000</v>
      </c>
      <c r="L19" s="21" t="n">
        <f aca="false">I19*INDEX(ProbTable,MATCH($E19,StageNames,0),1)</f>
        <v>3000</v>
      </c>
      <c r="M19" s="21" t="n">
        <f aca="false">I19*INDEX(ProbTable,MATCH($E19,StageNames,0),2)</f>
        <v>1500</v>
      </c>
      <c r="N19" s="21" t="n">
        <f aca="false">I19*INDEX(ProbTable,MATCH($E19,StageNames,0),3)</f>
        <v>4500</v>
      </c>
    </row>
    <row r="20" customFormat="false" ht="15" hidden="false" customHeight="false" outlineLevel="0" collapsed="false">
      <c r="A20" s="23" t="s">
        <v>31</v>
      </c>
      <c r="F20" s="24" t="n">
        <f aca="false">SUM(F6:F19)</f>
        <v>840000</v>
      </c>
      <c r="I20" s="24" t="n">
        <f aca="false">SUM(I6:I19)</f>
        <v>704166.666666667</v>
      </c>
      <c r="K20" s="24" t="n">
        <f aca="false">SUM(K6:K19)</f>
        <v>503333.333333333</v>
      </c>
      <c r="L20" s="24" t="n">
        <f aca="false">SUM(L6:L19)</f>
        <v>503333.333333333</v>
      </c>
      <c r="M20" s="24" t="n">
        <f aca="false">SUM(M6:M19)</f>
        <v>437833.333333333</v>
      </c>
      <c r="N20" s="24" t="n">
        <f aca="false">SUM(N6:N19)</f>
        <v>545750</v>
      </c>
    </row>
    <row r="23" customFormat="false" ht="15" hidden="false" customHeight="false" outlineLevel="0" collapsed="false">
      <c r="A23" s="7" t="s">
        <v>251</v>
      </c>
    </row>
    <row r="24" customFormat="false" ht="21.75" hidden="false" customHeight="true" outlineLevel="0" collapsed="false">
      <c r="A24" s="18" t="s">
        <v>211</v>
      </c>
      <c r="B24" s="19" t="s">
        <v>252</v>
      </c>
      <c r="C24" s="19" t="s">
        <v>212</v>
      </c>
      <c r="D24" s="19" t="s">
        <v>215</v>
      </c>
      <c r="E24" s="19" t="s">
        <v>253</v>
      </c>
    </row>
    <row r="25" customFormat="false" ht="15" hidden="false" customHeight="false" outlineLevel="0" collapsed="false">
      <c r="A25" s="8" t="s">
        <v>93</v>
      </c>
      <c r="B25" s="8" t="n">
        <f aca="false">COUNTIF($E$6:$E$19,A25)</f>
        <v>2</v>
      </c>
      <c r="C25" s="21" t="n">
        <f aca="false">SUMIFS($F$6:$F$19,$E$6:$E$19,$A25)</f>
        <v>145000</v>
      </c>
      <c r="D25" s="21" t="n">
        <f aca="false">SUMIFS($I$6:$I$19,$E$6:$E$19,$A25)</f>
        <v>145000</v>
      </c>
      <c r="E25" s="21" t="n">
        <f aca="false">SUMIFS($K$6:$K$19,$E$6:$E$19,$A25)</f>
        <v>145000</v>
      </c>
    </row>
    <row r="26" customFormat="false" ht="15" hidden="false" customHeight="false" outlineLevel="0" collapsed="false">
      <c r="A26" s="8" t="s">
        <v>95</v>
      </c>
      <c r="B26" s="8" t="n">
        <f aca="false">COUNTIF($E$6:$E$19,A26)</f>
        <v>4</v>
      </c>
      <c r="C26" s="21" t="n">
        <f aca="false">SUMIFS($F$6:$F$19,$E$6:$E$19,$A26)</f>
        <v>270000</v>
      </c>
      <c r="D26" s="21" t="n">
        <f aca="false">SUMIFS($I$6:$I$19,$E$6:$E$19,$A26)</f>
        <v>270000</v>
      </c>
      <c r="E26" s="21" t="n">
        <f aca="false">SUMIFS($K$6:$K$19,$E$6:$E$19,$A26)</f>
        <v>243000</v>
      </c>
    </row>
    <row r="27" customFormat="false" ht="15" hidden="false" customHeight="false" outlineLevel="0" collapsed="false">
      <c r="A27" s="8" t="s">
        <v>97</v>
      </c>
      <c r="B27" s="8" t="n">
        <f aca="false">COUNTIF($E$6:$E$19,A27)</f>
        <v>4</v>
      </c>
      <c r="C27" s="21" t="n">
        <f aca="false">SUMIFS($F$6:$F$19,$E$6:$E$19,$A27)</f>
        <v>280000</v>
      </c>
      <c r="D27" s="21" t="n">
        <f aca="false">SUMIFS($I$6:$I$19,$E$6:$E$19,$A27)</f>
        <v>191666.666666667</v>
      </c>
      <c r="E27" s="21" t="n">
        <f aca="false">SUMIFS($K$6:$K$19,$E$6:$E$19,$A27)</f>
        <v>95833.3333333333</v>
      </c>
    </row>
    <row r="28" customFormat="false" ht="15" hidden="false" customHeight="false" outlineLevel="0" collapsed="false">
      <c r="A28" s="8" t="s">
        <v>99</v>
      </c>
      <c r="B28" s="8" t="n">
        <f aca="false">COUNTIF($E$6:$E$19,A28)</f>
        <v>4</v>
      </c>
      <c r="C28" s="21" t="n">
        <f aca="false">SUMIFS($F$6:$F$19,$E$6:$E$19,$A28)</f>
        <v>145000</v>
      </c>
      <c r="D28" s="21" t="n">
        <f aca="false">SUMIFS($I$6:$I$19,$E$6:$E$19,$A28)</f>
        <v>97500</v>
      </c>
      <c r="E28" s="21" t="n">
        <f aca="false">SUMIFS($K$6:$K$19,$E$6:$E$19,$A28)</f>
        <v>19500</v>
      </c>
    </row>
    <row r="30" customFormat="false" ht="15" hidden="false" customHeight="false" outlineLevel="0" collapsed="false">
      <c r="A30" s="4" t="s">
        <v>254</v>
      </c>
    </row>
  </sheetData>
  <conditionalFormatting sqref="E6:E19">
    <cfRule type="cellIs" priority="2" operator="equal" aboveAverage="0" equalAverage="0" bottom="0" percent="0" rank="0" text="" dxfId="5">
      <formula>"Prospect"</formula>
    </cfRule>
  </conditionalFormatting>
  <dataValidations count="2">
    <dataValidation allowBlank="false" errorStyle="stop" operator="between" showDropDown="false" showErrorMessage="false" showInputMessage="false" sqref="E6:E19" type="list">
      <formula1>"Awarded,Renewal likely,Submitted,Prospect"</formula1>
      <formula2>0</formula2>
    </dataValidation>
    <dataValidation allowBlank="false" errorStyle="stop" operator="between" showDropDown="false" showErrorMessage="false" showInputMessage="false" sqref="C6:C19" type="list">
      <formula1>"Yes,No"</formula1>
      <formula2>0</formula2>
    </dataValidation>
  </dataValidations>
  <printOptions headings="false" gridLines="false" gridLinesSet="true" horizontalCentered="fals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5E66"/>
    <pageSetUpPr fitToPage="true"/>
  </sheetPr>
  <dimension ref="A1:I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2" min="1" style="1" width="34"/>
    <col collapsed="false" customWidth="true" hidden="false" outlineLevel="0" max="3" min="3" style="1" width="13"/>
    <col collapsed="false" customWidth="true" hidden="false" outlineLevel="0" max="4" min="4" style="1" width="12"/>
    <col collapsed="false" customWidth="true" hidden="false" outlineLevel="0" max="5" min="5" style="1" width="13"/>
    <col collapsed="false" customWidth="true" hidden="false" outlineLevel="0" max="6" min="6" style="1" width="12"/>
    <col collapsed="false" customWidth="true" hidden="false" outlineLevel="0" max="8" min="7" style="1" width="13"/>
    <col collapsed="false" customWidth="true" hidden="false" outlineLevel="0" max="9" min="9" style="1" width="9"/>
  </cols>
  <sheetData>
    <row r="1" customFormat="false" ht="18.55" hidden="false" customHeight="false" outlineLevel="0" collapsed="false">
      <c r="A1" s="30" t="s">
        <v>255</v>
      </c>
    </row>
    <row r="2" customFormat="false" ht="15" hidden="false" customHeight="false" outlineLevel="0" collapsed="false">
      <c r="A2" s="3" t="s">
        <v>256</v>
      </c>
    </row>
    <row r="3" customFormat="false" ht="15" hidden="false" customHeight="false" outlineLevel="0" collapsed="false">
      <c r="A3" s="4" t="s">
        <v>2</v>
      </c>
    </row>
    <row r="5" customFormat="false" ht="31.5" hidden="false" customHeight="true" outlineLevel="0" collapsed="false">
      <c r="A5" s="18" t="s">
        <v>257</v>
      </c>
      <c r="B5" s="19" t="s">
        <v>258</v>
      </c>
      <c r="C5" s="19" t="s">
        <v>40</v>
      </c>
      <c r="D5" s="19" t="s">
        <v>50</v>
      </c>
      <c r="E5" s="19" t="s">
        <v>51</v>
      </c>
      <c r="F5" s="19" t="s">
        <v>52</v>
      </c>
      <c r="G5" s="19" t="s">
        <v>182</v>
      </c>
      <c r="H5" s="19" t="s">
        <v>183</v>
      </c>
      <c r="I5" s="19" t="s">
        <v>259</v>
      </c>
    </row>
    <row r="6" customFormat="false" ht="15" hidden="false" customHeight="false" outlineLevel="0" collapsed="false">
      <c r="A6" s="8" t="s">
        <v>260</v>
      </c>
      <c r="B6" s="28" t="s">
        <v>261</v>
      </c>
      <c r="C6" s="44" t="n">
        <v>686654</v>
      </c>
      <c r="D6" s="21" t="n">
        <f aca="false">$C6*(1+INDEX(IndivG,1))</f>
        <v>714120.16</v>
      </c>
      <c r="E6" s="21" t="n">
        <f aca="false">$C6*(1+INDEX(IndivG,2))</f>
        <v>666054.38</v>
      </c>
      <c r="F6" s="21" t="n">
        <f aca="false">$C6*(1+INDEX(IndivG,3))</f>
        <v>741586.32</v>
      </c>
      <c r="G6" s="57" t="n">
        <f aca="false">INDEX(D6:F6,ScenNo)</f>
        <v>714120.16</v>
      </c>
      <c r="H6" s="21" t="n">
        <f aca="false">G6-C6</f>
        <v>27466.16</v>
      </c>
      <c r="I6" s="22" t="n">
        <f aca="false">IF(C6=0,0,H6/ABS(C6))</f>
        <v>0.0400000000000001</v>
      </c>
    </row>
    <row r="7" customFormat="false" ht="15" hidden="false" customHeight="false" outlineLevel="0" collapsed="false">
      <c r="A7" s="8" t="s">
        <v>262</v>
      </c>
      <c r="B7" s="28" t="s">
        <v>261</v>
      </c>
      <c r="C7" s="44" t="n">
        <v>216308</v>
      </c>
      <c r="D7" s="21" t="n">
        <f aca="false">$C7*(1+INDEX(CorpG,1))</f>
        <v>222797.24</v>
      </c>
      <c r="E7" s="21" t="n">
        <f aca="false">$C7*(1+INDEX(CorpG,2))</f>
        <v>205492.6</v>
      </c>
      <c r="F7" s="21" t="n">
        <f aca="false">$C7*(1+INDEX(CorpG,3))</f>
        <v>229286.48</v>
      </c>
      <c r="G7" s="57" t="n">
        <f aca="false">INDEX(D7:F7,ScenNo)</f>
        <v>222797.24</v>
      </c>
      <c r="H7" s="21" t="n">
        <f aca="false">G7-C7</f>
        <v>6489.24000000002</v>
      </c>
      <c r="I7" s="22" t="n">
        <f aca="false">IF(C7=0,0,H7/ABS(C7))</f>
        <v>0.0300000000000001</v>
      </c>
    </row>
    <row r="8" customFormat="false" ht="15" hidden="false" customHeight="false" outlineLevel="0" collapsed="false">
      <c r="A8" s="8" t="s">
        <v>44</v>
      </c>
      <c r="B8" s="28" t="s">
        <v>263</v>
      </c>
      <c r="C8" s="44" t="n">
        <v>655635</v>
      </c>
      <c r="D8" s="21" t="n">
        <f aca="false">'Grant Pipeline'!L20</f>
        <v>503333.333333333</v>
      </c>
      <c r="E8" s="21" t="n">
        <f aca="false">'Grant Pipeline'!M20</f>
        <v>437833.333333333</v>
      </c>
      <c r="F8" s="21" t="n">
        <f aca="false">'Grant Pipeline'!N20</f>
        <v>545750</v>
      </c>
      <c r="G8" s="57" t="n">
        <f aca="false">INDEX(D8:F8,ScenNo)</f>
        <v>503333.333333333</v>
      </c>
      <c r="H8" s="21" t="n">
        <f aca="false">G8-C8</f>
        <v>-152301.666666667</v>
      </c>
      <c r="I8" s="22" t="n">
        <f aca="false">IF(C8=0,0,H8/ABS(C8))</f>
        <v>-0.232296425094247</v>
      </c>
    </row>
    <row r="9" customFormat="false" ht="15" hidden="false" customHeight="false" outlineLevel="0" collapsed="false">
      <c r="A9" s="8" t="s">
        <v>264</v>
      </c>
      <c r="B9" s="28" t="s">
        <v>265</v>
      </c>
      <c r="C9" s="44"/>
      <c r="D9" s="21" t="n">
        <f aca="false">150000</f>
        <v>150000</v>
      </c>
      <c r="E9" s="21" t="n">
        <f aca="false">150000</f>
        <v>150000</v>
      </c>
      <c r="F9" s="21" t="n">
        <f aca="false">150000</f>
        <v>150000</v>
      </c>
      <c r="G9" s="57" t="n">
        <f aca="false">INDEX(D9:F9,ScenNo)</f>
        <v>150000</v>
      </c>
      <c r="H9" s="21" t="n">
        <f aca="false">G9-C9</f>
        <v>150000</v>
      </c>
      <c r="I9" s="22" t="n">
        <f aca="false">IF(C9=0,0,H9/ABS(C9))</f>
        <v>0</v>
      </c>
    </row>
    <row r="10" customFormat="false" ht="15" hidden="false" customHeight="false" outlineLevel="0" collapsed="false">
      <c r="A10" s="8" t="s">
        <v>266</v>
      </c>
      <c r="B10" s="28" t="s">
        <v>267</v>
      </c>
      <c r="C10" s="44" t="n">
        <v>1177697</v>
      </c>
      <c r="D10" s="21" t="n">
        <f aca="false">1180000*(1+INDEX(GovChg,1))</f>
        <v>1180000</v>
      </c>
      <c r="E10" s="21" t="n">
        <f aca="false">1180000*(1+INDEX(GovChg,2))</f>
        <v>1121000</v>
      </c>
      <c r="F10" s="21" t="n">
        <f aca="false">1180000*(1+INDEX(GovChg,3))</f>
        <v>1227200</v>
      </c>
      <c r="G10" s="57" t="n">
        <f aca="false">INDEX(D10:F10,ScenNo)</f>
        <v>1180000</v>
      </c>
      <c r="H10" s="21" t="n">
        <f aca="false">G10-C10</f>
        <v>2303</v>
      </c>
      <c r="I10" s="22" t="n">
        <f aca="false">IF(C10=0,0,H10/ABS(C10))</f>
        <v>0.00195551147706074</v>
      </c>
    </row>
    <row r="11" customFormat="false" ht="15" hidden="false" customHeight="false" outlineLevel="0" collapsed="false">
      <c r="A11" s="8" t="s">
        <v>268</v>
      </c>
      <c r="B11" s="28" t="s">
        <v>267</v>
      </c>
      <c r="C11" s="44" t="n">
        <v>483003</v>
      </c>
      <c r="D11" s="21" t="n">
        <f aca="false">520000*(1+INDEX(GovChg,1))</f>
        <v>520000</v>
      </c>
      <c r="E11" s="21" t="n">
        <f aca="false">520000*(1+INDEX(GovChg,2))</f>
        <v>494000</v>
      </c>
      <c r="F11" s="21" t="n">
        <f aca="false">520000*(1+INDEX(GovChg,3))</f>
        <v>540800</v>
      </c>
      <c r="G11" s="57" t="n">
        <f aca="false">INDEX(D11:F11,ScenNo)</f>
        <v>520000</v>
      </c>
      <c r="H11" s="21" t="n">
        <f aca="false">G11-C11</f>
        <v>36997</v>
      </c>
      <c r="I11" s="22" t="n">
        <f aca="false">IF(C11=0,0,H11/ABS(C11))</f>
        <v>0.0765978679221454</v>
      </c>
    </row>
    <row r="12" customFormat="false" ht="15" hidden="false" customHeight="false" outlineLevel="0" collapsed="false">
      <c r="A12" s="8" t="s">
        <v>269</v>
      </c>
      <c r="B12" s="28" t="s">
        <v>267</v>
      </c>
      <c r="C12" s="44" t="n">
        <v>409154</v>
      </c>
      <c r="D12" s="21" t="n">
        <f aca="false">410000*(1+INDEX(GovChg,1))</f>
        <v>410000</v>
      </c>
      <c r="E12" s="21" t="n">
        <f aca="false">410000*(1+INDEX(GovChg,2))</f>
        <v>389500</v>
      </c>
      <c r="F12" s="21" t="n">
        <f aca="false">410000*(1+INDEX(GovChg,3))</f>
        <v>426400</v>
      </c>
      <c r="G12" s="57" t="n">
        <f aca="false">INDEX(D12:F12,ScenNo)</f>
        <v>410000</v>
      </c>
      <c r="H12" s="21" t="n">
        <f aca="false">G12-C12</f>
        <v>846</v>
      </c>
      <c r="I12" s="22" t="n">
        <f aca="false">IF(C12=0,0,H12/ABS(C12))</f>
        <v>0.00206768111762319</v>
      </c>
    </row>
    <row r="13" customFormat="false" ht="15" hidden="false" customHeight="false" outlineLevel="0" collapsed="false">
      <c r="A13" s="8" t="s">
        <v>270</v>
      </c>
      <c r="B13" s="28" t="s">
        <v>271</v>
      </c>
      <c r="C13" s="44" t="n">
        <v>112012</v>
      </c>
      <c r="D13" s="21" t="n">
        <f aca="false">$C13*(1+INDEX(FeeG,1))</f>
        <v>117612.6</v>
      </c>
      <c r="E13" s="21" t="n">
        <f aca="false">$C13*(1+INDEX(FeeG,2))</f>
        <v>112012</v>
      </c>
      <c r="F13" s="21" t="n">
        <f aca="false">$C13*(1+INDEX(FeeG,3))</f>
        <v>123213.2</v>
      </c>
      <c r="G13" s="57" t="n">
        <f aca="false">INDEX(D13:F13,ScenNo)</f>
        <v>117612.6</v>
      </c>
      <c r="H13" s="21" t="n">
        <f aca="false">G13-C13</f>
        <v>5600.60000000001</v>
      </c>
      <c r="I13" s="22" t="n">
        <f aca="false">IF(C13=0,0,H13/ABS(C13))</f>
        <v>0.0500000000000001</v>
      </c>
    </row>
    <row r="14" customFormat="false" ht="15" hidden="false" customHeight="false" outlineLevel="0" collapsed="false">
      <c r="A14" s="8" t="s">
        <v>272</v>
      </c>
      <c r="B14" s="28" t="s">
        <v>271</v>
      </c>
      <c r="C14" s="44" t="n">
        <v>190629</v>
      </c>
      <c r="D14" s="21" t="n">
        <f aca="false">$C14*(1+INDEX(FeeG,1))</f>
        <v>200160.45</v>
      </c>
      <c r="E14" s="21" t="n">
        <f aca="false">$C14*(1+INDEX(FeeG,2))</f>
        <v>190629</v>
      </c>
      <c r="F14" s="21" t="n">
        <f aca="false">$C14*(1+INDEX(FeeG,3))</f>
        <v>209691.9</v>
      </c>
      <c r="G14" s="57" t="n">
        <f aca="false">INDEX(D14:F14,ScenNo)</f>
        <v>200160.45</v>
      </c>
      <c r="H14" s="21" t="n">
        <f aca="false">G14-C14</f>
        <v>9531.45000000001</v>
      </c>
      <c r="I14" s="22" t="n">
        <f aca="false">IF(C14=0,0,H14/ABS(C14))</f>
        <v>0.0500000000000001</v>
      </c>
    </row>
    <row r="15" customFormat="false" ht="15" hidden="false" customHeight="false" outlineLevel="0" collapsed="false">
      <c r="A15" s="8" t="s">
        <v>273</v>
      </c>
      <c r="B15" s="28" t="s">
        <v>274</v>
      </c>
      <c r="C15" s="44" t="n">
        <v>268400</v>
      </c>
      <c r="D15" s="21" t="n">
        <f aca="false">INDEX(EventGross,1)</f>
        <v>290000</v>
      </c>
      <c r="E15" s="21" t="n">
        <f aca="false">INDEX(EventGross,2)</f>
        <v>255000</v>
      </c>
      <c r="F15" s="21" t="n">
        <f aca="false">INDEX(EventGross,3)</f>
        <v>320000</v>
      </c>
      <c r="G15" s="57" t="n">
        <f aca="false">INDEX(D15:F15,ScenNo)</f>
        <v>290000</v>
      </c>
      <c r="H15" s="21" t="n">
        <f aca="false">G15-C15</f>
        <v>21600</v>
      </c>
      <c r="I15" s="22" t="n">
        <f aca="false">IF(C15=0,0,H15/ABS(C15))</f>
        <v>0.0804769001490313</v>
      </c>
    </row>
    <row r="16" customFormat="false" ht="15" hidden="false" customHeight="false" outlineLevel="0" collapsed="false">
      <c r="A16" s="8" t="s">
        <v>275</v>
      </c>
      <c r="B16" s="28" t="s">
        <v>276</v>
      </c>
      <c r="C16" s="44" t="n">
        <v>-86150</v>
      </c>
      <c r="D16" s="21" t="n">
        <f aca="false">-D15*INDEX(EventCost,1)</f>
        <v>-87000</v>
      </c>
      <c r="E16" s="21" t="n">
        <f aca="false">-E15*INDEX(EventCost,2)</f>
        <v>-81600</v>
      </c>
      <c r="F16" s="21" t="n">
        <f aca="false">-F15*INDEX(EventCost,3)</f>
        <v>-96000</v>
      </c>
      <c r="G16" s="57" t="n">
        <f aca="false">INDEX(D16:F16,ScenNo)</f>
        <v>-87000</v>
      </c>
      <c r="H16" s="21" t="n">
        <f aca="false">G16-C16</f>
        <v>-850</v>
      </c>
      <c r="I16" s="22" t="n">
        <f aca="false">IF(C16=0,0,H16/ABS(C16))</f>
        <v>-0.00986651189785258</v>
      </c>
    </row>
    <row r="17" customFormat="false" ht="15" hidden="false" customHeight="false" outlineLevel="0" collapsed="false">
      <c r="A17" s="8" t="s">
        <v>90</v>
      </c>
      <c r="B17" s="28" t="s">
        <v>277</v>
      </c>
      <c r="C17" s="44" t="n">
        <v>40112</v>
      </c>
      <c r="D17" s="21" t="n">
        <f aca="false">INDEX(InvOther,1)</f>
        <v>44000</v>
      </c>
      <c r="E17" s="21" t="n">
        <f aca="false">INDEX(InvOther,2)</f>
        <v>30000</v>
      </c>
      <c r="F17" s="21" t="n">
        <f aca="false">INDEX(InvOther,3)</f>
        <v>48000</v>
      </c>
      <c r="G17" s="57" t="n">
        <f aca="false">INDEX(D17:F17,ScenNo)</f>
        <v>44000</v>
      </c>
      <c r="H17" s="21" t="n">
        <f aca="false">G17-C17</f>
        <v>3888</v>
      </c>
      <c r="I17" s="22" t="n">
        <f aca="false">IF(C17=0,0,H17/ABS(C17))</f>
        <v>0.0969285999202234</v>
      </c>
    </row>
    <row r="18" customFormat="false" ht="15" hidden="false" customHeight="false" outlineLevel="0" collapsed="false">
      <c r="A18" s="23" t="s">
        <v>23</v>
      </c>
      <c r="C18" s="51" t="n">
        <f aca="false">SUM(C6:C17)</f>
        <v>4153454</v>
      </c>
      <c r="D18" s="51" t="n">
        <f aca="false">SUM(D6:D17)</f>
        <v>4265023.78333333</v>
      </c>
      <c r="E18" s="51" t="n">
        <f aca="false">SUM(E6:E17)</f>
        <v>3969921.31333333</v>
      </c>
      <c r="F18" s="51" t="n">
        <f aca="false">SUM(F6:F17)</f>
        <v>4465927.9</v>
      </c>
      <c r="G18" s="51" t="n">
        <f aca="false">SUM(G6:G17)</f>
        <v>4265023.78333333</v>
      </c>
      <c r="H18" s="51" t="n">
        <f aca="false">SUM(H6:H17)</f>
        <v>111569.783333333</v>
      </c>
      <c r="I18" s="58" t="n">
        <f aca="false">IF(C18=0,0,H18/ABS(C18))</f>
        <v>0.0268619282489546</v>
      </c>
    </row>
    <row r="20" customFormat="false" ht="15" hidden="false" customHeight="false" outlineLevel="0" collapsed="false">
      <c r="A20" s="4" t="s">
        <v>278</v>
      </c>
    </row>
  </sheetData>
  <conditionalFormatting sqref="H6:I18">
    <cfRule type="cellIs" priority="2" operator="lessThan" aboveAverage="0" equalAverage="0" bottom="0" percent="0" rank="0" text="" dxfId="2">
      <formula>-0.5</formula>
    </cfRule>
  </conditionalFormatting>
  <printOptions headings="false" gridLines="false" gridLinesSet="true" horizontalCentered="fals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5E66"/>
    <pageSetUpPr fitToPage="true"/>
  </sheetPr>
  <dimension ref="A1:O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6"/>
    <col collapsed="false" customWidth="true" hidden="false" outlineLevel="0" max="2" min="2" style="1" width="12"/>
    <col collapsed="false" customWidth="true" hidden="false" outlineLevel="0" max="14" min="3" style="1" width="9.52"/>
    <col collapsed="false" customWidth="true" hidden="false" outlineLevel="0" max="15" min="15" style="1" width="9"/>
  </cols>
  <sheetData>
    <row r="1" customFormat="false" ht="18.55" hidden="false" customHeight="false" outlineLevel="0" collapsed="false">
      <c r="A1" s="30" t="s">
        <v>279</v>
      </c>
    </row>
    <row r="2" customFormat="false" ht="15" hidden="false" customHeight="false" outlineLevel="0" collapsed="false">
      <c r="A2" s="3" t="s">
        <v>280</v>
      </c>
    </row>
    <row r="3" customFormat="false" ht="15" hidden="false" customHeight="false" outlineLevel="0" collapsed="false">
      <c r="A3" s="4" t="s">
        <v>2</v>
      </c>
    </row>
    <row r="5" customFormat="false" ht="21.75" hidden="false" customHeight="true" outlineLevel="0" collapsed="false">
      <c r="A5" s="18" t="s">
        <v>281</v>
      </c>
      <c r="B5" s="19" t="s">
        <v>282</v>
      </c>
      <c r="C5" s="19" t="s">
        <v>283</v>
      </c>
      <c r="D5" s="19" t="s">
        <v>284</v>
      </c>
      <c r="E5" s="19" t="s">
        <v>285</v>
      </c>
      <c r="F5" s="19" t="s">
        <v>286</v>
      </c>
      <c r="G5" s="19" t="s">
        <v>287</v>
      </c>
      <c r="H5" s="19" t="s">
        <v>288</v>
      </c>
      <c r="I5" s="19" t="s">
        <v>289</v>
      </c>
      <c r="J5" s="19" t="s">
        <v>290</v>
      </c>
      <c r="K5" s="19" t="s">
        <v>291</v>
      </c>
      <c r="L5" s="19" t="s">
        <v>292</v>
      </c>
      <c r="M5" s="19" t="s">
        <v>293</v>
      </c>
      <c r="N5" s="19" t="s">
        <v>294</v>
      </c>
      <c r="O5" s="19" t="s">
        <v>295</v>
      </c>
    </row>
    <row r="6" customFormat="false" ht="15" hidden="false" customHeight="false" outlineLevel="0" collapsed="false">
      <c r="A6" s="59" t="s">
        <v>53</v>
      </c>
      <c r="B6" s="15"/>
      <c r="C6" s="15"/>
      <c r="D6" s="15"/>
      <c r="E6" s="15"/>
      <c r="F6" s="15"/>
      <c r="G6" s="15"/>
      <c r="H6" s="15"/>
      <c r="I6" s="15"/>
      <c r="J6" s="15"/>
      <c r="K6" s="15"/>
      <c r="L6" s="15"/>
      <c r="M6" s="15"/>
      <c r="N6" s="15"/>
      <c r="O6" s="15"/>
    </row>
    <row r="7" customFormat="false" ht="15" hidden="false" customHeight="false" outlineLevel="0" collapsed="false">
      <c r="A7" s="28" t="s">
        <v>296</v>
      </c>
      <c r="C7" s="60" t="n">
        <v>0.06</v>
      </c>
      <c r="D7" s="60" t="n">
        <v>0.05</v>
      </c>
      <c r="E7" s="60" t="n">
        <v>0.06</v>
      </c>
      <c r="F7" s="60" t="n">
        <v>0.07</v>
      </c>
      <c r="G7" s="60" t="n">
        <v>0.11</v>
      </c>
      <c r="H7" s="60" t="n">
        <v>0.25</v>
      </c>
      <c r="I7" s="60" t="n">
        <v>0.06</v>
      </c>
      <c r="J7" s="60" t="n">
        <v>0.05</v>
      </c>
      <c r="K7" s="60" t="n">
        <v>0.1</v>
      </c>
      <c r="L7" s="60" t="n">
        <v>0.07</v>
      </c>
      <c r="M7" s="60" t="n">
        <v>0.06</v>
      </c>
      <c r="N7" s="61" t="n">
        <f aca="false">1-SUM(C7:M7)</f>
        <v>0.0600000000000001</v>
      </c>
      <c r="O7" s="29" t="str">
        <f aca="false">IF(ROUND(SUM(C7:N7),3)=1,"OK","Fix")</f>
        <v>OK</v>
      </c>
    </row>
    <row r="8" customFormat="false" ht="15" hidden="false" customHeight="false" outlineLevel="0" collapsed="false">
      <c r="A8" s="8" t="s">
        <v>43</v>
      </c>
      <c r="B8" s="62" t="n">
        <f aca="false">Revenue!G6+Revenue!G7</f>
        <v>936917.4</v>
      </c>
      <c r="C8" s="21" t="n">
        <f aca="false">$B8*C7</f>
        <v>56215.044</v>
      </c>
      <c r="D8" s="21" t="n">
        <f aca="false">$B8*D7</f>
        <v>46845.87</v>
      </c>
      <c r="E8" s="21" t="n">
        <f aca="false">$B8*E7</f>
        <v>56215.044</v>
      </c>
      <c r="F8" s="21" t="n">
        <f aca="false">$B8*F7</f>
        <v>65584.218</v>
      </c>
      <c r="G8" s="21" t="n">
        <f aca="false">$B8*G7</f>
        <v>103060.914</v>
      </c>
      <c r="H8" s="21" t="n">
        <f aca="false">$B8*H7</f>
        <v>234229.35</v>
      </c>
      <c r="I8" s="21" t="n">
        <f aca="false">$B8*I7</f>
        <v>56215.044</v>
      </c>
      <c r="J8" s="21" t="n">
        <f aca="false">$B8*J7</f>
        <v>46845.87</v>
      </c>
      <c r="K8" s="21" t="n">
        <f aca="false">$B8*K7</f>
        <v>93691.74</v>
      </c>
      <c r="L8" s="21" t="n">
        <f aca="false">$B8*L7</f>
        <v>65584.218</v>
      </c>
      <c r="M8" s="21" t="n">
        <f aca="false">$B8*M7</f>
        <v>56215.044</v>
      </c>
      <c r="N8" s="21" t="n">
        <f aca="false">$B8*N7</f>
        <v>56215.0440000001</v>
      </c>
    </row>
    <row r="9" customFormat="false" ht="15" hidden="false" customHeight="false" outlineLevel="0" collapsed="false">
      <c r="A9" s="28" t="s">
        <v>297</v>
      </c>
      <c r="C9" s="60" t="n">
        <v>0.0833</v>
      </c>
      <c r="D9" s="60" t="n">
        <v>0.0833</v>
      </c>
      <c r="E9" s="60" t="n">
        <v>0.0833</v>
      </c>
      <c r="F9" s="60" t="n">
        <v>0.0833</v>
      </c>
      <c r="G9" s="60" t="n">
        <v>0.0833</v>
      </c>
      <c r="H9" s="60" t="n">
        <v>0.0833</v>
      </c>
      <c r="I9" s="60" t="n">
        <v>0.0833</v>
      </c>
      <c r="J9" s="60" t="n">
        <v>0.0833</v>
      </c>
      <c r="K9" s="60" t="n">
        <v>0.0833</v>
      </c>
      <c r="L9" s="60" t="n">
        <v>0.0833</v>
      </c>
      <c r="M9" s="60" t="n">
        <v>0.0833</v>
      </c>
      <c r="N9" s="61" t="n">
        <f aca="false">1-SUM(C9:M9)</f>
        <v>0.0837</v>
      </c>
      <c r="O9" s="29" t="str">
        <f aca="false">IF(ROUND(SUM(C9:N9),3)=1,"OK","Fix")</f>
        <v>OK</v>
      </c>
    </row>
    <row r="10" customFormat="false" ht="15" hidden="false" customHeight="false" outlineLevel="0" collapsed="false">
      <c r="A10" s="8" t="s">
        <v>44</v>
      </c>
      <c r="B10" s="62" t="n">
        <f aca="false">Revenue!G8+Revenue!G9</f>
        <v>653333.333333333</v>
      </c>
      <c r="C10" s="21" t="n">
        <f aca="false">$B10*C9</f>
        <v>54422.6666666667</v>
      </c>
      <c r="D10" s="21" t="n">
        <f aca="false">$B10*D9</f>
        <v>54422.6666666667</v>
      </c>
      <c r="E10" s="21" t="n">
        <f aca="false">$B10*E9</f>
        <v>54422.6666666667</v>
      </c>
      <c r="F10" s="21" t="n">
        <f aca="false">$B10*F9</f>
        <v>54422.6666666667</v>
      </c>
      <c r="G10" s="21" t="n">
        <f aca="false">$B10*G9</f>
        <v>54422.6666666667</v>
      </c>
      <c r="H10" s="21" t="n">
        <f aca="false">$B10*H9</f>
        <v>54422.6666666667</v>
      </c>
      <c r="I10" s="21" t="n">
        <f aca="false">$B10*I9</f>
        <v>54422.6666666667</v>
      </c>
      <c r="J10" s="21" t="n">
        <f aca="false">$B10*J9</f>
        <v>54422.6666666667</v>
      </c>
      <c r="K10" s="21" t="n">
        <f aca="false">$B10*K9</f>
        <v>54422.6666666667</v>
      </c>
      <c r="L10" s="21" t="n">
        <f aca="false">$B10*L9</f>
        <v>54422.6666666667</v>
      </c>
      <c r="M10" s="21" t="n">
        <f aca="false">$B10*M9</f>
        <v>54422.6666666667</v>
      </c>
      <c r="N10" s="21" t="n">
        <f aca="false">$B10*N9</f>
        <v>54684</v>
      </c>
    </row>
    <row r="11" customFormat="false" ht="15" hidden="false" customHeight="false" outlineLevel="0" collapsed="false">
      <c r="A11" s="28" t="s">
        <v>298</v>
      </c>
      <c r="C11" s="60" t="n">
        <v>0.0804</v>
      </c>
      <c r="D11" s="60" t="n">
        <v>0.0804</v>
      </c>
      <c r="E11" s="60" t="n">
        <v>0.0804</v>
      </c>
      <c r="F11" s="60" t="n">
        <v>0.0854</v>
      </c>
      <c r="G11" s="60" t="n">
        <v>0.0854</v>
      </c>
      <c r="H11" s="60" t="n">
        <v>0.0905</v>
      </c>
      <c r="I11" s="60" t="n">
        <v>0.0905</v>
      </c>
      <c r="J11" s="60" t="n">
        <v>0.0854</v>
      </c>
      <c r="K11" s="60" t="n">
        <v>0.0804</v>
      </c>
      <c r="L11" s="60" t="n">
        <v>0.0804</v>
      </c>
      <c r="M11" s="60" t="n">
        <v>0.0804</v>
      </c>
      <c r="N11" s="61" t="n">
        <f aca="false">1-SUM(C11:M11)</f>
        <v>0.0804</v>
      </c>
      <c r="O11" s="29" t="str">
        <f aca="false">IF(ROUND(SUM(C11:N11),3)=1,"OK","Fix")</f>
        <v>OK</v>
      </c>
    </row>
    <row r="12" customFormat="false" ht="15" hidden="false" customHeight="false" outlineLevel="0" collapsed="false">
      <c r="A12" s="8" t="s">
        <v>45</v>
      </c>
      <c r="B12" s="62" t="n">
        <f aca="false">Revenue!G10+Revenue!G11+Revenue!G12</f>
        <v>2110000</v>
      </c>
      <c r="C12" s="21" t="n">
        <f aca="false">$B12*C11</f>
        <v>169644</v>
      </c>
      <c r="D12" s="21" t="n">
        <f aca="false">$B12*D11</f>
        <v>169644</v>
      </c>
      <c r="E12" s="21" t="n">
        <f aca="false">$B12*E11</f>
        <v>169644</v>
      </c>
      <c r="F12" s="21" t="n">
        <f aca="false">$B12*F11</f>
        <v>180194</v>
      </c>
      <c r="G12" s="21" t="n">
        <f aca="false">$B12*G11</f>
        <v>180194</v>
      </c>
      <c r="H12" s="21" t="n">
        <f aca="false">$B12*H11</f>
        <v>190955</v>
      </c>
      <c r="I12" s="21" t="n">
        <f aca="false">$B12*I11</f>
        <v>190955</v>
      </c>
      <c r="J12" s="21" t="n">
        <f aca="false">$B12*J11</f>
        <v>180194</v>
      </c>
      <c r="K12" s="21" t="n">
        <f aca="false">$B12*K11</f>
        <v>169644</v>
      </c>
      <c r="L12" s="21" t="n">
        <f aca="false">$B12*L11</f>
        <v>169644</v>
      </c>
      <c r="M12" s="21" t="n">
        <f aca="false">$B12*M11</f>
        <v>169644</v>
      </c>
      <c r="N12" s="21" t="n">
        <f aca="false">$B12*N11</f>
        <v>169644</v>
      </c>
    </row>
    <row r="13" customFormat="false" ht="15" hidden="false" customHeight="false" outlineLevel="0" collapsed="false">
      <c r="A13" s="28" t="s">
        <v>299</v>
      </c>
      <c r="C13" s="60" t="n">
        <v>0.07</v>
      </c>
      <c r="D13" s="60" t="n">
        <v>0.12</v>
      </c>
      <c r="E13" s="60" t="n">
        <v>0.1</v>
      </c>
      <c r="F13" s="60" t="n">
        <v>0.09</v>
      </c>
      <c r="G13" s="60" t="n">
        <v>0.07</v>
      </c>
      <c r="H13" s="60" t="n">
        <v>0.05</v>
      </c>
      <c r="I13" s="60" t="n">
        <v>0.1</v>
      </c>
      <c r="J13" s="60" t="n">
        <v>0.09</v>
      </c>
      <c r="K13" s="60" t="n">
        <v>0.08</v>
      </c>
      <c r="L13" s="60" t="n">
        <v>0.08</v>
      </c>
      <c r="M13" s="60" t="n">
        <v>0.08</v>
      </c>
      <c r="N13" s="61" t="n">
        <f aca="false">1-SUM(C13:M13)</f>
        <v>0.0700000000000001</v>
      </c>
      <c r="O13" s="29" t="str">
        <f aca="false">IF(ROUND(SUM(C13:N13),3)=1,"OK","Fix")</f>
        <v>OK</v>
      </c>
    </row>
    <row r="14" customFormat="false" ht="15" hidden="false" customHeight="false" outlineLevel="0" collapsed="false">
      <c r="A14" s="8" t="s">
        <v>46</v>
      </c>
      <c r="B14" s="62" t="n">
        <f aca="false">Revenue!G13+Revenue!G14</f>
        <v>317773.05</v>
      </c>
      <c r="C14" s="21" t="n">
        <f aca="false">$B14*C13</f>
        <v>22244.1135</v>
      </c>
      <c r="D14" s="21" t="n">
        <f aca="false">$B14*D13</f>
        <v>38132.766</v>
      </c>
      <c r="E14" s="21" t="n">
        <f aca="false">$B14*E13</f>
        <v>31777.305</v>
      </c>
      <c r="F14" s="21" t="n">
        <f aca="false">$B14*F13</f>
        <v>28599.5745</v>
      </c>
      <c r="G14" s="21" t="n">
        <f aca="false">$B14*G13</f>
        <v>22244.1135</v>
      </c>
      <c r="H14" s="21" t="n">
        <f aca="false">$B14*H13</f>
        <v>15888.6525</v>
      </c>
      <c r="I14" s="21" t="n">
        <f aca="false">$B14*I13</f>
        <v>31777.305</v>
      </c>
      <c r="J14" s="21" t="n">
        <f aca="false">$B14*J13</f>
        <v>28599.5745</v>
      </c>
      <c r="K14" s="21" t="n">
        <f aca="false">$B14*K13</f>
        <v>25421.844</v>
      </c>
      <c r="L14" s="21" t="n">
        <f aca="false">$B14*L13</f>
        <v>25421.844</v>
      </c>
      <c r="M14" s="21" t="n">
        <f aca="false">$B14*M13</f>
        <v>25421.844</v>
      </c>
      <c r="N14" s="21" t="n">
        <f aca="false">$B14*N13</f>
        <v>22244.1135</v>
      </c>
    </row>
    <row r="15" customFormat="false" ht="15" hidden="false" customHeight="false" outlineLevel="0" collapsed="false">
      <c r="A15" s="28" t="s">
        <v>300</v>
      </c>
      <c r="C15" s="60" t="n">
        <v>0</v>
      </c>
      <c r="D15" s="60" t="n">
        <v>0</v>
      </c>
      <c r="E15" s="60" t="n">
        <v>0</v>
      </c>
      <c r="F15" s="60" t="n">
        <v>0</v>
      </c>
      <c r="G15" s="60" t="n">
        <v>0</v>
      </c>
      <c r="H15" s="60" t="n">
        <v>0</v>
      </c>
      <c r="I15" s="60" t="n">
        <v>0</v>
      </c>
      <c r="J15" s="60" t="n">
        <v>0</v>
      </c>
      <c r="K15" s="60" t="n">
        <v>1</v>
      </c>
      <c r="L15" s="60" t="n">
        <v>0</v>
      </c>
      <c r="M15" s="60" t="n">
        <v>0</v>
      </c>
      <c r="N15" s="61" t="n">
        <f aca="false">1-SUM(C15:M15)</f>
        <v>0</v>
      </c>
      <c r="O15" s="29" t="str">
        <f aca="false">IF(ROUND(SUM(C15:N15),3)=1,"OK","Fix")</f>
        <v>OK</v>
      </c>
    </row>
    <row r="16" customFormat="false" ht="15" hidden="false" customHeight="false" outlineLevel="0" collapsed="false">
      <c r="A16" s="8" t="s">
        <v>47</v>
      </c>
      <c r="B16" s="62" t="n">
        <f aca="false">Revenue!G15+Revenue!G16</f>
        <v>203000</v>
      </c>
      <c r="C16" s="21" t="n">
        <f aca="false">$B16*C15</f>
        <v>0</v>
      </c>
      <c r="D16" s="21" t="n">
        <f aca="false">$B16*D15</f>
        <v>0</v>
      </c>
      <c r="E16" s="21" t="n">
        <f aca="false">$B16*E15</f>
        <v>0</v>
      </c>
      <c r="F16" s="21" t="n">
        <f aca="false">$B16*F15</f>
        <v>0</v>
      </c>
      <c r="G16" s="21" t="n">
        <f aca="false">$B16*G15</f>
        <v>0</v>
      </c>
      <c r="H16" s="21" t="n">
        <f aca="false">$B16*H15</f>
        <v>0</v>
      </c>
      <c r="I16" s="21" t="n">
        <f aca="false">$B16*I15</f>
        <v>0</v>
      </c>
      <c r="J16" s="21" t="n">
        <f aca="false">$B16*J15</f>
        <v>0</v>
      </c>
      <c r="K16" s="21" t="n">
        <f aca="false">$B16*K15</f>
        <v>203000</v>
      </c>
      <c r="L16" s="21" t="n">
        <f aca="false">$B16*L15</f>
        <v>0</v>
      </c>
      <c r="M16" s="21" t="n">
        <f aca="false">$B16*M15</f>
        <v>0</v>
      </c>
      <c r="N16" s="21" t="n">
        <f aca="false">$B16*N15</f>
        <v>0</v>
      </c>
    </row>
    <row r="17" customFormat="false" ht="15" hidden="false" customHeight="false" outlineLevel="0" collapsed="false">
      <c r="A17" s="28" t="s">
        <v>301</v>
      </c>
      <c r="C17" s="60" t="n">
        <v>0.0833</v>
      </c>
      <c r="D17" s="60" t="n">
        <v>0.0833</v>
      </c>
      <c r="E17" s="60" t="n">
        <v>0.0833</v>
      </c>
      <c r="F17" s="60" t="n">
        <v>0.0833</v>
      </c>
      <c r="G17" s="60" t="n">
        <v>0.0833</v>
      </c>
      <c r="H17" s="60" t="n">
        <v>0.0833</v>
      </c>
      <c r="I17" s="60" t="n">
        <v>0.0833</v>
      </c>
      <c r="J17" s="60" t="n">
        <v>0.0833</v>
      </c>
      <c r="K17" s="60" t="n">
        <v>0.0833</v>
      </c>
      <c r="L17" s="60" t="n">
        <v>0.0833</v>
      </c>
      <c r="M17" s="60" t="n">
        <v>0.0833</v>
      </c>
      <c r="N17" s="61" t="n">
        <f aca="false">1-SUM(C17:M17)</f>
        <v>0.0837</v>
      </c>
      <c r="O17" s="29" t="str">
        <f aca="false">IF(ROUND(SUM(C17:N17),3)=1,"OK","Fix")</f>
        <v>OK</v>
      </c>
    </row>
    <row r="18" customFormat="false" ht="15" hidden="false" customHeight="false" outlineLevel="0" collapsed="false">
      <c r="A18" s="8" t="s">
        <v>48</v>
      </c>
      <c r="B18" s="62" t="n">
        <f aca="false">Revenue!G17</f>
        <v>44000</v>
      </c>
      <c r="C18" s="21" t="n">
        <f aca="false">$B18*C17</f>
        <v>3665.2</v>
      </c>
      <c r="D18" s="21" t="n">
        <f aca="false">$B18*D17</f>
        <v>3665.2</v>
      </c>
      <c r="E18" s="21" t="n">
        <f aca="false">$B18*E17</f>
        <v>3665.2</v>
      </c>
      <c r="F18" s="21" t="n">
        <f aca="false">$B18*F17</f>
        <v>3665.2</v>
      </c>
      <c r="G18" s="21" t="n">
        <f aca="false">$B18*G17</f>
        <v>3665.2</v>
      </c>
      <c r="H18" s="21" t="n">
        <f aca="false">$B18*H17</f>
        <v>3665.2</v>
      </c>
      <c r="I18" s="21" t="n">
        <f aca="false">$B18*I17</f>
        <v>3665.2</v>
      </c>
      <c r="J18" s="21" t="n">
        <f aca="false">$B18*J17</f>
        <v>3665.2</v>
      </c>
      <c r="K18" s="21" t="n">
        <f aca="false">$B18*K17</f>
        <v>3665.2</v>
      </c>
      <c r="L18" s="21" t="n">
        <f aca="false">$B18*L17</f>
        <v>3665.2</v>
      </c>
      <c r="M18" s="21" t="n">
        <f aca="false">$B18*M17</f>
        <v>3665.2</v>
      </c>
      <c r="N18" s="21" t="n">
        <f aca="false">$B18*N17</f>
        <v>3682.8</v>
      </c>
    </row>
    <row r="19" customFormat="false" ht="15" hidden="false" customHeight="false" outlineLevel="0" collapsed="false">
      <c r="A19" s="23" t="s">
        <v>23</v>
      </c>
      <c r="B19" s="26" t="n">
        <f aca="false">B8+B10+B12+B14+B16+B18</f>
        <v>4265023.78333333</v>
      </c>
      <c r="C19" s="26" t="n">
        <f aca="false">C8+C10+C12+C14+C16+C18</f>
        <v>306191.024166667</v>
      </c>
      <c r="D19" s="26" t="n">
        <f aca="false">D8+D10+D12+D14+D16+D18</f>
        <v>312710.502666667</v>
      </c>
      <c r="E19" s="26" t="n">
        <f aca="false">E8+E10+E12+E14+E16+E18</f>
        <v>315724.215666667</v>
      </c>
      <c r="F19" s="26" t="n">
        <f aca="false">F8+F10+F12+F14+F16+F18</f>
        <v>332465.659166667</v>
      </c>
      <c r="G19" s="26" t="n">
        <f aca="false">G8+G10+G12+G14+G16+G18</f>
        <v>363586.894166667</v>
      </c>
      <c r="H19" s="26" t="n">
        <f aca="false">H8+H10+H12+H14+H16+H18</f>
        <v>499160.869166667</v>
      </c>
      <c r="I19" s="26" t="n">
        <f aca="false">I8+I10+I12+I14+I16+I18</f>
        <v>337035.215666667</v>
      </c>
      <c r="J19" s="26" t="n">
        <f aca="false">J8+J10+J12+J14+J16+J18</f>
        <v>313727.311166667</v>
      </c>
      <c r="K19" s="26" t="n">
        <f aca="false">K8+K10+K12+K14+K16+K18</f>
        <v>549845.450666667</v>
      </c>
      <c r="L19" s="26" t="n">
        <f aca="false">L8+L10+L12+L14+L16+L18</f>
        <v>318737.928666667</v>
      </c>
      <c r="M19" s="26" t="n">
        <f aca="false">M8+M10+M12+M14+M16+M18</f>
        <v>309368.754666667</v>
      </c>
      <c r="N19" s="26" t="n">
        <f aca="false">N8+N10+N12+N14+N16+N18</f>
        <v>306469.9575</v>
      </c>
    </row>
    <row r="21" customFormat="false" ht="15" hidden="false" customHeight="false" outlineLevel="0" collapsed="false">
      <c r="A21" s="59" t="s">
        <v>302</v>
      </c>
      <c r="B21" s="15"/>
      <c r="C21" s="15"/>
      <c r="D21" s="15"/>
      <c r="E21" s="15"/>
      <c r="F21" s="15"/>
      <c r="G21" s="15"/>
      <c r="H21" s="15"/>
      <c r="I21" s="15"/>
      <c r="J21" s="15"/>
      <c r="K21" s="15"/>
      <c r="L21" s="15"/>
      <c r="M21" s="15"/>
      <c r="N21" s="15"/>
      <c r="O21" s="15"/>
    </row>
    <row r="22" customFormat="false" ht="15" hidden="false" customHeight="false" outlineLevel="0" collapsed="false">
      <c r="A22" s="28" t="s">
        <v>303</v>
      </c>
      <c r="C22" s="60" t="n">
        <v>0.0833</v>
      </c>
      <c r="D22" s="60" t="n">
        <v>0.0833</v>
      </c>
      <c r="E22" s="60" t="n">
        <v>0.0833</v>
      </c>
      <c r="F22" s="60" t="n">
        <v>0.0833</v>
      </c>
      <c r="G22" s="60" t="n">
        <v>0.0833</v>
      </c>
      <c r="H22" s="60" t="n">
        <v>0.0833</v>
      </c>
      <c r="I22" s="60" t="n">
        <v>0.0833</v>
      </c>
      <c r="J22" s="60" t="n">
        <v>0.0833</v>
      </c>
      <c r="K22" s="60" t="n">
        <v>0.0833</v>
      </c>
      <c r="L22" s="60" t="n">
        <v>0.0833</v>
      </c>
      <c r="M22" s="60" t="n">
        <v>0.0833</v>
      </c>
      <c r="N22" s="61" t="n">
        <f aca="false">1-SUM(C22:M22)</f>
        <v>0.0837</v>
      </c>
      <c r="O22" s="29" t="str">
        <f aca="false">IF(ROUND(SUM(C22:N22),3)=1,"OK","Fix")</f>
        <v>OK</v>
      </c>
    </row>
    <row r="23" customFormat="false" ht="15" hidden="false" customHeight="false" outlineLevel="0" collapsed="false">
      <c r="A23" s="8" t="s">
        <v>29</v>
      </c>
      <c r="B23" s="62" t="n">
        <f aca="false">Personnel!N55</f>
        <v>2686688.26801667</v>
      </c>
      <c r="C23" s="21" t="n">
        <f aca="false">$B23*C22</f>
        <v>223801.132725788</v>
      </c>
      <c r="D23" s="21" t="n">
        <f aca="false">$B23*D22</f>
        <v>223801.132725788</v>
      </c>
      <c r="E23" s="21" t="n">
        <f aca="false">$B23*E22</f>
        <v>223801.132725788</v>
      </c>
      <c r="F23" s="21" t="n">
        <f aca="false">$B23*F22</f>
        <v>223801.132725788</v>
      </c>
      <c r="G23" s="21" t="n">
        <f aca="false">$B23*G22</f>
        <v>223801.132725788</v>
      </c>
      <c r="H23" s="21" t="n">
        <f aca="false">$B23*H22</f>
        <v>223801.132725788</v>
      </c>
      <c r="I23" s="21" t="n">
        <f aca="false">$B23*I22</f>
        <v>223801.132725788</v>
      </c>
      <c r="J23" s="21" t="n">
        <f aca="false">$B23*J22</f>
        <v>223801.132725788</v>
      </c>
      <c r="K23" s="21" t="n">
        <f aca="false">$B23*K22</f>
        <v>223801.132725788</v>
      </c>
      <c r="L23" s="21" t="n">
        <f aca="false">$B23*L22</f>
        <v>223801.132725788</v>
      </c>
      <c r="M23" s="21" t="n">
        <f aca="false">$B23*M22</f>
        <v>223801.132725788</v>
      </c>
      <c r="N23" s="21" t="n">
        <f aca="false">$B23*N22</f>
        <v>224875.808032995</v>
      </c>
    </row>
    <row r="24" customFormat="false" ht="15" hidden="false" customHeight="false" outlineLevel="0" collapsed="false">
      <c r="A24" s="28" t="s">
        <v>304</v>
      </c>
      <c r="C24" s="60" t="n">
        <v>0.0804</v>
      </c>
      <c r="D24" s="60" t="n">
        <v>0.0804</v>
      </c>
      <c r="E24" s="60" t="n">
        <v>0.0804</v>
      </c>
      <c r="F24" s="60" t="n">
        <v>0.0854</v>
      </c>
      <c r="G24" s="60" t="n">
        <v>0.0854</v>
      </c>
      <c r="H24" s="60" t="n">
        <v>0.0905</v>
      </c>
      <c r="I24" s="60" t="n">
        <v>0.0905</v>
      </c>
      <c r="J24" s="60" t="n">
        <v>0.0854</v>
      </c>
      <c r="K24" s="60" t="n">
        <v>0.0804</v>
      </c>
      <c r="L24" s="60" t="n">
        <v>0.0804</v>
      </c>
      <c r="M24" s="60" t="n">
        <v>0.0804</v>
      </c>
      <c r="N24" s="61" t="n">
        <f aca="false">1-SUM(C24:M24)</f>
        <v>0.0804</v>
      </c>
      <c r="O24" s="29" t="str">
        <f aca="false">IF(ROUND(SUM(C24:N24),3)=1,"OK","Fix")</f>
        <v>OK</v>
      </c>
    </row>
    <row r="25" customFormat="false" ht="15" hidden="false" customHeight="false" outlineLevel="0" collapsed="false">
      <c r="A25" s="8" t="s">
        <v>30</v>
      </c>
      <c r="B25" s="62" t="n">
        <f aca="false">'Non-Personnel'!L20</f>
        <v>1546105</v>
      </c>
      <c r="C25" s="21" t="n">
        <f aca="false">$B25*C24</f>
        <v>124306.842</v>
      </c>
      <c r="D25" s="21" t="n">
        <f aca="false">$B25*D24</f>
        <v>124306.842</v>
      </c>
      <c r="E25" s="21" t="n">
        <f aca="false">$B25*E24</f>
        <v>124306.842</v>
      </c>
      <c r="F25" s="21" t="n">
        <f aca="false">$B25*F24</f>
        <v>132037.367</v>
      </c>
      <c r="G25" s="21" t="n">
        <f aca="false">$B25*G24</f>
        <v>132037.367</v>
      </c>
      <c r="H25" s="21" t="n">
        <f aca="false">$B25*H24</f>
        <v>139922.5025</v>
      </c>
      <c r="I25" s="21" t="n">
        <f aca="false">$B25*I24</f>
        <v>139922.5025</v>
      </c>
      <c r="J25" s="21" t="n">
        <f aca="false">$B25*J24</f>
        <v>132037.367</v>
      </c>
      <c r="K25" s="21" t="n">
        <f aca="false">$B25*K24</f>
        <v>124306.842</v>
      </c>
      <c r="L25" s="21" t="n">
        <f aca="false">$B25*L24</f>
        <v>124306.842</v>
      </c>
      <c r="M25" s="21" t="n">
        <f aca="false">$B25*M24</f>
        <v>124306.842</v>
      </c>
      <c r="N25" s="21" t="n">
        <f aca="false">$B25*N24</f>
        <v>124306.842</v>
      </c>
    </row>
    <row r="26" customFormat="false" ht="15" hidden="false" customHeight="false" outlineLevel="0" collapsed="false">
      <c r="A26" s="23" t="s">
        <v>24</v>
      </c>
      <c r="B26" s="26" t="n">
        <f aca="false">B23+B25</f>
        <v>4232793.26801667</v>
      </c>
      <c r="C26" s="26" t="n">
        <f aca="false">C23+C25</f>
        <v>348107.974725788</v>
      </c>
      <c r="D26" s="26" t="n">
        <f aca="false">D23+D25</f>
        <v>348107.974725788</v>
      </c>
      <c r="E26" s="26" t="n">
        <f aca="false">E23+E25</f>
        <v>348107.974725788</v>
      </c>
      <c r="F26" s="26" t="n">
        <f aca="false">F23+F25</f>
        <v>355838.499725788</v>
      </c>
      <c r="G26" s="26" t="n">
        <f aca="false">G23+G25</f>
        <v>355838.499725788</v>
      </c>
      <c r="H26" s="26" t="n">
        <f aca="false">H23+H25</f>
        <v>363723.635225788</v>
      </c>
      <c r="I26" s="26" t="n">
        <f aca="false">I23+I25</f>
        <v>363723.635225788</v>
      </c>
      <c r="J26" s="26" t="n">
        <f aca="false">J23+J25</f>
        <v>355838.499725788</v>
      </c>
      <c r="K26" s="26" t="n">
        <f aca="false">K23+K25</f>
        <v>348107.974725788</v>
      </c>
      <c r="L26" s="26" t="n">
        <f aca="false">L23+L25</f>
        <v>348107.974725788</v>
      </c>
      <c r="M26" s="26" t="n">
        <f aca="false">M23+M25</f>
        <v>348107.974725788</v>
      </c>
      <c r="N26" s="26" t="n">
        <f aca="false">N23+N25</f>
        <v>349182.650032995</v>
      </c>
    </row>
    <row r="28" customFormat="false" ht="15" hidden="false" customHeight="false" outlineLevel="0" collapsed="false">
      <c r="A28" s="63" t="s">
        <v>305</v>
      </c>
      <c r="B28" s="27" t="n">
        <f aca="false">B19-B26</f>
        <v>32230.515316667</v>
      </c>
      <c r="C28" s="27" t="n">
        <f aca="false">C19-C26</f>
        <v>-41916.9505591217</v>
      </c>
      <c r="D28" s="27" t="n">
        <f aca="false">D19-D26</f>
        <v>-35397.4720591217</v>
      </c>
      <c r="E28" s="27" t="n">
        <f aca="false">E19-E26</f>
        <v>-32383.7590591217</v>
      </c>
      <c r="F28" s="27" t="n">
        <f aca="false">F19-F26</f>
        <v>-23372.8405591217</v>
      </c>
      <c r="G28" s="27" t="n">
        <f aca="false">G19-G26</f>
        <v>7748.39444087836</v>
      </c>
      <c r="H28" s="27" t="n">
        <f aca="false">H19-H26</f>
        <v>135437.233940878</v>
      </c>
      <c r="I28" s="27" t="n">
        <f aca="false">I19-I26</f>
        <v>-26688.4195591217</v>
      </c>
      <c r="J28" s="27" t="n">
        <f aca="false">J19-J26</f>
        <v>-42111.1885591217</v>
      </c>
      <c r="K28" s="27" t="n">
        <f aca="false">K19-K26</f>
        <v>201737.475940878</v>
      </c>
      <c r="L28" s="27" t="n">
        <f aca="false">L19-L26</f>
        <v>-29370.0460591217</v>
      </c>
      <c r="M28" s="27" t="n">
        <f aca="false">M19-M26</f>
        <v>-38739.2200591217</v>
      </c>
      <c r="N28" s="27" t="n">
        <f aca="false">N19-N26</f>
        <v>-42712.6925329949</v>
      </c>
    </row>
    <row r="29" customFormat="false" ht="15" hidden="false" customHeight="false" outlineLevel="0" collapsed="false">
      <c r="A29" s="63" t="s">
        <v>306</v>
      </c>
      <c r="C29" s="27" t="n">
        <f aca="false">C28</f>
        <v>-41916.9505591217</v>
      </c>
      <c r="D29" s="27" t="n">
        <f aca="false">C29+D28</f>
        <v>-77314.4226182434</v>
      </c>
      <c r="E29" s="27" t="n">
        <f aca="false">D29+E28</f>
        <v>-109698.181677365</v>
      </c>
      <c r="F29" s="27" t="n">
        <f aca="false">E29+F28</f>
        <v>-133071.022236487</v>
      </c>
      <c r="G29" s="27" t="n">
        <f aca="false">F29+G28</f>
        <v>-125322.627795608</v>
      </c>
      <c r="H29" s="27" t="n">
        <f aca="false">G29+H28</f>
        <v>10114.6061452699</v>
      </c>
      <c r="I29" s="27" t="n">
        <f aca="false">H29+I28</f>
        <v>-16573.8134138518</v>
      </c>
      <c r="J29" s="27" t="n">
        <f aca="false">I29+J28</f>
        <v>-58685.0019729736</v>
      </c>
      <c r="K29" s="27" t="n">
        <f aca="false">J29+K28</f>
        <v>143052.473967905</v>
      </c>
      <c r="L29" s="27" t="n">
        <f aca="false">K29+L28</f>
        <v>113682.427908783</v>
      </c>
      <c r="M29" s="27" t="n">
        <f aca="false">L29+M28</f>
        <v>74943.2078496613</v>
      </c>
      <c r="N29" s="27" t="n">
        <f aca="false">M29+N28</f>
        <v>32230.5153166664</v>
      </c>
    </row>
  </sheetData>
  <conditionalFormatting sqref="B28:N29">
    <cfRule type="cellIs" priority="2" operator="lessThan" aboveAverage="0" equalAverage="0" bottom="0" percent="0" rank="0" text="" dxfId="0">
      <formula>0</formula>
    </cfRule>
  </conditionalFormatting>
  <printOptions headings="false" gridLines="false" gridLinesSet="true" horizontalCentered="fals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&amp;L&amp;7 Sample data. All names, organizations, and figures are fictional.&amp;R&amp;7 &amp;A, page &amp;P</oddFooter>
  </headerFooter>
</worksheet>
</file>

<file path=docProps/app.xml><?xml version="1.0" encoding="utf-8"?>
<Properties xmlns="http://schemas.openxmlformats.org/officeDocument/2006/extended-properties" xmlns:vt="http://schemas.openxmlformats.org/officeDocument/2006/docPropsVTypes">
  <Template/>
  <TotalTime>0</TotalTime>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2026-10-12T06:48:28Z</dcterms:created>
  <dc:creator>Brad Leake</dc:creator>
  <dc:description/>
  <dc:language>en-US</dc:language>
  <cp:lastModifiedBy>Brad Leake</cp:lastModifiedBy>
  <dcterms:modified xsi:type="dcterms:W3CDTF">2026-10-12T02:53:23Z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